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EstaPasta_de_trabalho"/>
  <bookViews>
    <workbookView xWindow="-255" yWindow="1065" windowWidth="15480" windowHeight="7305" tabRatio="919"/>
  </bookViews>
  <sheets>
    <sheet name="Planilha Orçamentária" sheetId="20" r:id="rId1"/>
    <sheet name="COMPOSIÇÕES" sheetId="32" r:id="rId2"/>
    <sheet name="CPU Poços" sheetId="40" r:id="rId3"/>
    <sheet name="Insumos poços" sheetId="39" r:id="rId4"/>
    <sheet name="BDI's" sheetId="34" r:id="rId5"/>
    <sheet name="Adutora Bruta de Recalque" sheetId="29" state="hidden" r:id="rId6"/>
    <sheet name="Rede de Distribuição" sheetId="30" state="hidden" r:id="rId7"/>
    <sheet name="VEICULO POPULAR" sheetId="38" r:id="rId8"/>
    <sheet name="Mem. Cálc. Escavações" sheetId="31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_aga14" localSheetId="2">[1]Insumos!#REF!</definedName>
    <definedName name="_aga14" localSheetId="3">[1]Insumos!#REF!</definedName>
    <definedName name="_aga14" localSheetId="0">#REF!</definedName>
    <definedName name="_aga14">#REF!</definedName>
    <definedName name="_aga16" localSheetId="2">[1]Insumos!#REF!</definedName>
    <definedName name="_aga16" localSheetId="3">[1]Insumos!#REF!</definedName>
    <definedName name="_aga16" localSheetId="0">#REF!</definedName>
    <definedName name="_aga16">#REF!</definedName>
    <definedName name="_asc321" localSheetId="2">[1]Insumos!#REF!</definedName>
    <definedName name="_asc321" localSheetId="3">[1]Insumos!#REF!</definedName>
    <definedName name="_asc321" localSheetId="0">#REF!</definedName>
    <definedName name="_asc321">#REF!</definedName>
    <definedName name="_bur3220" localSheetId="2">[1]Insumos!#REF!</definedName>
    <definedName name="_bur3220" localSheetId="3">[1]Insumos!#REF!</definedName>
    <definedName name="_bur3220" localSheetId="0">#REF!</definedName>
    <definedName name="_bur3220">#REF!</definedName>
    <definedName name="_cap20" localSheetId="2">[1]Insumos!#REF!</definedName>
    <definedName name="_cap20" localSheetId="3">[1]Insumos!#REF!</definedName>
    <definedName name="_cap20" localSheetId="0">#REF!</definedName>
    <definedName name="_cap20">#REF!</definedName>
    <definedName name="_ccr12" localSheetId="2">[1]Insumos!#REF!</definedName>
    <definedName name="_ccr12" localSheetId="3">[1]Insumos!#REF!</definedName>
    <definedName name="_ccr12" localSheetId="0">#REF!</definedName>
    <definedName name="_ccr12">#REF!</definedName>
    <definedName name="_cva32" localSheetId="2">[1]Insumos!#REF!</definedName>
    <definedName name="_cva32" localSheetId="3">[1]Insumos!#REF!</definedName>
    <definedName name="_cva32" localSheetId="0">#REF!</definedName>
    <definedName name="_cva32">#REF!</definedName>
    <definedName name="_cva50" localSheetId="2">[1]Insumos!#REF!</definedName>
    <definedName name="_cva50" localSheetId="3">[1]Insumos!#REF!</definedName>
    <definedName name="_cva50" localSheetId="0">#REF!</definedName>
    <definedName name="_cva50">#REF!</definedName>
    <definedName name="_cva60" localSheetId="2">[1]Insumos!#REF!</definedName>
    <definedName name="_cva60" localSheetId="3">[1]Insumos!#REF!</definedName>
    <definedName name="_cva60" localSheetId="0">#REF!</definedName>
    <definedName name="_cva60">#REF!</definedName>
    <definedName name="_cve45100" localSheetId="2">[1]Insumos!#REF!</definedName>
    <definedName name="_cve45100" localSheetId="3">[1]Insumos!#REF!</definedName>
    <definedName name="_cve45100" localSheetId="0">#REF!</definedName>
    <definedName name="_cve45100">#REF!</definedName>
    <definedName name="_cve90100" localSheetId="2">[1]Insumos!#REF!</definedName>
    <definedName name="_cve90100" localSheetId="3">[1]Insumos!#REF!</definedName>
    <definedName name="_cve90100" localSheetId="0">#REF!</definedName>
    <definedName name="_cve90100">#REF!</definedName>
    <definedName name="_cve9040" localSheetId="2">[1]Insumos!#REF!</definedName>
    <definedName name="_cve9040" localSheetId="3">[1]Insumos!#REF!</definedName>
    <definedName name="_cve9040" localSheetId="0">#REF!</definedName>
    <definedName name="_cve9040">#REF!</definedName>
    <definedName name="_djm10" localSheetId="2">[1]Insumos!#REF!</definedName>
    <definedName name="_djm10" localSheetId="3">[1]Insumos!#REF!</definedName>
    <definedName name="_djm10" localSheetId="0">#REF!</definedName>
    <definedName name="_djm10">#REF!</definedName>
    <definedName name="_djm15" localSheetId="2">[1]Insumos!#REF!</definedName>
    <definedName name="_djm15" localSheetId="3">[1]Insumos!#REF!</definedName>
    <definedName name="_djm15" localSheetId="0">#REF!</definedName>
    <definedName name="_djm15">#REF!</definedName>
    <definedName name="_epl2" localSheetId="2">[1]Insumos!#REF!</definedName>
    <definedName name="_epl2" localSheetId="3">[1]Insumos!#REF!</definedName>
    <definedName name="_epl2" localSheetId="0">#REF!</definedName>
    <definedName name="_epl2">#REF!</definedName>
    <definedName name="_epl5" localSheetId="2">[1]Insumos!#REF!</definedName>
    <definedName name="_epl5" localSheetId="3">[1]Insumos!#REF!</definedName>
    <definedName name="_epl5" localSheetId="0">#REF!</definedName>
    <definedName name="_epl5">#REF!</definedName>
    <definedName name="_est15" localSheetId="2">[1]Insumos!#REF!</definedName>
    <definedName name="_est15" localSheetId="3">[1]Insumos!#REF!</definedName>
    <definedName name="_est15" localSheetId="0">#REF!</definedName>
    <definedName name="_est15">#REF!</definedName>
    <definedName name="_fil1" localSheetId="2">[1]Insumos!#REF!</definedName>
    <definedName name="_fil1" localSheetId="3">[1]Insumos!#REF!</definedName>
    <definedName name="_fil1" localSheetId="0">#REF!</definedName>
    <definedName name="_fil1">#REF!</definedName>
    <definedName name="_fil2" localSheetId="2">[1]Insumos!#REF!</definedName>
    <definedName name="_fil2" localSheetId="3">[1]Insumos!#REF!</definedName>
    <definedName name="_fil2" localSheetId="0">#REF!</definedName>
    <definedName name="_fil2">#REF!</definedName>
    <definedName name="_xlnm._FilterDatabase" localSheetId="3" hidden="1">'Insumos poços'!$A$10:$F$42</definedName>
    <definedName name="_fio12" localSheetId="2">[1]Insumos!#REF!</definedName>
    <definedName name="_fio12" localSheetId="3">[1]Insumos!#REF!</definedName>
    <definedName name="_fio12" localSheetId="0">#REF!</definedName>
    <definedName name="_fio12">#REF!</definedName>
    <definedName name="_fis5" localSheetId="2">[1]Insumos!#REF!</definedName>
    <definedName name="_fis5" localSheetId="3">[1]Insumos!#REF!</definedName>
    <definedName name="_fis5" localSheetId="0">#REF!</definedName>
    <definedName name="_fis5">#REF!</definedName>
    <definedName name="_flf50" localSheetId="2">[1]Insumos!#REF!</definedName>
    <definedName name="_flf50" localSheetId="3">[1]Insumos!#REF!</definedName>
    <definedName name="_flf50" localSheetId="0">#REF!</definedName>
    <definedName name="_flf50">#REF!</definedName>
    <definedName name="_flf60" localSheetId="2">[1]Insumos!#REF!</definedName>
    <definedName name="_flf60" localSheetId="3">[1]Insumos!#REF!</definedName>
    <definedName name="_flf60" localSheetId="0">#REF!</definedName>
    <definedName name="_flf60">#REF!</definedName>
    <definedName name="_fpd12" localSheetId="2">[1]Insumos!#REF!</definedName>
    <definedName name="_fpd12" localSheetId="3">[1]Insumos!#REF!</definedName>
    <definedName name="_fpd12" localSheetId="0">#REF!</definedName>
    <definedName name="_fpd12">#REF!</definedName>
    <definedName name="_fvr10" localSheetId="2">[1]Insumos!#REF!</definedName>
    <definedName name="_fvr10" localSheetId="3">[1]Insumos!#REF!</definedName>
    <definedName name="_fvr10" localSheetId="0">#REF!</definedName>
    <definedName name="_fvr10">#REF!</definedName>
    <definedName name="_itu1" localSheetId="2">[1]Insumos!#REF!</definedName>
    <definedName name="_itu1" localSheetId="3">[1]Insumos!#REF!</definedName>
    <definedName name="_itu1" localSheetId="0">#REF!</definedName>
    <definedName name="_itu1">#REF!</definedName>
    <definedName name="_jla20" localSheetId="2">[1]Insumos!#REF!</definedName>
    <definedName name="_jla20" localSheetId="3">[1]Insumos!#REF!</definedName>
    <definedName name="_jla20" localSheetId="0">#REF!</definedName>
    <definedName name="_jla20">#REF!</definedName>
    <definedName name="_jla32" localSheetId="2">[1]Insumos!#REF!</definedName>
    <definedName name="_jla32" localSheetId="3">[1]Insumos!#REF!</definedName>
    <definedName name="_jla32" localSheetId="0">#REF!</definedName>
    <definedName name="_jla32">#REF!</definedName>
    <definedName name="_lpi100" localSheetId="2">[1]Insumos!#REF!</definedName>
    <definedName name="_lpi100" localSheetId="3">[1]Insumos!#REF!</definedName>
    <definedName name="_lpi100" localSheetId="0">#REF!</definedName>
    <definedName name="_lpi100">#REF!</definedName>
    <definedName name="_lvg10060" localSheetId="2">[1]Insumos!#REF!</definedName>
    <definedName name="_lvg10060" localSheetId="3">[1]Insumos!#REF!</definedName>
    <definedName name="_lvg10060" localSheetId="0">#REF!</definedName>
    <definedName name="_lvg10060">#REF!</definedName>
    <definedName name="_lvp32" localSheetId="2">[1]Insumos!#REF!</definedName>
    <definedName name="_lvp32" localSheetId="3">[1]Insumos!#REF!</definedName>
    <definedName name="_lvp32" localSheetId="0">#REF!</definedName>
    <definedName name="_lvp32">#REF!</definedName>
    <definedName name="_lxa1">#REF!</definedName>
    <definedName name="_man50" localSheetId="2">[1]Insumos!#REF!</definedName>
    <definedName name="_man50" localSheetId="3">[1]Insumos!#REF!</definedName>
    <definedName name="_man50" localSheetId="0">#REF!</definedName>
    <definedName name="_man50">#REF!</definedName>
    <definedName name="_ope1" localSheetId="2">[1]Insumos!#REF!</definedName>
    <definedName name="_ope1" localSheetId="3">[1]Insumos!#REF!</definedName>
    <definedName name="_ope1" localSheetId="0">#REF!</definedName>
    <definedName name="_ope1">#REF!</definedName>
    <definedName name="_ope2" localSheetId="2">[1]Insumos!#REF!</definedName>
    <definedName name="_ope2" localSheetId="3">[1]Insumos!#REF!</definedName>
    <definedName name="_ope2" localSheetId="0">#REF!</definedName>
    <definedName name="_ope2">#REF!</definedName>
    <definedName name="_ope3" localSheetId="2">[1]Insumos!#REF!</definedName>
    <definedName name="_ope3" localSheetId="3">[1]Insumos!#REF!</definedName>
    <definedName name="_ope3" localSheetId="0">#REF!</definedName>
    <definedName name="_ope3">#REF!</definedName>
    <definedName name="_pne1" localSheetId="2">[1]Insumos!#REF!</definedName>
    <definedName name="_pne1" localSheetId="3">[1]Insumos!#REF!</definedName>
    <definedName name="_pne1" localSheetId="0">#REF!</definedName>
    <definedName name="_pne1">#REF!</definedName>
    <definedName name="_pne2" localSheetId="2">[1]Insumos!#REF!</definedName>
    <definedName name="_pne2" localSheetId="3">[1]Insumos!#REF!</definedName>
    <definedName name="_pne2" localSheetId="0">#REF!</definedName>
    <definedName name="_pne2">#REF!</definedName>
    <definedName name="_prg1515" localSheetId="2">[1]Insumos!#REF!</definedName>
    <definedName name="_prg1515" localSheetId="3">[1]Insumos!#REF!</definedName>
    <definedName name="_prg1515" localSheetId="0">#REF!</definedName>
    <definedName name="_prg1515">#REF!</definedName>
    <definedName name="_prg1827" localSheetId="2">[1]Insumos!#REF!</definedName>
    <definedName name="_prg1827" localSheetId="3">[1]Insumos!#REF!</definedName>
    <definedName name="_prg1827" localSheetId="0">#REF!</definedName>
    <definedName name="_prg1827">#REF!</definedName>
    <definedName name="_ptc7">#REF!</definedName>
    <definedName name="_ptm6" localSheetId="2">[1]Insumos!#REF!</definedName>
    <definedName name="_ptm6" localSheetId="3">[1]Insumos!#REF!</definedName>
    <definedName name="_ptm6" localSheetId="0">#REF!</definedName>
    <definedName name="_ptm6">#REF!</definedName>
    <definedName name="_qdm3" localSheetId="2">[1]Insumos!#REF!</definedName>
    <definedName name="_qdm3" localSheetId="3">[1]Insumos!#REF!</definedName>
    <definedName name="_qdm3" localSheetId="0">#REF!</definedName>
    <definedName name="_qdm3">#REF!</definedName>
    <definedName name="_rcm10" localSheetId="2">[1]Insumos!#REF!</definedName>
    <definedName name="_rcm10" localSheetId="3">[1]Insumos!#REF!</definedName>
    <definedName name="_rcm10" localSheetId="0">#REF!</definedName>
    <definedName name="_rcm10">#REF!</definedName>
    <definedName name="_rcm15" localSheetId="2">[1]Insumos!#REF!</definedName>
    <definedName name="_rcm15" localSheetId="3">[1]Insumos!#REF!</definedName>
    <definedName name="_rcm15" localSheetId="0">#REF!</definedName>
    <definedName name="_rcm15">#REF!</definedName>
    <definedName name="_rcm20" localSheetId="2">[1]Insumos!#REF!</definedName>
    <definedName name="_rcm20" localSheetId="3">[1]Insumos!#REF!</definedName>
    <definedName name="_rcm20" localSheetId="0">#REF!</definedName>
    <definedName name="_rcm20">#REF!</definedName>
    <definedName name="_rcm5" localSheetId="2">[1]Insumos!#REF!</definedName>
    <definedName name="_rcm5" localSheetId="3">[1]Insumos!#REF!</definedName>
    <definedName name="_rcm5" localSheetId="0">#REF!</definedName>
    <definedName name="_rcm5">#REF!</definedName>
    <definedName name="_res10" localSheetId="2">[1]Insumos!#REF!</definedName>
    <definedName name="_res10" localSheetId="3">[1]Insumos!#REF!</definedName>
    <definedName name="_res10" localSheetId="0">#REF!</definedName>
    <definedName name="_res10">#REF!</definedName>
    <definedName name="_res15" localSheetId="2">[1]Insumos!#REF!</definedName>
    <definedName name="_res15" localSheetId="3">[1]Insumos!#REF!</definedName>
    <definedName name="_res15" localSheetId="0">#REF!</definedName>
    <definedName name="_res15">#REF!</definedName>
    <definedName name="_res5" localSheetId="2">[1]Insumos!#REF!</definedName>
    <definedName name="_res5" localSheetId="3">[1]Insumos!#REF!</definedName>
    <definedName name="_res5" localSheetId="0">#REF!</definedName>
    <definedName name="_res5">#REF!</definedName>
    <definedName name="_rge32" localSheetId="2">[1]Insumos!#REF!</definedName>
    <definedName name="_rge32" localSheetId="3">[1]Insumos!#REF!</definedName>
    <definedName name="_rge32" localSheetId="0">#REF!</definedName>
    <definedName name="_rge32">#REF!</definedName>
    <definedName name="_rgf60" localSheetId="2">[1]Insumos!#REF!</definedName>
    <definedName name="_rgf60" localSheetId="3">[1]Insumos!#REF!</definedName>
    <definedName name="_rgf60" localSheetId="0">#REF!</definedName>
    <definedName name="_rgf60">#REF!</definedName>
    <definedName name="_rgp1" localSheetId="2">[1]Insumos!#REF!</definedName>
    <definedName name="_rgp1" localSheetId="3">[1]Insumos!#REF!</definedName>
    <definedName name="_rgp1" localSheetId="0">#REF!</definedName>
    <definedName name="_rgp1">#REF!</definedName>
    <definedName name="_tap100" localSheetId="2">[1]Insumos!#REF!</definedName>
    <definedName name="_tap100" localSheetId="3">[1]Insumos!#REF!</definedName>
    <definedName name="_tap100" localSheetId="0">#REF!</definedName>
    <definedName name="_tap100">#REF!</definedName>
    <definedName name="_tb112" localSheetId="2">[1]Insumos!#REF!</definedName>
    <definedName name="_tb112" localSheetId="3">[1]Insumos!#REF!</definedName>
    <definedName name="_tb112" localSheetId="0">#REF!</definedName>
    <definedName name="_tb112">#REF!</definedName>
    <definedName name="_tb16" localSheetId="2">[1]Insumos!#REF!</definedName>
    <definedName name="_tb16" localSheetId="3">[1]Insumos!#REF!</definedName>
    <definedName name="_tb16" localSheetId="0">#REF!</definedName>
    <definedName name="_tb16">#REF!</definedName>
    <definedName name="_tb19" localSheetId="2">[1]Insumos!#REF!</definedName>
    <definedName name="_tb19" localSheetId="3">[1]Insumos!#REF!</definedName>
    <definedName name="_tb19" localSheetId="0">#REF!</definedName>
    <definedName name="_tb19">#REF!</definedName>
    <definedName name="_tba20" localSheetId="2">[1]Insumos!#REF!</definedName>
    <definedName name="_tba20" localSheetId="3">[1]Insumos!#REF!</definedName>
    <definedName name="_tba20" localSheetId="0">#REF!</definedName>
    <definedName name="_tba20">#REF!</definedName>
    <definedName name="_tba32" localSheetId="2">[1]Insumos!#REF!</definedName>
    <definedName name="_tba32" localSheetId="3">[1]Insumos!#REF!</definedName>
    <definedName name="_tba32" localSheetId="0">#REF!</definedName>
    <definedName name="_tba32">#REF!</definedName>
    <definedName name="_tba50" localSheetId="2">[1]Insumos!#REF!</definedName>
    <definedName name="_tba50" localSheetId="3">[1]Insumos!#REF!</definedName>
    <definedName name="_tba50" localSheetId="0">#REF!</definedName>
    <definedName name="_tba50">#REF!</definedName>
    <definedName name="_tba60" localSheetId="2">[1]Insumos!#REF!</definedName>
    <definedName name="_tba60" localSheetId="3">[1]Insumos!#REF!</definedName>
    <definedName name="_tba60" localSheetId="0">#REF!</definedName>
    <definedName name="_tba60">#REF!</definedName>
    <definedName name="_tbe100" localSheetId="2">[1]Insumos!#REF!</definedName>
    <definedName name="_tbe100" localSheetId="3">[1]Insumos!#REF!</definedName>
    <definedName name="_tbe100" localSheetId="0">#REF!</definedName>
    <definedName name="_tbe100">#REF!</definedName>
    <definedName name="_tbe40" localSheetId="2">[1]Insumos!#REF!</definedName>
    <definedName name="_tbe40" localSheetId="3">[1]Insumos!#REF!</definedName>
    <definedName name="_tbe40" localSheetId="0">#REF!</definedName>
    <definedName name="_tbe40">#REF!</definedName>
    <definedName name="_tbe50" localSheetId="2">[1]Insumos!#REF!</definedName>
    <definedName name="_tbe50" localSheetId="3">[1]Insumos!#REF!</definedName>
    <definedName name="_tbe50" localSheetId="0">#REF!</definedName>
    <definedName name="_tbe50">#REF!</definedName>
    <definedName name="_tca80" localSheetId="2">[1]Insumos!#REF!</definedName>
    <definedName name="_tca80" localSheetId="3">[1]Insumos!#REF!</definedName>
    <definedName name="_tca80" localSheetId="0">#REF!</definedName>
    <definedName name="_tca80">#REF!</definedName>
    <definedName name="_tea32" localSheetId="2">[1]Insumos!#REF!</definedName>
    <definedName name="_tea32" localSheetId="3">[1]Insumos!#REF!</definedName>
    <definedName name="_tea32" localSheetId="0">#REF!</definedName>
    <definedName name="_tea32">#REF!</definedName>
    <definedName name="_tea4560" localSheetId="2">[1]Insumos!#REF!</definedName>
    <definedName name="_tea4560" localSheetId="3">[1]Insumos!#REF!</definedName>
    <definedName name="_tea4560" localSheetId="0">#REF!</definedName>
    <definedName name="_tea4560">#REF!</definedName>
    <definedName name="_tee100" localSheetId="2">[1]Insumos!#REF!</definedName>
    <definedName name="_tee100" localSheetId="3">[1]Insumos!#REF!</definedName>
    <definedName name="_tee100" localSheetId="0">#REF!</definedName>
    <definedName name="_tee100">#REF!</definedName>
    <definedName name="_ter10050" localSheetId="2">[1]Insumos!#REF!</definedName>
    <definedName name="_ter10050" localSheetId="3">[1]Insumos!#REF!</definedName>
    <definedName name="_ter10050" localSheetId="0">#REF!</definedName>
    <definedName name="_ter10050">#REF!</definedName>
    <definedName name="_tfg50" localSheetId="2">[1]Insumos!#REF!</definedName>
    <definedName name="_tfg50" localSheetId="3">[1]Insumos!#REF!</definedName>
    <definedName name="_tfg50" localSheetId="0">#REF!</definedName>
    <definedName name="_tfg50">#REF!</definedName>
    <definedName name="_tlf6" localSheetId="2">[1]Insumos!#REF!</definedName>
    <definedName name="_tlf6" localSheetId="3">[1]Insumos!#REF!</definedName>
    <definedName name="_tlf6" localSheetId="0">#REF!</definedName>
    <definedName name="_tlf6">#REF!</definedName>
    <definedName name="_tub10012" localSheetId="2">[1]Insumos!#REF!</definedName>
    <definedName name="_tub10012" localSheetId="3">[1]Insumos!#REF!</definedName>
    <definedName name="_tub10012" localSheetId="0">#REF!</definedName>
    <definedName name="_tub10012">#REF!</definedName>
    <definedName name="_tub10015" localSheetId="2">[1]Insumos!#REF!</definedName>
    <definedName name="_tub10015" localSheetId="3">[1]Insumos!#REF!</definedName>
    <definedName name="_tub10015" localSheetId="0">#REF!</definedName>
    <definedName name="_tub10015">#REF!</definedName>
    <definedName name="_tub10020" localSheetId="2">[1]Insumos!#REF!</definedName>
    <definedName name="_tub10020" localSheetId="3">[1]Insumos!#REF!</definedName>
    <definedName name="_tub10020" localSheetId="0">#REF!</definedName>
    <definedName name="_tub10020">#REF!</definedName>
    <definedName name="_tub15012" localSheetId="2">[1]Insumos!#REF!</definedName>
    <definedName name="_tub15012" localSheetId="3">[1]Insumos!#REF!</definedName>
    <definedName name="_tub15012" localSheetId="0">#REF!</definedName>
    <definedName name="_tub15012">#REF!</definedName>
    <definedName name="_tub4012" localSheetId="2">[1]Insumos!#REF!</definedName>
    <definedName name="_tub4012" localSheetId="3">[1]Insumos!#REF!</definedName>
    <definedName name="_tub4012" localSheetId="0">#REF!</definedName>
    <definedName name="_tub4012">#REF!</definedName>
    <definedName name="_tub4015" localSheetId="2">[1]Insumos!#REF!</definedName>
    <definedName name="_tub4015" localSheetId="3">[1]Insumos!#REF!</definedName>
    <definedName name="_tub4015" localSheetId="0">#REF!</definedName>
    <definedName name="_tub4015">#REF!</definedName>
    <definedName name="_tub4020" localSheetId="2">[1]Insumos!#REF!</definedName>
    <definedName name="_tub4020" localSheetId="3">[1]Insumos!#REF!</definedName>
    <definedName name="_tub4020" localSheetId="0">#REF!</definedName>
    <definedName name="_tub4020">#REF!</definedName>
    <definedName name="_tub5012" localSheetId="2">[1]Insumos!#REF!</definedName>
    <definedName name="_tub5012" localSheetId="3">[1]Insumos!#REF!</definedName>
    <definedName name="_tub5012" localSheetId="0">#REF!</definedName>
    <definedName name="_tub5012">#REF!</definedName>
    <definedName name="_tub5015" localSheetId="2">[1]Insumos!#REF!</definedName>
    <definedName name="_tub5015" localSheetId="3">[1]Insumos!#REF!</definedName>
    <definedName name="_tub5015" localSheetId="0">#REF!</definedName>
    <definedName name="_tub5015">#REF!</definedName>
    <definedName name="_tub5020" localSheetId="2">[1]Insumos!#REF!</definedName>
    <definedName name="_tub5020" localSheetId="3">[1]Insumos!#REF!</definedName>
    <definedName name="_tub5020" localSheetId="0">#REF!</definedName>
    <definedName name="_tub5020">#REF!</definedName>
    <definedName name="_tub7512" localSheetId="2">[1]Insumos!#REF!</definedName>
    <definedName name="_tub7512" localSheetId="3">[1]Insumos!#REF!</definedName>
    <definedName name="_tub7512" localSheetId="0">#REF!</definedName>
    <definedName name="_tub7512">#REF!</definedName>
    <definedName name="_tub7515" localSheetId="2">[1]Insumos!#REF!</definedName>
    <definedName name="_tub7515" localSheetId="3">[1]Insumos!#REF!</definedName>
    <definedName name="_tub7515" localSheetId="0">#REF!</definedName>
    <definedName name="_tub7515">#REF!</definedName>
    <definedName name="_tub7520" localSheetId="2">[1]Insumos!#REF!</definedName>
    <definedName name="_tub7520" localSheetId="3">[1]Insumos!#REF!</definedName>
    <definedName name="_tub7520" localSheetId="0">#REF!</definedName>
    <definedName name="_tub7520">#REF!</definedName>
    <definedName name="acl" localSheetId="2">[1]Insumos!#REF!</definedName>
    <definedName name="acl" localSheetId="3">[1]Insumos!#REF!</definedName>
    <definedName name="acl" localSheetId="0">#REF!</definedName>
    <definedName name="acl">#REF!</definedName>
    <definedName name="aço" localSheetId="2">[1]Insumos!#REF!</definedName>
    <definedName name="aço" localSheetId="3">[1]Insumos!#REF!</definedName>
    <definedName name="aço">#REF!</definedName>
    <definedName name="ade" localSheetId="2">[1]Insumos!#REF!</definedName>
    <definedName name="ade" localSheetId="3">[1]Insumos!#REF!</definedName>
    <definedName name="ade" localSheetId="0">#REF!</definedName>
    <definedName name="ade">#REF!</definedName>
    <definedName name="adtimp" localSheetId="2">[1]Insumos!#REF!</definedName>
    <definedName name="adtimp" localSheetId="3">[1]Insumos!#REF!</definedName>
    <definedName name="adtimp" localSheetId="0">#REF!</definedName>
    <definedName name="adtimp">#REF!</definedName>
    <definedName name="afi" localSheetId="2">[1]Insumos!#REF!</definedName>
    <definedName name="afi" localSheetId="3">[1]Insumos!#REF!</definedName>
    <definedName name="afi" localSheetId="0">#REF!</definedName>
    <definedName name="afi">#REF!</definedName>
    <definedName name="afp" localSheetId="2">[1]Insumos!#REF!</definedName>
    <definedName name="afp" localSheetId="3">[1]Insumos!#REF!</definedName>
    <definedName name="afp" localSheetId="0">#REF!</definedName>
    <definedName name="afp">#REF!</definedName>
    <definedName name="agr" localSheetId="2">[1]Insumos!#REF!</definedName>
    <definedName name="agr" localSheetId="3">[1]Insumos!#REF!</definedName>
    <definedName name="agr" localSheetId="0">#REF!</definedName>
    <definedName name="agr">#REF!</definedName>
    <definedName name="amc" localSheetId="2">[1]Insumos!#REF!</definedName>
    <definedName name="amc" localSheetId="3">[1]Insumos!#REF!</definedName>
    <definedName name="amc" localSheetId="0">#REF!</definedName>
    <definedName name="amc">#REF!</definedName>
    <definedName name="amd" localSheetId="2">[1]Insumos!#REF!</definedName>
    <definedName name="amd" localSheetId="3">[1]Insumos!#REF!</definedName>
    <definedName name="amd" localSheetId="0">#REF!</definedName>
    <definedName name="amd">#REF!</definedName>
    <definedName name="ame" localSheetId="2">[1]Insumos!#REF!</definedName>
    <definedName name="ame" localSheetId="3">[1]Insumos!#REF!</definedName>
    <definedName name="ame" localSheetId="0">#REF!</definedName>
    <definedName name="ame">#REF!</definedName>
    <definedName name="amm" localSheetId="2">[1]Insumos!#REF!</definedName>
    <definedName name="amm" localSheetId="3">[1]Insumos!#REF!</definedName>
    <definedName name="amm" localSheetId="0">#REF!</definedName>
    <definedName name="amm">#REF!</definedName>
    <definedName name="anb" localSheetId="2">[1]Insumos!#REF!</definedName>
    <definedName name="anb" localSheetId="3">[1]Insumos!#REF!</definedName>
    <definedName name="anb" localSheetId="0">#REF!</definedName>
    <definedName name="anb">#REF!</definedName>
    <definedName name="apc">#REF!</definedName>
    <definedName name="apmfs" localSheetId="2">[1]Insumos!#REF!</definedName>
    <definedName name="apmfs" localSheetId="3">[1]Insumos!#REF!</definedName>
    <definedName name="apmfs" localSheetId="0">#REF!</definedName>
    <definedName name="apmfs">#REF!</definedName>
    <definedName name="are" localSheetId="2">[1]Insumos!#REF!</definedName>
    <definedName name="are" localSheetId="3">[1]Insumos!#REF!</definedName>
    <definedName name="are" localSheetId="0">#REF!</definedName>
    <definedName name="are">#REF!</definedName>
    <definedName name="_xlnm.Print_Area" localSheetId="5">'Adutora Bruta de Recalque'!$A$1:$G$86</definedName>
    <definedName name="_xlnm.Print_Area" localSheetId="4">'BDI''s'!$A$1:$H$93</definedName>
    <definedName name="_xlnm.Print_Area" localSheetId="1">COMPOSIÇÕES!$A$1:$M$184</definedName>
    <definedName name="_xlnm.Print_Area" localSheetId="2">'CPU Poços'!$A$1:$I$559</definedName>
    <definedName name="_xlnm.Print_Area" localSheetId="3">'Insumos poços'!$B$2:$F$42</definedName>
    <definedName name="_xlnm.Print_Area" localSheetId="8">'Mem. Cálc. Escavações'!$A$1:$O$50</definedName>
    <definedName name="_xlnm.Print_Area" localSheetId="0">'Planilha Orçamentária'!$B$1:$I$138</definedName>
    <definedName name="_xlnm.Print_Area" localSheetId="6">'Rede de Distribuição'!$A$1:$Q$90</definedName>
    <definedName name="_xlnm.Print_Area" localSheetId="7">'VEICULO POPULAR'!$A$1:$E$56</definedName>
    <definedName name="B320I" localSheetId="2">#REF!</definedName>
    <definedName name="B320I" localSheetId="3">#REF!</definedName>
    <definedName name="B320I">#REF!</definedName>
    <definedName name="B320P" localSheetId="2">#REF!</definedName>
    <definedName name="B320P" localSheetId="3">#REF!</definedName>
    <definedName name="B320P">#REF!</definedName>
    <definedName name="B500I" localSheetId="2">#REF!</definedName>
    <definedName name="B500I" localSheetId="3">#REF!</definedName>
    <definedName name="B500I">#REF!</definedName>
    <definedName name="B500P" localSheetId="2">#REF!</definedName>
    <definedName name="B500P" localSheetId="3">#REF!</definedName>
    <definedName name="B500P">#REF!</definedName>
    <definedName name="bcc10.10" localSheetId="2">[1]Insumos!#REF!</definedName>
    <definedName name="bcc10.10" localSheetId="3">[1]Insumos!#REF!</definedName>
    <definedName name="bcc10.10" localSheetId="0">#REF!</definedName>
    <definedName name="bcc10.10">#REF!</definedName>
    <definedName name="bcc10.20" localSheetId="2">[1]Insumos!#REF!</definedName>
    <definedName name="bcc10.20" localSheetId="3">[1]Insumos!#REF!</definedName>
    <definedName name="bcc10.20" localSheetId="0">#REF!</definedName>
    <definedName name="bcc10.20">#REF!</definedName>
    <definedName name="bcc4.5" localSheetId="2">[1]Insumos!#REF!</definedName>
    <definedName name="bcc4.5" localSheetId="3">[1]Insumos!#REF!</definedName>
    <definedName name="bcc4.5" localSheetId="0">#REF!</definedName>
    <definedName name="bcc4.5">#REF!</definedName>
    <definedName name="bcc5.10" localSheetId="2">[1]Insumos!#REF!</definedName>
    <definedName name="bcc5.10" localSheetId="3">[1]Insumos!#REF!</definedName>
    <definedName name="bcc5.10" localSheetId="0">#REF!</definedName>
    <definedName name="bcc5.10">#REF!</definedName>
    <definedName name="bcc5.15" localSheetId="2">[1]Insumos!#REF!</definedName>
    <definedName name="bcc5.15" localSheetId="3">[1]Insumos!#REF!</definedName>
    <definedName name="bcc5.15" localSheetId="0">#REF!</definedName>
    <definedName name="bcc5.15">#REF!</definedName>
    <definedName name="bcc5.20" localSheetId="2">[1]Insumos!#REF!</definedName>
    <definedName name="bcc5.20" localSheetId="3">[1]Insumos!#REF!</definedName>
    <definedName name="bcc5.20" localSheetId="0">#REF!</definedName>
    <definedName name="bcc5.20">#REF!</definedName>
    <definedName name="bcc5.5" localSheetId="2">[1]Insumos!#REF!</definedName>
    <definedName name="bcc5.5" localSheetId="3">[1]Insumos!#REF!</definedName>
    <definedName name="bcc5.5" localSheetId="0">#REF!</definedName>
    <definedName name="bcc5.5">#REF!</definedName>
    <definedName name="bcc6.10" localSheetId="2">[1]Insumos!#REF!</definedName>
    <definedName name="bcc6.10" localSheetId="3">[1]Insumos!#REF!</definedName>
    <definedName name="bcc6.10" localSheetId="0">#REF!</definedName>
    <definedName name="bcc6.10">#REF!</definedName>
    <definedName name="bcc6.15" localSheetId="2">[1]Insumos!#REF!</definedName>
    <definedName name="bcc6.15" localSheetId="3">[1]Insumos!#REF!</definedName>
    <definedName name="bcc6.15" localSheetId="0">#REF!</definedName>
    <definedName name="bcc6.15">#REF!</definedName>
    <definedName name="bcc6.20" localSheetId="2">[1]Insumos!#REF!</definedName>
    <definedName name="bcc6.20" localSheetId="3">[1]Insumos!#REF!</definedName>
    <definedName name="bcc6.20" localSheetId="0">#REF!</definedName>
    <definedName name="bcc6.20">#REF!</definedName>
    <definedName name="bcc6.5" localSheetId="2">[1]Insumos!#REF!</definedName>
    <definedName name="bcc6.5" localSheetId="3">[1]Insumos!#REF!</definedName>
    <definedName name="bcc6.5" localSheetId="0">#REF!</definedName>
    <definedName name="bcc6.5">#REF!</definedName>
    <definedName name="bcc8.10" localSheetId="2">[1]Insumos!#REF!</definedName>
    <definedName name="bcc8.10" localSheetId="3">[1]Insumos!#REF!</definedName>
    <definedName name="bcc8.10" localSheetId="0">#REF!</definedName>
    <definedName name="bcc8.10">#REF!</definedName>
    <definedName name="bcc8.15" localSheetId="2">[1]Insumos!#REF!</definedName>
    <definedName name="bcc8.15" localSheetId="3">[1]Insumos!#REF!</definedName>
    <definedName name="bcc8.15" localSheetId="0">#REF!</definedName>
    <definedName name="bcc8.15">#REF!</definedName>
    <definedName name="bcc8.20" localSheetId="2">[1]Insumos!#REF!</definedName>
    <definedName name="bcc8.20" localSheetId="3">[1]Insumos!#REF!</definedName>
    <definedName name="bcc8.20" localSheetId="0">#REF!</definedName>
    <definedName name="bcc8.20">#REF!</definedName>
    <definedName name="bcc8.5" localSheetId="2">[1]Insumos!#REF!</definedName>
    <definedName name="bcc8.5" localSheetId="3">[1]Insumos!#REF!</definedName>
    <definedName name="bcc8.5" localSheetId="0">#REF!</definedName>
    <definedName name="bcc8.5">#REF!</definedName>
    <definedName name="bcf" localSheetId="2">[1]Insumos!#REF!</definedName>
    <definedName name="bcf" localSheetId="3">[1]Insumos!#REF!</definedName>
    <definedName name="bcf" localSheetId="0">#REF!</definedName>
    <definedName name="bcf">#REF!</definedName>
    <definedName name="bcp" localSheetId="2">[1]Insumos!#REF!</definedName>
    <definedName name="bcp" localSheetId="3">[1]Insumos!#REF!</definedName>
    <definedName name="bcp" localSheetId="0">#REF!</definedName>
    <definedName name="bcp">#REF!</definedName>
    <definedName name="BDI" localSheetId="7">1+'[2]Resumo São Francisco e Araripe'!#REF!</definedName>
    <definedName name="BDI">#REF!</definedName>
    <definedName name="BDIE">[3]Insumos!$D$5</definedName>
    <definedName name="bet" localSheetId="2">[1]Insumos!$D$81</definedName>
    <definedName name="bet" localSheetId="3">[1]Insumos!$D$81</definedName>
    <definedName name="bet" localSheetId="0">#REF!</definedName>
    <definedName name="bet">#REF!</definedName>
    <definedName name="bomp2" localSheetId="2">[1]Insumos!#REF!</definedName>
    <definedName name="bomp2" localSheetId="3">[1]Insumos!#REF!</definedName>
    <definedName name="bomp2" localSheetId="0">#REF!</definedName>
    <definedName name="bomp2">#REF!</definedName>
    <definedName name="BPF">#REF!</definedName>
    <definedName name="CA">'[4]Composição auxiliar'!$A:$M</definedName>
    <definedName name="CA15I" localSheetId="2">#REF!</definedName>
    <definedName name="CA15I" localSheetId="3">#REF!</definedName>
    <definedName name="CA15I">#REF!</definedName>
    <definedName name="CA15P" localSheetId="2">#REF!</definedName>
    <definedName name="CA15P" localSheetId="3">#REF!</definedName>
    <definedName name="CA15P">#REF!</definedName>
    <definedName name="CA25I" localSheetId="2">#REF!</definedName>
    <definedName name="CA25I" localSheetId="3">#REF!</definedName>
    <definedName name="CA25I">#REF!</definedName>
    <definedName name="CA25P" localSheetId="2">#REF!</definedName>
    <definedName name="CA25P" localSheetId="3">#REF!</definedName>
    <definedName name="CA25P">#REF!</definedName>
    <definedName name="caba1_0" localSheetId="2">#REF!</definedName>
    <definedName name="caba1_0" localSheetId="3">#REF!</definedName>
    <definedName name="caba1_0">#REF!</definedName>
    <definedName name="caba4" localSheetId="2">#REF!</definedName>
    <definedName name="caba4" localSheetId="3">#REF!</definedName>
    <definedName name="caba4">#REF!</definedName>
    <definedName name="cal" localSheetId="2">[1]Insumos!#REF!</definedName>
    <definedName name="cal" localSheetId="3">[1]Insumos!#REF!</definedName>
    <definedName name="cal" localSheetId="0">#REF!</definedName>
    <definedName name="cal">#REF!</definedName>
    <definedName name="calpi" localSheetId="2">[1]Insumos!#REF!</definedName>
    <definedName name="calpi" localSheetId="3">[1]Insumos!#REF!</definedName>
    <definedName name="calpi" localSheetId="0">#REF!</definedName>
    <definedName name="calpi">#REF!</definedName>
    <definedName name="camp" localSheetId="2">[1]Insumos!#REF!</definedName>
    <definedName name="camp" localSheetId="3">[1]Insumos!#REF!</definedName>
    <definedName name="camp">#REF!</definedName>
    <definedName name="CB10I">#REF!</definedName>
    <definedName name="CB10P" localSheetId="2">#REF!</definedName>
    <definedName name="CB10P" localSheetId="3">#REF!</definedName>
    <definedName name="CB10P">#REF!</definedName>
    <definedName name="CB4I" localSheetId="2">#REF!</definedName>
    <definedName name="CB4I" localSheetId="3">#REF!</definedName>
    <definedName name="CB4I">#REF!</definedName>
    <definedName name="CB4P" localSheetId="2">#REF!</definedName>
    <definedName name="CB4P" localSheetId="3">#REF!</definedName>
    <definedName name="CB4P">#REF!</definedName>
    <definedName name="CB6.5I" localSheetId="2">#REF!</definedName>
    <definedName name="CB6.5I" localSheetId="3">#REF!</definedName>
    <definedName name="CB6.5I">#REF!</definedName>
    <definedName name="CB6.5P" localSheetId="2">#REF!</definedName>
    <definedName name="CB6.5P" localSheetId="3">#REF!</definedName>
    <definedName name="CB6.5P">#REF!</definedName>
    <definedName name="CB6I" localSheetId="2">#REF!</definedName>
    <definedName name="CB6I" localSheetId="3">#REF!</definedName>
    <definedName name="CB6I">#REF!</definedName>
    <definedName name="CB6P" localSheetId="2">#REF!</definedName>
    <definedName name="CB6P" localSheetId="3">#REF!</definedName>
    <definedName name="CB6P">#REF!</definedName>
    <definedName name="cbas" localSheetId="2">[1]Insumos!#REF!</definedName>
    <definedName name="cbas" localSheetId="3">[1]Insumos!#REF!</definedName>
    <definedName name="cbas" localSheetId="0">#REF!</definedName>
    <definedName name="cbas">#REF!</definedName>
    <definedName name="ccp" localSheetId="2">[1]Insumos!#REF!</definedName>
    <definedName name="ccp" localSheetId="3">[1]Insumos!#REF!</definedName>
    <definedName name="ccp" localSheetId="0">#REF!</definedName>
    <definedName name="ccp">#REF!</definedName>
    <definedName name="cds" localSheetId="2">[1]Insumos!#REF!</definedName>
    <definedName name="cds" localSheetId="3">[1]Insumos!#REF!</definedName>
    <definedName name="cds" localSheetId="0">#REF!</definedName>
    <definedName name="cds">#REF!</definedName>
    <definedName name="cec20x20" localSheetId="2">[1]Insumos!#REF!</definedName>
    <definedName name="cec20x20" localSheetId="3">[1]Insumos!#REF!</definedName>
    <definedName name="cec20x20" localSheetId="0">#REF!</definedName>
    <definedName name="cec20x20">#REF!</definedName>
    <definedName name="cer1_2" localSheetId="2">[1]Insumos!#REF!</definedName>
    <definedName name="cer1_2" localSheetId="3">[1]Insumos!#REF!</definedName>
    <definedName name="cer1_2" localSheetId="0">#REF!</definedName>
    <definedName name="cer1_2">#REF!</definedName>
    <definedName name="chaf" localSheetId="2">[1]Insumos!#REF!</definedName>
    <definedName name="chaf" localSheetId="3">[1]Insumos!#REF!</definedName>
    <definedName name="chaf" localSheetId="0">#REF!</definedName>
    <definedName name="chaf">#REF!</definedName>
    <definedName name="cib" localSheetId="2">[1]Insumos!#REF!</definedName>
    <definedName name="cib" localSheetId="3">[1]Insumos!#REF!</definedName>
    <definedName name="cib" localSheetId="0">#REF!</definedName>
    <definedName name="cib">#REF!</definedName>
    <definedName name="cim" localSheetId="2">[1]Insumos!#REF!</definedName>
    <definedName name="cim" localSheetId="3">[1]Insumos!#REF!</definedName>
    <definedName name="cim" localSheetId="0">#REF!</definedName>
    <definedName name="cim">#REF!</definedName>
    <definedName name="cim_5">#REF!</definedName>
    <definedName name="clp" localSheetId="2">[1]Insumos!#REF!</definedName>
    <definedName name="clp" localSheetId="3">[1]Insumos!#REF!</definedName>
    <definedName name="clp" localSheetId="0">#REF!</definedName>
    <definedName name="clp">#REF!</definedName>
    <definedName name="clr1_2" localSheetId="2">[1]Insumos!#REF!</definedName>
    <definedName name="clr1_2" localSheetId="3">[1]Insumos!#REF!</definedName>
    <definedName name="clr1_2" localSheetId="0">#REF!</definedName>
    <definedName name="clr1_2">#REF!</definedName>
    <definedName name="CM9I">#REF!</definedName>
    <definedName name="CM9P" localSheetId="2">#REF!</definedName>
    <definedName name="CM9P" localSheetId="3">#REF!</definedName>
    <definedName name="CM9P">#REF!</definedName>
    <definedName name="comp" localSheetId="2">[1]Insumos!#REF!</definedName>
    <definedName name="comp" localSheetId="3">[1]Insumos!#REF!</definedName>
    <definedName name="comp" localSheetId="0">#REF!</definedName>
    <definedName name="comp">#REF!</definedName>
    <definedName name="CPA">#REF!</definedName>
    <definedName name="CPAF" localSheetId="2">#REF!</definedName>
    <definedName name="CPAF" localSheetId="3">#REF!</definedName>
    <definedName name="CPAF">#REF!</definedName>
    <definedName name="ctfa4" localSheetId="2">[1]Insumos!#REF!</definedName>
    <definedName name="ctfa4" localSheetId="3">[1]Insumos!#REF!</definedName>
    <definedName name="ctfa4" localSheetId="0">#REF!</definedName>
    <definedName name="ctfa4">#REF!</definedName>
    <definedName name="ctpvc" localSheetId="2">[1]Insumos!#REF!</definedName>
    <definedName name="ctpvc" localSheetId="3">[1]Insumos!#REF!</definedName>
    <definedName name="ctpvc" localSheetId="0">#REF!</definedName>
    <definedName name="ctpvc">#REF!</definedName>
    <definedName name="cumeeira" localSheetId="2">[1]Insumos!#REF!</definedName>
    <definedName name="cumeeira" localSheetId="3">[1]Insumos!#REF!</definedName>
    <definedName name="cumeeira" localSheetId="0">#REF!</definedName>
    <definedName name="cumeeira">#REF!</definedName>
    <definedName name="cumeira" localSheetId="2">[1]Insumos!#REF!</definedName>
    <definedName name="cumeira" localSheetId="3">[1]Insumos!#REF!</definedName>
    <definedName name="cumeira" localSheetId="0">#REF!</definedName>
    <definedName name="cumeira">#REF!</definedName>
    <definedName name="cxp4x2" localSheetId="2">[1]Insumos!#REF!</definedName>
    <definedName name="cxp4x2" localSheetId="3">[1]Insumos!#REF!</definedName>
    <definedName name="cxp4x2" localSheetId="0">#REF!</definedName>
    <definedName name="cxp4x2">#REF!</definedName>
    <definedName name="D6I">#REF!</definedName>
    <definedName name="D6P" localSheetId="2">#REF!</definedName>
    <definedName name="D6P" localSheetId="3">#REF!</definedName>
    <definedName name="D6P">#REF!</definedName>
    <definedName name="D8I" localSheetId="2">#REF!</definedName>
    <definedName name="D8I" localSheetId="3">#REF!</definedName>
    <definedName name="D8I">#REF!</definedName>
    <definedName name="D8P" localSheetId="2">#REF!</definedName>
    <definedName name="D8P" localSheetId="3">#REF!</definedName>
    <definedName name="D8P">#REF!</definedName>
    <definedName name="DAT">NA()</definedName>
    <definedName name="desm" localSheetId="2">[1]Insumos!#REF!</definedName>
    <definedName name="desm" localSheetId="3">[1]Insumos!#REF!</definedName>
    <definedName name="desm" localSheetId="0">#REF!</definedName>
    <definedName name="desm">#REF!</definedName>
    <definedName name="DIE">#REF!</definedName>
    <definedName name="DIF" localSheetId="2">#REF!</definedName>
    <definedName name="DIF" localSheetId="3">#REF!</definedName>
    <definedName name="DIF">#REF!</definedName>
    <definedName name="DIF_2" localSheetId="2">#REF!</definedName>
    <definedName name="DIF_2" localSheetId="3">#REF!</definedName>
    <definedName name="DIF_2">#REF!</definedName>
    <definedName name="DKM" localSheetId="2">#REF!</definedName>
    <definedName name="DKM" localSheetId="3">#REF!</definedName>
    <definedName name="DKM">#REF!</definedName>
    <definedName name="E" localSheetId="2">[1]Insumos!#REF!</definedName>
    <definedName name="E" localSheetId="3">[1]Insumos!#REF!</definedName>
    <definedName name="E" localSheetId="0">#REF!</definedName>
    <definedName name="E">#REF!</definedName>
    <definedName name="ecm" localSheetId="2">[1]Insumos!#REF!</definedName>
    <definedName name="ecm" localSheetId="3">[1]Insumos!#REF!</definedName>
    <definedName name="ecm" localSheetId="0">#REF!</definedName>
    <definedName name="ecm">#REF!</definedName>
    <definedName name="ele" localSheetId="2">[1]Insumos!#REF!</definedName>
    <definedName name="ele" localSheetId="3">[1]Insumos!#REF!</definedName>
    <definedName name="ele" localSheetId="0">#REF!</definedName>
    <definedName name="ele">#REF!</definedName>
    <definedName name="elr1_2" localSheetId="2">[1]Insumos!#REF!</definedName>
    <definedName name="elr1_2" localSheetId="3">[1]Insumos!#REF!</definedName>
    <definedName name="elr1_2" localSheetId="0">#REF!</definedName>
    <definedName name="elr1_2">#REF!</definedName>
    <definedName name="elv50x40" localSheetId="2">[1]Insumos!#REF!</definedName>
    <definedName name="elv50x40" localSheetId="3">[1]Insumos!#REF!</definedName>
    <definedName name="elv50x40" localSheetId="0">#REF!</definedName>
    <definedName name="elv50x40">#REF!</definedName>
    <definedName name="enc" localSheetId="0">#REF!</definedName>
    <definedName name="enc">#REF!</definedName>
    <definedName name="ENC_5">#REF!</definedName>
    <definedName name="ENE" localSheetId="2">#REF!</definedName>
    <definedName name="ENE" localSheetId="3">#REF!</definedName>
    <definedName name="ENE">#REF!</definedName>
    <definedName name="epm2.5" localSheetId="2">[1]Insumos!#REF!</definedName>
    <definedName name="epm2.5" localSheetId="3">[1]Insumos!#REF!</definedName>
    <definedName name="epm2.5" localSheetId="0">#REF!</definedName>
    <definedName name="epm2.5">#REF!</definedName>
    <definedName name="EQ">'[4]CUSTOS UNITÁRIOS'!$C$373:$I$540</definedName>
    <definedName name="esm" localSheetId="2">[1]Insumos!#REF!</definedName>
    <definedName name="esm" localSheetId="3">[1]Insumos!#REF!</definedName>
    <definedName name="esm" localSheetId="0">#REF!</definedName>
    <definedName name="esm">#REF!</definedName>
    <definedName name="est" localSheetId="2">[1]Insumos!#REF!</definedName>
    <definedName name="est" localSheetId="3">[1]Insumos!#REF!</definedName>
    <definedName name="est" localSheetId="0">#REF!</definedName>
    <definedName name="est">#REF!</definedName>
    <definedName name="est1.5_15" localSheetId="2">[1]Insumos!#REF!</definedName>
    <definedName name="est1.5_15" localSheetId="3">[1]Insumos!#REF!</definedName>
    <definedName name="est1.5_15" localSheetId="0">#REF!</definedName>
    <definedName name="est1.5_15">#REF!</definedName>
    <definedName name="Excel_BuiltIn__FilterDatabase_4" localSheetId="0">'Planilha Orçamentária'!#REF!</definedName>
    <definedName name="Excel_BuiltIn__FilterDatabase_4">#REF!</definedName>
    <definedName name="Excel_BuiltIn_Print_Area_3" localSheetId="7">#REF!</definedName>
    <definedName name="Excel_BuiltIn_Print_Area_3">#REF!</definedName>
    <definedName name="Excel_BuiltIn_Print_Area_5" localSheetId="2">[5]CPU!#REF!</definedName>
    <definedName name="Excel_BuiltIn_Print_Area_5" localSheetId="3">[5]CPU!#REF!</definedName>
    <definedName name="Excel_BuiltIn_Print_Area_5" localSheetId="0">#REF!</definedName>
    <definedName name="Excel_BuiltIn_Print_Area_5">#REF!</definedName>
    <definedName name="Excel_BuiltIn_Print_Area_8">#REF!</definedName>
    <definedName name="Excel_BuiltIn_Print_Titles_3" localSheetId="2">#REF!</definedName>
    <definedName name="Excel_BuiltIn_Print_Titles_3" localSheetId="3">#REF!</definedName>
    <definedName name="Excel_BuiltIn_Print_Titles_3" localSheetId="7">#REF!</definedName>
    <definedName name="Excel_BuiltIn_Print_Titles_3">#REF!</definedName>
    <definedName name="Excel_BuiltIn_Print_Titles_4">'[2]Resumo São Francisco e Araripe'!#REF!</definedName>
    <definedName name="Excel_BuiltIn_Print_Titles_8">#REF!</definedName>
    <definedName name="fcm" localSheetId="2">[1]Insumos!#REF!</definedName>
    <definedName name="fcm" localSheetId="3">[1]Insumos!#REF!</definedName>
    <definedName name="fcm" localSheetId="0">#REF!</definedName>
    <definedName name="fcm">#REF!</definedName>
    <definedName name="fer" localSheetId="2">[1]Insumos!#REF!</definedName>
    <definedName name="fer" localSheetId="3">[1]Insumos!#REF!</definedName>
    <definedName name="fer" localSheetId="0">#REF!</definedName>
    <definedName name="fer">#REF!</definedName>
    <definedName name="fossa" localSheetId="2">[1]Insumos!#REF!</definedName>
    <definedName name="fossa" localSheetId="3">[1]Insumos!#REF!</definedName>
    <definedName name="fossa" localSheetId="0">#REF!</definedName>
    <definedName name="fossa">#REF!</definedName>
    <definedName name="FT">#REF!</definedName>
    <definedName name="GAS" localSheetId="2">#REF!</definedName>
    <definedName name="GAS" localSheetId="3">#REF!</definedName>
    <definedName name="GAS">#REF!</definedName>
    <definedName name="gdc" localSheetId="2">[1]Insumos!#REF!</definedName>
    <definedName name="gdc" localSheetId="3">[1]Insumos!#REF!</definedName>
    <definedName name="gdc" localSheetId="0">#REF!</definedName>
    <definedName name="gdc">#REF!</definedName>
    <definedName name="gfg" localSheetId="2">[1]Insumos!#REF!</definedName>
    <definedName name="gfg" localSheetId="3">[1]Insumos!#REF!</definedName>
    <definedName name="gfg" localSheetId="0">#REF!</definedName>
    <definedName name="gfg">#REF!</definedName>
    <definedName name="ggm" localSheetId="2">[1]Insumos!#REF!</definedName>
    <definedName name="ggm" localSheetId="3">[1]Insumos!#REF!</definedName>
    <definedName name="ggm" localSheetId="0">#REF!</definedName>
    <definedName name="ggm">#REF!</definedName>
    <definedName name="graf">#REF!</definedName>
    <definedName name="GRI" localSheetId="2">#REF!</definedName>
    <definedName name="GRI" localSheetId="3">#REF!</definedName>
    <definedName name="GRI">#REF!</definedName>
    <definedName name="GRP" localSheetId="2">#REF!</definedName>
    <definedName name="GRP" localSheetId="3">#REF!</definedName>
    <definedName name="GRP">#REF!</definedName>
    <definedName name="grx" localSheetId="2">[1]Insumos!#REF!</definedName>
    <definedName name="grx" localSheetId="3">[1]Insumos!#REF!</definedName>
    <definedName name="grx" localSheetId="0">#REF!</definedName>
    <definedName name="grx">#REF!</definedName>
    <definedName name="hid1_2" localSheetId="2">[1]Insumos!#REF!</definedName>
    <definedName name="hid1_2" localSheetId="3">[1]Insumos!#REF!</definedName>
    <definedName name="hid1_2" localSheetId="0">#REF!</definedName>
    <definedName name="hid1_2">#REF!</definedName>
    <definedName name="ipf" localSheetId="2">[1]Insumos!#REF!</definedName>
    <definedName name="ipf" localSheetId="3">[1]Insumos!#REF!</definedName>
    <definedName name="ipf" localSheetId="0">#REF!</definedName>
    <definedName name="ipf">#REF!</definedName>
    <definedName name="itus1" localSheetId="2">[1]Insumos!#REF!</definedName>
    <definedName name="itus1" localSheetId="3">[1]Insumos!#REF!</definedName>
    <definedName name="itus1" localSheetId="0">#REF!</definedName>
    <definedName name="itus1">#REF!</definedName>
    <definedName name="jla1_220" localSheetId="2">[1]Insumos!#REF!</definedName>
    <definedName name="jla1_220" localSheetId="3">[1]Insumos!#REF!</definedName>
    <definedName name="jla1_220" localSheetId="0">#REF!</definedName>
    <definedName name="jla1_220">#REF!</definedName>
    <definedName name="JRS">#REF!</definedName>
    <definedName name="lm6_3" localSheetId="2">[1]Insumos!#REF!</definedName>
    <definedName name="lm6_3" localSheetId="3">[1]Insumos!#REF!</definedName>
    <definedName name="lm6_3" localSheetId="0">#REF!</definedName>
    <definedName name="lm6_3">#REF!</definedName>
    <definedName name="lnm" localSheetId="2">[1]Insumos!#REF!</definedName>
    <definedName name="lnm" localSheetId="3">[1]Insumos!#REF!</definedName>
    <definedName name="lnm" localSheetId="0">#REF!</definedName>
    <definedName name="lnm">#REF!</definedName>
    <definedName name="lpb" localSheetId="2">[1]Insumos!#REF!</definedName>
    <definedName name="lpb" localSheetId="3">[1]Insumos!#REF!</definedName>
    <definedName name="lpb" localSheetId="0">#REF!</definedName>
    <definedName name="lpb">#REF!</definedName>
    <definedName name="LSO" localSheetId="2">[1]Insumos!#REF!</definedName>
    <definedName name="LSO" localSheetId="3">[1]Insumos!#REF!</definedName>
    <definedName name="LSO" localSheetId="0">#REF!</definedName>
    <definedName name="LSO">#REF!</definedName>
    <definedName name="lub" localSheetId="2">[1]Insumos!#REF!</definedName>
    <definedName name="lub" localSheetId="3">[1]Insumos!#REF!</definedName>
    <definedName name="lub" localSheetId="0">#REF!</definedName>
    <definedName name="lub">#REF!</definedName>
    <definedName name="lvg12050_1" localSheetId="2">[1]Insumos!#REF!</definedName>
    <definedName name="lvg12050_1" localSheetId="3">[1]Insumos!#REF!</definedName>
    <definedName name="lvg12050_1" localSheetId="0">#REF!</definedName>
    <definedName name="lvg12050_1">#REF!</definedName>
    <definedName name="lvp1_2" localSheetId="2">[1]Insumos!#REF!</definedName>
    <definedName name="lvp1_2" localSheetId="3">[1]Insumos!#REF!</definedName>
    <definedName name="lvp1_2" localSheetId="0">#REF!</definedName>
    <definedName name="lvp1_2">#REF!</definedName>
    <definedName name="lvr" localSheetId="2">[1]Insumos!#REF!</definedName>
    <definedName name="lvr" localSheetId="3">[1]Insumos!#REF!</definedName>
    <definedName name="lvr" localSheetId="0">#REF!</definedName>
    <definedName name="lvr">#REF!</definedName>
    <definedName name="lxa" localSheetId="2">[1]Insumos!#REF!</definedName>
    <definedName name="lxa" localSheetId="3">[1]Insumos!#REF!</definedName>
    <definedName name="lxa" localSheetId="0">#REF!</definedName>
    <definedName name="lxa">#REF!</definedName>
    <definedName name="lxaf" localSheetId="2">[1]Insumos!#REF!</definedName>
    <definedName name="lxaf" localSheetId="3">[1]Insumos!#REF!</definedName>
    <definedName name="lxaf" localSheetId="0">#REF!</definedName>
    <definedName name="lxaf">#REF!</definedName>
    <definedName name="mad" localSheetId="2">[1]Insumos!#REF!</definedName>
    <definedName name="mad" localSheetId="3">[1]Insumos!#REF!</definedName>
    <definedName name="mad" localSheetId="0">#REF!</definedName>
    <definedName name="mad">#REF!</definedName>
    <definedName name="map" localSheetId="2">[1]Insumos!#REF!</definedName>
    <definedName name="map" localSheetId="3">[1]Insumos!#REF!</definedName>
    <definedName name="map" localSheetId="0">#REF!</definedName>
    <definedName name="map">#REF!</definedName>
    <definedName name="mdn" localSheetId="2">[1]Insumos!#REF!</definedName>
    <definedName name="mdn" localSheetId="3">[1]Insumos!#REF!</definedName>
    <definedName name="mdn" localSheetId="0">#REF!</definedName>
    <definedName name="mdn">#REF!</definedName>
    <definedName name="MNI">#REF!</definedName>
    <definedName name="MNP" localSheetId="2">#REF!</definedName>
    <definedName name="MNP" localSheetId="3">#REF!</definedName>
    <definedName name="MNP">#REF!</definedName>
    <definedName name="MO">'[4]CUSTOS UNITÁRIOS'!$C$316:$I$371</definedName>
    <definedName name="mour" localSheetId="2">#REF!</definedName>
    <definedName name="mour" localSheetId="3">#REF!</definedName>
    <definedName name="mour">#REF!</definedName>
    <definedName name="mpm2.5" localSheetId="2">[1]Insumos!#REF!</definedName>
    <definedName name="mpm2.5" localSheetId="3">[1]Insumos!#REF!</definedName>
    <definedName name="mpm2.5" localSheetId="0">#REF!</definedName>
    <definedName name="mpm2.5">#REF!</definedName>
    <definedName name="msv" localSheetId="2">[1]Insumos!#REF!</definedName>
    <definedName name="msv" localSheetId="3">[1]Insumos!#REF!</definedName>
    <definedName name="msv" localSheetId="0">#REF!</definedName>
    <definedName name="msv">#REF!</definedName>
    <definedName name="MT">'[4]CUSTOS UNITÁRIOS'!$C$4:$G$315</definedName>
    <definedName name="niv" localSheetId="2">[1]Insumos!#REF!</definedName>
    <definedName name="niv" localSheetId="3">[1]Insumos!#REF!</definedName>
    <definedName name="niv" localSheetId="0">#REF!</definedName>
    <definedName name="niv">#REF!</definedName>
    <definedName name="nome">NA()</definedName>
    <definedName name="nome_2">NA()</definedName>
    <definedName name="odi" localSheetId="2">[1]Insumos!#REF!</definedName>
    <definedName name="odi" localSheetId="3">[1]Insumos!#REF!</definedName>
    <definedName name="odi" localSheetId="0">#REF!</definedName>
    <definedName name="odi">#REF!</definedName>
    <definedName name="ofc">NA()</definedName>
    <definedName name="ofi" localSheetId="2">[1]Insumos!#REF!</definedName>
    <definedName name="ofi" localSheetId="3">[1]Insumos!#REF!</definedName>
    <definedName name="ofi" localSheetId="0">#REF!</definedName>
    <definedName name="ofi">#REF!</definedName>
    <definedName name="OGU">#REF!</definedName>
    <definedName name="oli" localSheetId="2">[1]Insumos!#REF!</definedName>
    <definedName name="oli" localSheetId="3">[1]Insumos!#REF!</definedName>
    <definedName name="oli" localSheetId="0">#REF!</definedName>
    <definedName name="oli">#REF!</definedName>
    <definedName name="pcf60x210" localSheetId="2">[1]Insumos!#REF!</definedName>
    <definedName name="pcf60x210" localSheetId="3">[1]Insumos!#REF!</definedName>
    <definedName name="pcf60x210" localSheetId="0">#REF!</definedName>
    <definedName name="pcf60x210">#REF!</definedName>
    <definedName name="pcf80x200" localSheetId="2">[1]Insumos!#REF!</definedName>
    <definedName name="pcf80x200" localSheetId="3">[1]Insumos!#REF!</definedName>
    <definedName name="pcf80x200" localSheetId="0">#REF!</definedName>
    <definedName name="pcf80x200">#REF!</definedName>
    <definedName name="pcf80x210" localSheetId="2">[1]Insumos!#REF!</definedName>
    <definedName name="pcf80x210" localSheetId="3">[1]Insumos!#REF!</definedName>
    <definedName name="pcf80x210" localSheetId="0">#REF!</definedName>
    <definedName name="pcf80x210">#REF!</definedName>
    <definedName name="pcfc" localSheetId="2">[1]Insumos!#REF!</definedName>
    <definedName name="pcfc" localSheetId="3">[1]Insumos!#REF!</definedName>
    <definedName name="pcfc" localSheetId="0">#REF!</definedName>
    <definedName name="pcfc">#REF!</definedName>
    <definedName name="pdm" localSheetId="2">[1]Insumos!#REF!</definedName>
    <definedName name="pdm" localSheetId="3">[1]Insumos!#REF!</definedName>
    <definedName name="pdm" localSheetId="0">#REF!</definedName>
    <definedName name="pdm">#REF!</definedName>
    <definedName name="pdm_5">#REF!</definedName>
    <definedName name="pes" localSheetId="2">[1]Insumos!#REF!</definedName>
    <definedName name="pes" localSheetId="3">[1]Insumos!#REF!</definedName>
    <definedName name="pes" localSheetId="0">#REF!</definedName>
    <definedName name="pes">#REF!</definedName>
    <definedName name="pig" localSheetId="2">[1]Insumos!#REF!</definedName>
    <definedName name="pig" localSheetId="3">[1]Insumos!#REF!</definedName>
    <definedName name="pig" localSheetId="0">#REF!</definedName>
    <definedName name="pig">#REF!</definedName>
    <definedName name="PII">#REF!</definedName>
    <definedName name="PIP" localSheetId="2">#REF!</definedName>
    <definedName name="PIP" localSheetId="3">#REF!</definedName>
    <definedName name="PIP">#REF!</definedName>
    <definedName name="plc" localSheetId="2">[1]Insumos!#REF!</definedName>
    <definedName name="plc" localSheetId="3">[1]Insumos!#REF!</definedName>
    <definedName name="plc" localSheetId="0">#REF!</definedName>
    <definedName name="plc">#REF!</definedName>
    <definedName name="plc2.5" localSheetId="2">[1]Insumos!#REF!</definedName>
    <definedName name="plc2.5" localSheetId="3">[1]Insumos!#REF!</definedName>
    <definedName name="plc2.5" localSheetId="0">#REF!</definedName>
    <definedName name="plc2.5">#REF!</definedName>
    <definedName name="PMS">#REF!</definedName>
    <definedName name="pont" localSheetId="2">[1]Insumos!#REF!</definedName>
    <definedName name="pont" localSheetId="3">[1]Insumos!#REF!</definedName>
    <definedName name="pont" localSheetId="0">#REF!</definedName>
    <definedName name="pont">#REF!</definedName>
    <definedName name="pref">NA()</definedName>
    <definedName name="pref_2">NA()</definedName>
    <definedName name="prf" localSheetId="2">[1]Insumos!#REF!</definedName>
    <definedName name="prf" localSheetId="3">[1]Insumos!#REF!</definedName>
    <definedName name="prf" localSheetId="0">#REF!</definedName>
    <definedName name="prf">#REF!</definedName>
    <definedName name="prg" localSheetId="2">[1]Insumos!#REF!</definedName>
    <definedName name="prg" localSheetId="3">[1]Insumos!#REF!</definedName>
    <definedName name="prg" localSheetId="0">#REF!</definedName>
    <definedName name="prg">#REF!</definedName>
    <definedName name="prg_5">#REF!</definedName>
    <definedName name="PROJ" localSheetId="2">#REF!</definedName>
    <definedName name="PROJ" localSheetId="3">#REF!</definedName>
    <definedName name="PROJ">#REF!</definedName>
    <definedName name="prtm" localSheetId="2">[1]Insumos!#REF!</definedName>
    <definedName name="prtm" localSheetId="3">[1]Insumos!#REF!</definedName>
    <definedName name="prtm" localSheetId="0">#REF!</definedName>
    <definedName name="prtm">#REF!</definedName>
    <definedName name="ptt3x2" localSheetId="2">[1]Insumos!#REF!</definedName>
    <definedName name="ptt3x2" localSheetId="3">[1]Insumos!#REF!</definedName>
    <definedName name="ptt3x2" localSheetId="0">#REF!</definedName>
    <definedName name="ptt3x2">#REF!</definedName>
    <definedName name="qgm" localSheetId="2">[1]Insumos!#REF!</definedName>
    <definedName name="qgm" localSheetId="3">[1]Insumos!#REF!</definedName>
    <definedName name="qgm" localSheetId="0">#REF!</definedName>
    <definedName name="qgm">#REF!</definedName>
    <definedName name="rdt13.8" localSheetId="2">[1]Insumos!#REF!</definedName>
    <definedName name="rdt13.8" localSheetId="3">[1]Insumos!#REF!</definedName>
    <definedName name="rdt13.8" localSheetId="0">#REF!</definedName>
    <definedName name="rdt13.8">#REF!</definedName>
    <definedName name="rec" localSheetId="2">[1]Insumos!#REF!</definedName>
    <definedName name="rec" localSheetId="3">[1]Insumos!#REF!</definedName>
    <definedName name="rec" localSheetId="0">#REF!</definedName>
    <definedName name="rec">#REF!</definedName>
    <definedName name="RES">#REF!</definedName>
    <definedName name="rgG3_4" localSheetId="2">[1]Insumos!#REF!</definedName>
    <definedName name="rgG3_4" localSheetId="3">[1]Insumos!#REF!</definedName>
    <definedName name="rgG3_4" localSheetId="0">#REF!</definedName>
    <definedName name="rgG3_4">#REF!</definedName>
    <definedName name="rgp1_2" localSheetId="2">[1]Insumos!#REF!</definedName>
    <definedName name="rgp1_2" localSheetId="3">[1]Insumos!#REF!</definedName>
    <definedName name="rgp1_2" localSheetId="0">#REF!</definedName>
    <definedName name="rgp1_2">#REF!</definedName>
    <definedName name="RLI">#REF!</definedName>
    <definedName name="RLP" localSheetId="2">#REF!</definedName>
    <definedName name="RLP" localSheetId="3">#REF!</definedName>
    <definedName name="RLP">#REF!</definedName>
    <definedName name="RPI" localSheetId="2">#REF!</definedName>
    <definedName name="RPI" localSheetId="3">#REF!</definedName>
    <definedName name="RPI">#REF!</definedName>
    <definedName name="RPP" localSheetId="2">#REF!</definedName>
    <definedName name="RPP" localSheetId="3">#REF!</definedName>
    <definedName name="RPP">#REF!</definedName>
    <definedName name="s14_">#REF!</definedName>
    <definedName name="SAL">#REF!</definedName>
    <definedName name="seat15" localSheetId="2">[1]Insumos!#REF!</definedName>
    <definedName name="seat15" localSheetId="3">[1]Insumos!#REF!</definedName>
    <definedName name="seat15" localSheetId="0">#REF!</definedName>
    <definedName name="seat15">#REF!</definedName>
    <definedName name="sin" localSheetId="2">[1]Insumos!#REF!</definedName>
    <definedName name="sin" localSheetId="3">[1]Insumos!#REF!</definedName>
    <definedName name="sin" localSheetId="0">#REF!</definedName>
    <definedName name="sin">#REF!</definedName>
    <definedName name="sollimp" localSheetId="2">[1]Insumos!#REF!</definedName>
    <definedName name="sollimp" localSheetId="3">[1]Insumos!#REF!</definedName>
    <definedName name="sollimp" localSheetId="0">#REF!</definedName>
    <definedName name="sollimp">#REF!</definedName>
    <definedName name="srv" localSheetId="2">[1]Insumos!#REF!</definedName>
    <definedName name="srv" localSheetId="3">[1]Insumos!#REF!</definedName>
    <definedName name="srv" localSheetId="0">#REF!</definedName>
    <definedName name="srv">#REF!</definedName>
    <definedName name="sum" localSheetId="2">[1]Insumos!#REF!</definedName>
    <definedName name="sum" localSheetId="3">[1]Insumos!#REF!</definedName>
    <definedName name="sum" localSheetId="0">#REF!</definedName>
    <definedName name="sum">#REF!</definedName>
    <definedName name="svt" localSheetId="2">[1]Insumos!#REF!</definedName>
    <definedName name="svt" localSheetId="3">[1]Insumos!#REF!</definedName>
    <definedName name="svt" localSheetId="0">#REF!</definedName>
    <definedName name="svt">#REF!</definedName>
    <definedName name="sxo" localSheetId="2">[1]Insumos!#REF!</definedName>
    <definedName name="sxo" localSheetId="3">[1]Insumos!#REF!</definedName>
    <definedName name="sxo" localSheetId="0">#REF!</definedName>
    <definedName name="sxo">#REF!</definedName>
    <definedName name="tbv" localSheetId="2">[1]Insumos!#REF!</definedName>
    <definedName name="tbv" localSheetId="3">[1]Insumos!#REF!</definedName>
    <definedName name="tbv" localSheetId="0">#REF!</definedName>
    <definedName name="tbv">#REF!</definedName>
    <definedName name="tbv_5">#REF!</definedName>
    <definedName name="ted" localSheetId="2">[1]Insumos!#REF!</definedName>
    <definedName name="ted" localSheetId="3">[1]Insumos!#REF!</definedName>
    <definedName name="ted" localSheetId="0">#REF!</definedName>
    <definedName name="ted">#REF!</definedName>
    <definedName name="ter" localSheetId="2">[1]Insumos!#REF!</definedName>
    <definedName name="ter" localSheetId="3">[1]Insumos!#REF!</definedName>
    <definedName name="ter" localSheetId="0">#REF!</definedName>
    <definedName name="ter">#REF!</definedName>
    <definedName name="tes" localSheetId="2">[1]Insumos!#REF!</definedName>
    <definedName name="tes" localSheetId="3">[1]Insumos!#REF!</definedName>
    <definedName name="tes" localSheetId="0">#REF!</definedName>
    <definedName name="tes">#REF!</definedName>
    <definedName name="tic">NA()</definedName>
    <definedName name="TID" localSheetId="2">#REF!</definedName>
    <definedName name="TID" localSheetId="3">#REF!</definedName>
    <definedName name="TID">#REF!</definedName>
    <definedName name="TID_2" localSheetId="2">#REF!</definedName>
    <definedName name="TID_2" localSheetId="3">#REF!</definedName>
    <definedName name="TID_2">#REF!</definedName>
    <definedName name="_xlnm.Print_Titles" localSheetId="5">'Adutora Bruta de Recalque'!$A:$G,'Adutora Bruta de Recalque'!$1:$7</definedName>
    <definedName name="_xlnm.Print_Titles" localSheetId="3">'Insumos poços'!$2:$10</definedName>
    <definedName name="_xlnm.Print_Titles" localSheetId="8">'Mem. Cálc. Escavações'!$B:$N,'Mem. Cálc. Escavações'!$2:$4</definedName>
    <definedName name="_xlnm.Print_Titles" localSheetId="0">'Planilha Orçamentária'!$1:$8</definedName>
    <definedName name="_xlnm.Print_Titles" localSheetId="6">'Rede de Distribuição'!$A:$Q,'Rede de Distribuição'!$1:$3</definedName>
    <definedName name="tjc" localSheetId="2">[1]Insumos!#REF!</definedName>
    <definedName name="tjc" localSheetId="3">[1]Insumos!#REF!</definedName>
    <definedName name="tjc" localSheetId="0">#REF!</definedName>
    <definedName name="tjc">#REF!</definedName>
    <definedName name="tjf" localSheetId="2">[1]Insumos!#REF!</definedName>
    <definedName name="tjf" localSheetId="3">[1]Insumos!#REF!</definedName>
    <definedName name="tjf" localSheetId="0">#REF!</definedName>
    <definedName name="tjf">#REF!</definedName>
    <definedName name="tlc" localSheetId="2">[1]Insumos!#REF!</definedName>
    <definedName name="tlc" localSheetId="3">[1]Insumos!#REF!</definedName>
    <definedName name="tlc" localSheetId="0">#REF!</definedName>
    <definedName name="tlc">#REF!</definedName>
    <definedName name="tlf" localSheetId="2">[1]Insumos!#REF!</definedName>
    <definedName name="tlf" localSheetId="3">[1]Insumos!#REF!</definedName>
    <definedName name="tlf" localSheetId="0">#REF!</definedName>
    <definedName name="tlf">#REF!</definedName>
    <definedName name="tnp1_2" localSheetId="2">[1]Insumos!#REF!</definedName>
    <definedName name="tnp1_2" localSheetId="3">[1]Insumos!#REF!</definedName>
    <definedName name="tnp1_2" localSheetId="0">#REF!</definedName>
    <definedName name="tnp1_2">#REF!</definedName>
    <definedName name="tof" localSheetId="2">[1]Insumos!#REF!</definedName>
    <definedName name="tof" localSheetId="3">[1]Insumos!#REF!</definedName>
    <definedName name="tof" localSheetId="0">#REF!</definedName>
    <definedName name="tof">#REF!</definedName>
    <definedName name="TOT">#REF!</definedName>
    <definedName name="TOT_2" localSheetId="2">#REF!</definedName>
    <definedName name="TOT_2" localSheetId="3">#REF!</definedName>
    <definedName name="TOT_2">#REF!</definedName>
    <definedName name="tp6_12" localSheetId="2">[1]Insumos!#REF!</definedName>
    <definedName name="tp6_12" localSheetId="3">[1]Insumos!#REF!</definedName>
    <definedName name="tp6_12" localSheetId="0">#REF!</definedName>
    <definedName name="tp6_12">#REF!</definedName>
    <definedName name="tp6_16" localSheetId="2">[1]Insumos!#REF!</definedName>
    <definedName name="tp6_16" localSheetId="3">[1]Insumos!#REF!</definedName>
    <definedName name="tp6_16" localSheetId="0">#REF!</definedName>
    <definedName name="tp6_16">#REF!</definedName>
    <definedName name="TPI">#REF!</definedName>
    <definedName name="tpl1_2" localSheetId="2">[1]Insumos!#REF!</definedName>
    <definedName name="tpl1_2" localSheetId="3">[1]Insumos!#REF!</definedName>
    <definedName name="tpl1_2" localSheetId="0">#REF!</definedName>
    <definedName name="tpl1_2">#REF!</definedName>
    <definedName name="tpmfs" localSheetId="2">[1]Insumos!#REF!</definedName>
    <definedName name="tpmfs" localSheetId="3">[1]Insumos!#REF!</definedName>
    <definedName name="tpmfs" localSheetId="0">#REF!</definedName>
    <definedName name="tpmfs">#REF!</definedName>
    <definedName name="TPP">#REF!</definedName>
    <definedName name="trb" localSheetId="2">[1]Insumos!#REF!</definedName>
    <definedName name="trb" localSheetId="3">[1]Insumos!#REF!</definedName>
    <definedName name="trb" localSheetId="0">#REF!</definedName>
    <definedName name="trb">#REF!</definedName>
    <definedName name="tre" localSheetId="2">[1]Insumos!#REF!</definedName>
    <definedName name="tre" localSheetId="3">[1]Insumos!#REF!</definedName>
    <definedName name="tre" localSheetId="0">#REF!</definedName>
    <definedName name="tre">#REF!</definedName>
    <definedName name="ttc" localSheetId="2">[1]Insumos!#REF!</definedName>
    <definedName name="ttc" localSheetId="3">[1]Insumos!#REF!</definedName>
    <definedName name="ttc" localSheetId="0">#REF!</definedName>
    <definedName name="ttc">#REF!</definedName>
    <definedName name="tte" localSheetId="2">[1]Insumos!#REF!</definedName>
    <definedName name="tte" localSheetId="3">[1]Insumos!#REF!</definedName>
    <definedName name="tte" localSheetId="0">#REF!</definedName>
    <definedName name="tte">#REF!</definedName>
    <definedName name="tus" localSheetId="2">[1]Insumos!#REF!</definedName>
    <definedName name="tus" localSheetId="3">[1]Insumos!#REF!</definedName>
    <definedName name="tus" localSheetId="0">#REF!</definedName>
    <definedName name="tus">#REF!</definedName>
    <definedName name="tuso" localSheetId="2">[1]Insumos!#REF!</definedName>
    <definedName name="tuso" localSheetId="3">[1]Insumos!#REF!</definedName>
    <definedName name="tuso" localSheetId="0">#REF!</definedName>
    <definedName name="tuso">#REF!</definedName>
    <definedName name="USS">#REF!</definedName>
    <definedName name="v60120_" localSheetId="2">[1]Insumos!#REF!</definedName>
    <definedName name="v60120_" localSheetId="3">[1]Insumos!#REF!</definedName>
    <definedName name="v60120_" localSheetId="0">#REF!</definedName>
    <definedName name="v60120_">#REF!</definedName>
    <definedName name="VII">#REF!</definedName>
    <definedName name="VIP" localSheetId="2">#REF!</definedName>
    <definedName name="VIP" localSheetId="3">#REF!</definedName>
    <definedName name="VIP">#REF!</definedName>
    <definedName name="VLR" localSheetId="2">#REF!</definedName>
    <definedName name="VLR" localSheetId="3">#REF!</definedName>
    <definedName name="VLR">#REF!</definedName>
    <definedName name="vsb" localSheetId="2">[1]Insumos!#REF!</definedName>
    <definedName name="vsb" localSheetId="3">[1]Insumos!#REF!</definedName>
    <definedName name="vsb">#REF!</definedName>
    <definedName name="zar" localSheetId="2">[1]Insumos!#REF!</definedName>
    <definedName name="zar" localSheetId="3">[1]Insumos!#REF!</definedName>
    <definedName name="zar" localSheetId="0">#REF!</definedName>
    <definedName name="zar">#REF!</definedName>
  </definedNames>
  <calcPr calcId="145621" iterate="1" fullPrecision="0"/>
</workbook>
</file>

<file path=xl/calcChain.xml><?xml version="1.0" encoding="utf-8"?>
<calcChain xmlns="http://schemas.openxmlformats.org/spreadsheetml/2006/main">
  <c r="I11" i="32" l="1"/>
  <c r="I40" i="32"/>
  <c r="E24" i="31" l="1"/>
  <c r="G23" i="20" l="1"/>
  <c r="G22" i="20"/>
  <c r="G25" i="20"/>
  <c r="G20" i="20"/>
  <c r="G33" i="20"/>
  <c r="I39" i="20" l="1"/>
  <c r="H32" i="20" l="1"/>
  <c r="G130" i="20" l="1"/>
  <c r="K89" i="20"/>
  <c r="K67" i="20" l="1"/>
  <c r="K87" i="20"/>
  <c r="B53" i="34" l="1"/>
  <c r="H38" i="20"/>
  <c r="H37" i="20"/>
  <c r="H36" i="20"/>
  <c r="C523" i="40"/>
  <c r="C497" i="40"/>
  <c r="C461" i="40"/>
  <c r="C418" i="40"/>
  <c r="C558" i="40"/>
  <c r="I554" i="40"/>
  <c r="I553" i="40"/>
  <c r="I555" i="40" s="1"/>
  <c r="I549" i="40"/>
  <c r="I550" i="40" s="1"/>
  <c r="I545" i="40"/>
  <c r="D544" i="40"/>
  <c r="I544" i="40" s="1"/>
  <c r="I543" i="40"/>
  <c r="I542" i="40"/>
  <c r="D542" i="40"/>
  <c r="D541" i="40"/>
  <c r="I541" i="40" s="1"/>
  <c r="I540" i="40"/>
  <c r="D539" i="40"/>
  <c r="I539" i="40" s="1"/>
  <c r="I538" i="40"/>
  <c r="D537" i="40"/>
  <c r="I537" i="40" s="1"/>
  <c r="I536" i="40"/>
  <c r="I535" i="40"/>
  <c r="I534" i="40"/>
  <c r="D533" i="40"/>
  <c r="I533" i="40" s="1"/>
  <c r="I532" i="40"/>
  <c r="I528" i="40"/>
  <c r="I529" i="40" s="1"/>
  <c r="C520" i="40"/>
  <c r="I516" i="40"/>
  <c r="I515" i="40"/>
  <c r="I514" i="40"/>
  <c r="I510" i="40"/>
  <c r="I511" i="40" s="1"/>
  <c r="I506" i="40"/>
  <c r="I507" i="40" s="1"/>
  <c r="I502" i="40"/>
  <c r="I503" i="40" s="1"/>
  <c r="C494" i="40"/>
  <c r="I490" i="40"/>
  <c r="I489" i="40"/>
  <c r="I488" i="40"/>
  <c r="I487" i="40"/>
  <c r="I486" i="40"/>
  <c r="H485" i="40"/>
  <c r="I485" i="40" s="1"/>
  <c r="H484" i="40"/>
  <c r="I484" i="40" s="1"/>
  <c r="I480" i="40"/>
  <c r="I481" i="40" s="1"/>
  <c r="I476" i="40"/>
  <c r="I475" i="40"/>
  <c r="I474" i="40"/>
  <c r="I473" i="40"/>
  <c r="I472" i="40"/>
  <c r="I471" i="40"/>
  <c r="D470" i="40"/>
  <c r="I470" i="40" s="1"/>
  <c r="I466" i="40"/>
  <c r="I467" i="40" s="1"/>
  <c r="C458" i="40"/>
  <c r="I454" i="40"/>
  <c r="I453" i="40"/>
  <c r="I452" i="40"/>
  <c r="I448" i="40"/>
  <c r="I449" i="40" s="1"/>
  <c r="I444" i="40"/>
  <c r="I443" i="40"/>
  <c r="I442" i="40"/>
  <c r="I441" i="40"/>
  <c r="I440" i="40"/>
  <c r="I439" i="40"/>
  <c r="I438" i="40"/>
  <c r="I437" i="40"/>
  <c r="I436" i="40"/>
  <c r="I435" i="40"/>
  <c r="I434" i="40"/>
  <c r="I433" i="40"/>
  <c r="I432" i="40"/>
  <c r="I431" i="40"/>
  <c r="I430" i="40"/>
  <c r="I429" i="40"/>
  <c r="I428" i="40"/>
  <c r="I427" i="40"/>
  <c r="I423" i="40"/>
  <c r="I424" i="40" s="1"/>
  <c r="C385" i="40"/>
  <c r="C360" i="40"/>
  <c r="C333" i="40"/>
  <c r="C307" i="40"/>
  <c r="C279" i="40"/>
  <c r="C251" i="40"/>
  <c r="C224" i="40"/>
  <c r="C197" i="40"/>
  <c r="C170" i="40"/>
  <c r="C142" i="40"/>
  <c r="C112" i="40"/>
  <c r="C82" i="40"/>
  <c r="C54" i="40"/>
  <c r="C29" i="40"/>
  <c r="C2" i="40"/>
  <c r="I517" i="40" l="1"/>
  <c r="I491" i="40"/>
  <c r="I492" i="40" s="1"/>
  <c r="I493" i="40" s="1"/>
  <c r="I445" i="40"/>
  <c r="I455" i="40"/>
  <c r="I477" i="40"/>
  <c r="I546" i="40"/>
  <c r="I556" i="40" s="1"/>
  <c r="I557" i="40" s="1"/>
  <c r="I518" i="40"/>
  <c r="I519" i="40" s="1"/>
  <c r="I520" i="40" s="1"/>
  <c r="H129" i="20"/>
  <c r="I129" i="20"/>
  <c r="K109" i="20"/>
  <c r="K105" i="20"/>
  <c r="K101" i="20"/>
  <c r="K98" i="20"/>
  <c r="K97" i="20"/>
  <c r="K96" i="20"/>
  <c r="K94" i="20"/>
  <c r="K92" i="20"/>
  <c r="K81" i="20"/>
  <c r="K76" i="20"/>
  <c r="K75" i="20"/>
  <c r="K71" i="20"/>
  <c r="C415" i="40"/>
  <c r="C382" i="40"/>
  <c r="C357" i="40"/>
  <c r="C330" i="40"/>
  <c r="C304" i="40"/>
  <c r="C276" i="40"/>
  <c r="C248" i="40"/>
  <c r="C221" i="40"/>
  <c r="C194" i="40"/>
  <c r="C167" i="40"/>
  <c r="C139" i="40"/>
  <c r="C109" i="40"/>
  <c r="C79" i="40"/>
  <c r="C51" i="40"/>
  <c r="C26" i="40"/>
  <c r="E6" i="39"/>
  <c r="K8" i="32"/>
  <c r="K9" i="32"/>
  <c r="K10" i="32"/>
  <c r="K11" i="32"/>
  <c r="I456" i="40" l="1"/>
  <c r="I457" i="40" s="1"/>
  <c r="I458" i="40" s="1"/>
  <c r="I459" i="40" s="1"/>
  <c r="H35" i="20" s="1"/>
  <c r="I558" i="40"/>
  <c r="I559" i="40" s="1"/>
  <c r="I521" i="40"/>
  <c r="I494" i="40"/>
  <c r="I495" i="40" s="1"/>
  <c r="E130" i="32"/>
  <c r="D8" i="40"/>
  <c r="D20" i="40" s="1"/>
  <c r="D21" i="40" s="1"/>
  <c r="I16" i="40"/>
  <c r="I17" i="40" s="1"/>
  <c r="I35" i="40"/>
  <c r="I68" i="40"/>
  <c r="I69" i="40" s="1"/>
  <c r="I98" i="40"/>
  <c r="I99" i="40" s="1"/>
  <c r="D103" i="40"/>
  <c r="D104" i="40"/>
  <c r="I128" i="40"/>
  <c r="I129" i="40" s="1"/>
  <c r="D133" i="40"/>
  <c r="D134" i="40"/>
  <c r="I147" i="40"/>
  <c r="I148" i="40" s="1"/>
  <c r="I157" i="40"/>
  <c r="I158" i="40" s="1"/>
  <c r="I184" i="40"/>
  <c r="I185" i="40" s="1"/>
  <c r="I211" i="40"/>
  <c r="I212" i="40" s="1"/>
  <c r="I238" i="40"/>
  <c r="I239" i="40" s="1"/>
  <c r="I256" i="40"/>
  <c r="I257" i="40" s="1"/>
  <c r="I266" i="40"/>
  <c r="I267" i="40" s="1"/>
  <c r="I294" i="40"/>
  <c r="I295" i="40" s="1"/>
  <c r="I316" i="40"/>
  <c r="I317" i="40" s="1"/>
  <c r="I347" i="40"/>
  <c r="I348" i="40" s="1"/>
  <c r="I365" i="40"/>
  <c r="I366" i="40" s="1"/>
  <c r="I369" i="40"/>
  <c r="I370" i="40" s="1"/>
  <c r="I377" i="40"/>
  <c r="I379" i="40" s="1"/>
  <c r="K399" i="40"/>
  <c r="K400" i="40"/>
  <c r="K401" i="40"/>
  <c r="H20" i="40"/>
  <c r="I20" i="40" s="1"/>
  <c r="H74" i="40"/>
  <c r="I74" i="40" s="1"/>
  <c r="H21" i="40"/>
  <c r="H102" i="40"/>
  <c r="I102" i="40" s="1"/>
  <c r="H409" i="40"/>
  <c r="I409" i="40" s="1"/>
  <c r="H215" i="40"/>
  <c r="I215" i="40" s="1"/>
  <c r="H64" i="40"/>
  <c r="I64" i="40" s="1"/>
  <c r="H92" i="40"/>
  <c r="I92" i="40" s="1"/>
  <c r="H400" i="40"/>
  <c r="I400" i="40" s="1"/>
  <c r="H290" i="40"/>
  <c r="I290" i="40" s="1"/>
  <c r="H179" i="40"/>
  <c r="I179" i="40" s="1"/>
  <c r="H396" i="40"/>
  <c r="I396" i="40" s="1"/>
  <c r="H397" i="40"/>
  <c r="I397" i="40" s="1"/>
  <c r="H180" i="40"/>
  <c r="I180" i="40" s="1"/>
  <c r="G175" i="40"/>
  <c r="I175" i="40" s="1"/>
  <c r="I176" i="40" s="1"/>
  <c r="H398" i="40"/>
  <c r="I398" i="40" s="1"/>
  <c r="H401" i="40"/>
  <c r="I401" i="40" s="1"/>
  <c r="G8" i="40"/>
  <c r="H399" i="40"/>
  <c r="I399" i="40" s="1"/>
  <c r="H260" i="40"/>
  <c r="I260" i="40" s="1"/>
  <c r="H262" i="40"/>
  <c r="I262" i="40" s="1"/>
  <c r="H151" i="40"/>
  <c r="I151" i="40" s="1"/>
  <c r="G59" i="40"/>
  <c r="I59" i="40" s="1"/>
  <c r="I60" i="40" s="1"/>
  <c r="G87" i="40"/>
  <c r="I87" i="40" s="1"/>
  <c r="G117" i="40"/>
  <c r="I117" i="40" s="1"/>
  <c r="H373" i="40"/>
  <c r="I373" i="40" s="1"/>
  <c r="I374" i="40" s="1"/>
  <c r="H12" i="40"/>
  <c r="I12" i="40" s="1"/>
  <c r="I13" i="40" s="1"/>
  <c r="H93" i="40"/>
  <c r="I93" i="40" s="1"/>
  <c r="H104" i="40" l="1"/>
  <c r="I104" i="40" s="1"/>
  <c r="H134" i="40"/>
  <c r="I134" i="40" s="1"/>
  <c r="H320" i="40"/>
  <c r="I320" i="40" s="1"/>
  <c r="I321" i="40" s="1"/>
  <c r="H351" i="40"/>
  <c r="I351" i="40" s="1"/>
  <c r="H324" i="40"/>
  <c r="I324" i="40" s="1"/>
  <c r="H298" i="40"/>
  <c r="I298" i="40" s="1"/>
  <c r="I301" i="40" s="1"/>
  <c r="G284" i="40"/>
  <c r="I284" i="40" s="1"/>
  <c r="I285" i="40" s="1"/>
  <c r="G229" i="40"/>
  <c r="I229" i="40" s="1"/>
  <c r="I230" i="40" s="1"/>
  <c r="G202" i="40"/>
  <c r="I202" i="40" s="1"/>
  <c r="I203" i="40" s="1"/>
  <c r="G390" i="40"/>
  <c r="I390" i="40" s="1"/>
  <c r="I391" i="40" s="1"/>
  <c r="H123" i="40"/>
  <c r="I123" i="40" s="1"/>
  <c r="G7" i="40"/>
  <c r="I7" i="40" s="1"/>
  <c r="G338" i="40"/>
  <c r="I338" i="40" s="1"/>
  <c r="I339" i="40" s="1"/>
  <c r="G118" i="40"/>
  <c r="I118" i="40" s="1"/>
  <c r="I119" i="40" s="1"/>
  <c r="G88" i="40"/>
  <c r="I88" i="40" s="1"/>
  <c r="I89" i="40" s="1"/>
  <c r="H394" i="40"/>
  <c r="I394" i="40" s="1"/>
  <c r="H343" i="40"/>
  <c r="I343" i="40" s="1"/>
  <c r="H325" i="40"/>
  <c r="I325" i="40" s="1"/>
  <c r="I327" i="40" s="1"/>
  <c r="G312" i="40"/>
  <c r="I312" i="40" s="1"/>
  <c r="I313" i="40" s="1"/>
  <c r="H289" i="40"/>
  <c r="I289" i="40" s="1"/>
  <c r="H234" i="40"/>
  <c r="I234" i="40" s="1"/>
  <c r="H216" i="40"/>
  <c r="I216" i="40" s="1"/>
  <c r="I218" i="40" s="1"/>
  <c r="H207" i="40"/>
  <c r="I207" i="40" s="1"/>
  <c r="H189" i="40"/>
  <c r="I189" i="40" s="1"/>
  <c r="H161" i="40"/>
  <c r="I161" i="40" s="1"/>
  <c r="H73" i="40"/>
  <c r="I73" i="40" s="1"/>
  <c r="H63" i="40"/>
  <c r="I63" i="40" s="1"/>
  <c r="H46" i="40"/>
  <c r="I46" i="40" s="1"/>
  <c r="I48" i="40" s="1"/>
  <c r="H352" i="40"/>
  <c r="I352" i="40" s="1"/>
  <c r="H342" i="40"/>
  <c r="I342" i="40" s="1"/>
  <c r="H271" i="40"/>
  <c r="I271" i="40" s="1"/>
  <c r="H261" i="40"/>
  <c r="I261" i="40" s="1"/>
  <c r="H243" i="40"/>
  <c r="I243" i="40" s="1"/>
  <c r="H233" i="40"/>
  <c r="I233" i="40" s="1"/>
  <c r="H206" i="40"/>
  <c r="I206" i="40" s="1"/>
  <c r="I208" i="40" s="1"/>
  <c r="H188" i="40"/>
  <c r="I188" i="40" s="1"/>
  <c r="H133" i="40"/>
  <c r="I133" i="40" s="1"/>
  <c r="H124" i="40"/>
  <c r="I124" i="40" s="1"/>
  <c r="H103" i="40"/>
  <c r="I103" i="40" s="1"/>
  <c r="I106" i="40" s="1"/>
  <c r="H94" i="40"/>
  <c r="I94" i="40" s="1"/>
  <c r="H72" i="40"/>
  <c r="I72" i="40" s="1"/>
  <c r="H410" i="40"/>
  <c r="I410" i="40" s="1"/>
  <c r="I412" i="40" s="1"/>
  <c r="H395" i="40"/>
  <c r="I395" i="40" s="1"/>
  <c r="I402" i="40" s="1"/>
  <c r="H299" i="40"/>
  <c r="I299" i="40" s="1"/>
  <c r="H288" i="40"/>
  <c r="I288" i="40" s="1"/>
  <c r="H270" i="40"/>
  <c r="I270" i="40" s="1"/>
  <c r="I273" i="40" s="1"/>
  <c r="H242" i="40"/>
  <c r="I242" i="40" s="1"/>
  <c r="H153" i="40"/>
  <c r="I153" i="40" s="1"/>
  <c r="H162" i="40"/>
  <c r="I162" i="40" s="1"/>
  <c r="H152" i="40"/>
  <c r="I152" i="40" s="1"/>
  <c r="I154" i="40" s="1"/>
  <c r="H132" i="40"/>
  <c r="I132" i="40" s="1"/>
  <c r="H122" i="40"/>
  <c r="I122" i="40" s="1"/>
  <c r="I380" i="40"/>
  <c r="I381" i="40" s="1"/>
  <c r="I382" i="40" s="1"/>
  <c r="I383" i="40" s="1"/>
  <c r="I32" i="20" s="1"/>
  <c r="I191" i="40"/>
  <c r="I49" i="40"/>
  <c r="I50" i="40" s="1"/>
  <c r="I51" i="40" s="1"/>
  <c r="I52" i="40" s="1"/>
  <c r="H20" i="20" s="1"/>
  <c r="I21" i="40"/>
  <c r="I23" i="40" s="1"/>
  <c r="I291" i="40"/>
  <c r="I263" i="40"/>
  <c r="I181" i="40"/>
  <c r="I95" i="40"/>
  <c r="I65" i="40"/>
  <c r="I8" i="40"/>
  <c r="I9" i="40" s="1"/>
  <c r="I20" i="20"/>
  <c r="I354" i="40" l="1"/>
  <c r="I328" i="40"/>
  <c r="I329" i="40" s="1"/>
  <c r="I330" i="40" s="1"/>
  <c r="I331" i="40" s="1"/>
  <c r="H30" i="20" s="1"/>
  <c r="I30" i="20" s="1"/>
  <c r="I274" i="40"/>
  <c r="I275" i="40" s="1"/>
  <c r="I276" i="40" s="1"/>
  <c r="I277" i="40" s="1"/>
  <c r="H28" i="20" s="1"/>
  <c r="I28" i="20" s="1"/>
  <c r="I125" i="40"/>
  <c r="I235" i="40"/>
  <c r="I107" i="40"/>
  <c r="I108" i="40" s="1"/>
  <c r="I109" i="40" s="1"/>
  <c r="I413" i="40"/>
  <c r="I414" i="40" s="1"/>
  <c r="I415" i="40" s="1"/>
  <c r="I416" i="40" s="1"/>
  <c r="H33" i="20" s="1"/>
  <c r="I33" i="20" s="1"/>
  <c r="I192" i="40"/>
  <c r="I193" i="40" s="1"/>
  <c r="I76" i="40"/>
  <c r="I77" i="40" s="1"/>
  <c r="I78" i="40" s="1"/>
  <c r="I136" i="40"/>
  <c r="I245" i="40"/>
  <c r="I164" i="40"/>
  <c r="I165" i="40" s="1"/>
  <c r="I166" i="40" s="1"/>
  <c r="I167" i="40" s="1"/>
  <c r="I168" i="40" s="1"/>
  <c r="H24" i="20" s="1"/>
  <c r="I24" i="20" s="1"/>
  <c r="I344" i="40"/>
  <c r="I355" i="40" s="1"/>
  <c r="I356" i="40" s="1"/>
  <c r="I357" i="40" s="1"/>
  <c r="I358" i="40" s="1"/>
  <c r="H31" i="20" s="1"/>
  <c r="I31" i="20" s="1"/>
  <c r="I302" i="40"/>
  <c r="I303" i="40" s="1"/>
  <c r="I304" i="40" s="1"/>
  <c r="I305" i="40" s="1"/>
  <c r="H29" i="20" s="1"/>
  <c r="I29" i="20" s="1"/>
  <c r="I219" i="40"/>
  <c r="I220" i="40" s="1"/>
  <c r="I221" i="40" s="1"/>
  <c r="I222" i="40" s="1"/>
  <c r="H26" i="20" s="1"/>
  <c r="I26" i="20" s="1"/>
  <c r="I24" i="40"/>
  <c r="I25" i="40" s="1"/>
  <c r="I26" i="40" s="1"/>
  <c r="I27" i="40" s="1"/>
  <c r="H19" i="20" s="1"/>
  <c r="I19" i="20" s="1"/>
  <c r="D85" i="34"/>
  <c r="E65" i="34"/>
  <c r="E66" i="34"/>
  <c r="E67" i="34"/>
  <c r="D37" i="34"/>
  <c r="E17" i="34"/>
  <c r="G17" i="34" s="1"/>
  <c r="E18" i="34"/>
  <c r="G18" i="34" s="1"/>
  <c r="E19" i="34"/>
  <c r="G19" i="34" s="1"/>
  <c r="I137" i="40" l="1"/>
  <c r="I138" i="40" s="1"/>
  <c r="I139" i="40" s="1"/>
  <c r="I140" i="40" s="1"/>
  <c r="H23" i="20" s="1"/>
  <c r="I23" i="20" s="1"/>
  <c r="I246" i="40"/>
  <c r="I247" i="40" s="1"/>
  <c r="I248" i="40" s="1"/>
  <c r="I249" i="40" s="1"/>
  <c r="H27" i="20" s="1"/>
  <c r="I27" i="20" s="1"/>
  <c r="I110" i="40"/>
  <c r="H22" i="20" s="1"/>
  <c r="I22" i="20" s="1"/>
  <c r="I79" i="40"/>
  <c r="I80" i="40" s="1"/>
  <c r="H21" i="20" s="1"/>
  <c r="I21" i="20" s="1"/>
  <c r="I194" i="40"/>
  <c r="I195" i="40" s="1"/>
  <c r="H25" i="20" s="1"/>
  <c r="I25" i="20" s="1"/>
  <c r="G113" i="20"/>
  <c r="G123" i="20" s="1"/>
  <c r="G108" i="20"/>
  <c r="I18" i="20" l="1"/>
  <c r="H104" i="20"/>
  <c r="I104" i="20" s="1"/>
  <c r="K83" i="20" l="1"/>
  <c r="D91" i="34" l="1"/>
  <c r="D89" i="34"/>
  <c r="D83" i="34"/>
  <c r="G76" i="34"/>
  <c r="G74" i="34"/>
  <c r="G66" i="34"/>
  <c r="G67" i="34"/>
  <c r="G65" i="34"/>
  <c r="G60" i="34"/>
  <c r="E69" i="34"/>
  <c r="D87" i="34" s="1"/>
  <c r="G69" i="34" l="1"/>
  <c r="G30" i="34"/>
  <c r="G31" i="34"/>
  <c r="D35" i="34" l="1"/>
  <c r="D41" i="34"/>
  <c r="G28" i="34"/>
  <c r="G26" i="34"/>
  <c r="G24" i="34"/>
  <c r="G23" i="34"/>
  <c r="G22" i="34"/>
  <c r="G13" i="34"/>
  <c r="E21" i="34"/>
  <c r="G21" i="34" s="1"/>
  <c r="D39" i="34" l="1"/>
  <c r="D35" i="38"/>
  <c r="D31" i="38"/>
  <c r="D39" i="38" s="1"/>
  <c r="D27" i="38"/>
  <c r="D24" i="38"/>
  <c r="D14" i="38"/>
  <c r="D10" i="38"/>
  <c r="D40" i="38" l="1"/>
  <c r="D32" i="38"/>
  <c r="D18" i="38"/>
  <c r="D46" i="38" l="1"/>
  <c r="D50" i="38" s="1"/>
  <c r="D47" i="38"/>
  <c r="H45" i="20"/>
  <c r="H95" i="20"/>
  <c r="H109" i="20"/>
  <c r="H108" i="20"/>
  <c r="H105" i="20"/>
  <c r="H103" i="20"/>
  <c r="H101" i="20"/>
  <c r="H92" i="20"/>
  <c r="H83" i="20"/>
  <c r="H82" i="20"/>
  <c r="H81" i="20"/>
  <c r="H79" i="20"/>
  <c r="H78" i="20"/>
  <c r="H76" i="20"/>
  <c r="H75" i="20"/>
  <c r="H98" i="20"/>
  <c r="H97" i="20"/>
  <c r="H96" i="20"/>
  <c r="H94" i="20"/>
  <c r="H73" i="20"/>
  <c r="H72" i="20"/>
  <c r="H71" i="20"/>
  <c r="H56" i="20"/>
  <c r="H55" i="20"/>
  <c r="H53" i="20"/>
  <c r="H50" i="20"/>
  <c r="H49" i="20"/>
  <c r="H48" i="20"/>
  <c r="H47" i="20"/>
  <c r="H46" i="20"/>
  <c r="H44" i="20"/>
  <c r="H43" i="20"/>
  <c r="H41" i="20"/>
  <c r="H12" i="20"/>
  <c r="J121" i="32"/>
  <c r="J120" i="32"/>
  <c r="D54" i="38" l="1"/>
  <c r="I108" i="32"/>
  <c r="D51" i="38"/>
  <c r="D55" i="38"/>
  <c r="I36" i="20" l="1"/>
  <c r="I38" i="20"/>
  <c r="G82" i="20"/>
  <c r="G75" i="20"/>
  <c r="I75" i="20" s="1"/>
  <c r="G76" i="20" l="1"/>
  <c r="I76" i="20" s="1"/>
  <c r="I35" i="20"/>
  <c r="I34" i="20" s="1"/>
  <c r="I83" i="20"/>
  <c r="I37" i="20" l="1"/>
  <c r="I17" i="20" s="1"/>
  <c r="G126" i="20"/>
  <c r="G131" i="20" l="1"/>
  <c r="G132" i="20"/>
  <c r="G133" i="20" s="1"/>
  <c r="G134" i="20" s="1"/>
  <c r="G136" i="20" s="1"/>
  <c r="G49" i="20" l="1"/>
  <c r="G92" i="20" l="1"/>
  <c r="G105" i="20" l="1"/>
  <c r="G106" i="20" s="1"/>
  <c r="G103" i="20"/>
  <c r="I92" i="20"/>
  <c r="G41" i="20" l="1"/>
  <c r="G43" i="20" s="1"/>
  <c r="G55" i="20" s="1"/>
  <c r="K70" i="32"/>
  <c r="K85" i="32"/>
  <c r="K84" i="32"/>
  <c r="K83" i="32"/>
  <c r="K82" i="32"/>
  <c r="K81" i="32"/>
  <c r="K80" i="32"/>
  <c r="K79" i="32"/>
  <c r="K77" i="32"/>
  <c r="K76" i="32"/>
  <c r="K75" i="32"/>
  <c r="K74" i="32"/>
  <c r="K121" i="32"/>
  <c r="K71" i="32"/>
  <c r="K178" i="32"/>
  <c r="K72" i="32"/>
  <c r="K165" i="32"/>
  <c r="K73" i="32"/>
  <c r="G109" i="20"/>
  <c r="C34" i="29"/>
  <c r="J25" i="31"/>
  <c r="J29" i="31"/>
  <c r="J27" i="31"/>
  <c r="N44" i="30"/>
  <c r="N41" i="30"/>
  <c r="N39" i="30"/>
  <c r="N37" i="30"/>
  <c r="N35" i="30"/>
  <c r="N32" i="30"/>
  <c r="N31" i="30"/>
  <c r="N29" i="30"/>
  <c r="N28" i="30"/>
  <c r="N26" i="30"/>
  <c r="N23" i="30"/>
  <c r="N22" i="30"/>
  <c r="N18" i="30"/>
  <c r="B79" i="30"/>
  <c r="B80" i="30"/>
  <c r="B81" i="30"/>
  <c r="B82" i="30"/>
  <c r="B83" i="30"/>
  <c r="B77" i="30"/>
  <c r="B78" i="30"/>
  <c r="D11" i="30"/>
  <c r="F88" i="30" s="1"/>
  <c r="G89" i="30" s="1"/>
  <c r="N40" i="30"/>
  <c r="N42" i="30"/>
  <c r="N43" i="30"/>
  <c r="N45" i="30"/>
  <c r="B46" i="30"/>
  <c r="K30" i="31"/>
  <c r="N38" i="30"/>
  <c r="N36" i="30"/>
  <c r="N34" i="30"/>
  <c r="N33" i="30"/>
  <c r="N30" i="30"/>
  <c r="N27" i="30"/>
  <c r="N25" i="30"/>
  <c r="N24" i="30"/>
  <c r="N21" i="30"/>
  <c r="N20" i="30"/>
  <c r="N19" i="30"/>
  <c r="N17" i="30"/>
  <c r="N16" i="30"/>
  <c r="P15" i="30"/>
  <c r="G72" i="34"/>
  <c r="G71" i="34"/>
  <c r="G70" i="34"/>
  <c r="D43" i="34"/>
  <c r="R140" i="20"/>
  <c r="D106" i="20"/>
  <c r="C106" i="20"/>
  <c r="D100" i="20"/>
  <c r="C100" i="20"/>
  <c r="G78" i="20"/>
  <c r="G71" i="20"/>
  <c r="I71" i="20" s="1"/>
  <c r="C57" i="20"/>
  <c r="D57" i="20"/>
  <c r="E158" i="32"/>
  <c r="K173" i="32"/>
  <c r="K174" i="32" s="1"/>
  <c r="K169" i="32"/>
  <c r="K170" i="32" s="1"/>
  <c r="C52" i="20"/>
  <c r="D52" i="20"/>
  <c r="K146" i="32"/>
  <c r="K147" i="32" s="1"/>
  <c r="K142" i="32"/>
  <c r="K143" i="32" s="1"/>
  <c r="F9" i="31"/>
  <c r="F10" i="31"/>
  <c r="F11" i="31" s="1"/>
  <c r="F13" i="31"/>
  <c r="J13" i="31"/>
  <c r="F15" i="31"/>
  <c r="F17" i="31"/>
  <c r="F18" i="31"/>
  <c r="F20" i="31" s="1"/>
  <c r="F21" i="31" s="1"/>
  <c r="F16" i="31"/>
  <c r="E29" i="31"/>
  <c r="F25" i="31"/>
  <c r="F26" i="31" s="1"/>
  <c r="F29" i="31" s="1"/>
  <c r="F31" i="31"/>
  <c r="F33" i="31" s="1"/>
  <c r="F34" i="31" s="1"/>
  <c r="F35" i="31" s="1"/>
  <c r="F36" i="31" s="1"/>
  <c r="F32" i="31"/>
  <c r="F39" i="31"/>
  <c r="F41" i="31"/>
  <c r="F45" i="31" s="1"/>
  <c r="F47" i="31"/>
  <c r="F49" i="31" s="1"/>
  <c r="F50" i="31" s="1"/>
  <c r="F43" i="31"/>
  <c r="M4" i="30"/>
  <c r="M5" i="30" s="1"/>
  <c r="P7" i="30"/>
  <c r="P8" i="30" s="1"/>
  <c r="M8" i="30"/>
  <c r="D54" i="29"/>
  <c r="B53" i="30"/>
  <c r="B54" i="30"/>
  <c r="B55" i="30"/>
  <c r="B56" i="30"/>
  <c r="B57" i="30"/>
  <c r="B58" i="30"/>
  <c r="B59" i="30"/>
  <c r="B60" i="30"/>
  <c r="B61" i="30"/>
  <c r="B62" i="30"/>
  <c r="B63" i="30"/>
  <c r="B64" i="30"/>
  <c r="B65" i="30"/>
  <c r="B66" i="30"/>
  <c r="B67" i="30"/>
  <c r="B68" i="30"/>
  <c r="B69" i="30"/>
  <c r="B70" i="30"/>
  <c r="B71" i="30"/>
  <c r="B72" i="30"/>
  <c r="B73" i="30"/>
  <c r="B74" i="30"/>
  <c r="B75" i="30"/>
  <c r="B76" i="30"/>
  <c r="C12" i="29"/>
  <c r="C14" i="29"/>
  <c r="C15" i="29"/>
  <c r="K34" i="29"/>
  <c r="K35" i="29"/>
  <c r="K36" i="29"/>
  <c r="K38" i="29"/>
  <c r="K39" i="29"/>
  <c r="K40" i="29"/>
  <c r="K42" i="29"/>
  <c r="K43" i="29"/>
  <c r="K44" i="29"/>
  <c r="K46" i="29"/>
  <c r="K47" i="29"/>
  <c r="K48" i="29"/>
  <c r="K49" i="29"/>
  <c r="D53" i="29"/>
  <c r="D55" i="29" s="1"/>
  <c r="E2" i="32"/>
  <c r="K15" i="32"/>
  <c r="K16" i="32" s="1"/>
  <c r="K19" i="32"/>
  <c r="K20" i="32" s="1"/>
  <c r="E31" i="32"/>
  <c r="K44" i="32"/>
  <c r="K45" i="32" s="1"/>
  <c r="K48" i="32"/>
  <c r="K49" i="32" s="1"/>
  <c r="E60" i="32"/>
  <c r="K66" i="32"/>
  <c r="K67" i="32" s="1"/>
  <c r="K89" i="32"/>
  <c r="K90" i="32" s="1"/>
  <c r="E102" i="32"/>
  <c r="K116" i="32"/>
  <c r="K117" i="32" s="1"/>
  <c r="D13" i="20"/>
  <c r="D14" i="20"/>
  <c r="D15" i="20"/>
  <c r="D16" i="20"/>
  <c r="K14" i="31"/>
  <c r="M6" i="30"/>
  <c r="M7" i="30" s="1"/>
  <c r="D49" i="29"/>
  <c r="E12" i="31"/>
  <c r="G47" i="20" s="1"/>
  <c r="K113" i="32"/>
  <c r="E13" i="31"/>
  <c r="E14" i="31"/>
  <c r="E17" i="31" s="1"/>
  <c r="D18" i="30"/>
  <c r="D22" i="30"/>
  <c r="C22" i="30" s="1"/>
  <c r="F22" i="30" s="1"/>
  <c r="E28" i="30"/>
  <c r="E36" i="30"/>
  <c r="D44" i="30"/>
  <c r="D38" i="30"/>
  <c r="C38" i="30" s="1"/>
  <c r="D29" i="30"/>
  <c r="D37" i="30"/>
  <c r="D33" i="30"/>
  <c r="D25" i="30"/>
  <c r="C25" i="30"/>
  <c r="F25" i="30" s="1"/>
  <c r="H25" i="30" s="1"/>
  <c r="C63" i="30" s="1"/>
  <c r="E44" i="30"/>
  <c r="D36" i="30"/>
  <c r="D41" i="30"/>
  <c r="E23" i="30"/>
  <c r="E15" i="30"/>
  <c r="H22" i="30"/>
  <c r="H60" i="30"/>
  <c r="G60" i="30"/>
  <c r="D60" i="30"/>
  <c r="F60" i="30"/>
  <c r="C60" i="30"/>
  <c r="I63" i="30"/>
  <c r="J25" i="30"/>
  <c r="H63" i="30"/>
  <c r="E63" i="30"/>
  <c r="D19" i="30"/>
  <c r="C19" i="30" s="1"/>
  <c r="D32" i="30"/>
  <c r="E18" i="30"/>
  <c r="D23" i="30"/>
  <c r="C23" i="30"/>
  <c r="D43" i="30"/>
  <c r="C43" i="30"/>
  <c r="J43" i="30" s="1"/>
  <c r="D27" i="30"/>
  <c r="C27" i="30" s="1"/>
  <c r="D28" i="30"/>
  <c r="C28" i="30" s="1"/>
  <c r="D35" i="30"/>
  <c r="C35" i="30" s="1"/>
  <c r="E29" i="30"/>
  <c r="D16" i="30"/>
  <c r="E39" i="30"/>
  <c r="E19" i="30"/>
  <c r="E35" i="30"/>
  <c r="C13" i="29"/>
  <c r="I21" i="29" s="1"/>
  <c r="I23" i="29" s="1"/>
  <c r="F43" i="30"/>
  <c r="H43" i="30" s="1"/>
  <c r="C18" i="30"/>
  <c r="F18" i="30"/>
  <c r="H18" i="30" s="1"/>
  <c r="C29" i="30"/>
  <c r="E38" i="31"/>
  <c r="E30" i="31"/>
  <c r="E28" i="31"/>
  <c r="E39" i="31" s="1"/>
  <c r="K39" i="32"/>
  <c r="K23" i="30"/>
  <c r="K34" i="30"/>
  <c r="K22" i="30"/>
  <c r="K44" i="30"/>
  <c r="K37" i="30"/>
  <c r="K31" i="30"/>
  <c r="K39" i="30"/>
  <c r="K15" i="30"/>
  <c r="K41" i="30"/>
  <c r="K27" i="30"/>
  <c r="K21" i="30"/>
  <c r="K33" i="30"/>
  <c r="K35" i="30"/>
  <c r="K16" i="30"/>
  <c r="K32" i="30"/>
  <c r="K36" i="30"/>
  <c r="K28" i="30"/>
  <c r="K18" i="30"/>
  <c r="K26" i="30"/>
  <c r="K29" i="30"/>
  <c r="K42" i="30"/>
  <c r="K45" i="30"/>
  <c r="K24" i="30"/>
  <c r="K25" i="30"/>
  <c r="K17" i="30"/>
  <c r="K43" i="30"/>
  <c r="K19" i="30"/>
  <c r="K20" i="30"/>
  <c r="K40" i="30"/>
  <c r="K30" i="30"/>
  <c r="K38" i="30"/>
  <c r="K137" i="32" l="1"/>
  <c r="G97" i="20"/>
  <c r="I97" i="20" s="1"/>
  <c r="K177" i="32"/>
  <c r="K179" i="32" s="1"/>
  <c r="K37" i="32"/>
  <c r="K93" i="32"/>
  <c r="K138" i="32"/>
  <c r="K120" i="32"/>
  <c r="K122" i="32" s="1"/>
  <c r="M23" i="30"/>
  <c r="M37" i="30"/>
  <c r="M18" i="30"/>
  <c r="M36" i="30"/>
  <c r="M24" i="30"/>
  <c r="M16" i="30"/>
  <c r="M22" i="30"/>
  <c r="M20" i="30"/>
  <c r="M44" i="30"/>
  <c r="M34" i="30"/>
  <c r="M42" i="30"/>
  <c r="M31" i="30"/>
  <c r="M29" i="30"/>
  <c r="M21" i="30"/>
  <c r="M26" i="30"/>
  <c r="M27" i="30"/>
  <c r="M15" i="30"/>
  <c r="Q15" i="30" s="1"/>
  <c r="M19" i="30"/>
  <c r="M28" i="30"/>
  <c r="M32" i="30"/>
  <c r="M43" i="30"/>
  <c r="M35" i="30"/>
  <c r="M38" i="30"/>
  <c r="M17" i="30"/>
  <c r="M45" i="30"/>
  <c r="M25" i="30"/>
  <c r="M41" i="30"/>
  <c r="M39" i="30"/>
  <c r="M33" i="30"/>
  <c r="M40" i="30"/>
  <c r="M30" i="30"/>
  <c r="J18" i="30"/>
  <c r="J23" i="30"/>
  <c r="G56" i="30"/>
  <c r="D56" i="30"/>
  <c r="H56" i="30"/>
  <c r="I56" i="30"/>
  <c r="C56" i="30"/>
  <c r="F56" i="30"/>
  <c r="E56" i="30"/>
  <c r="J27" i="30"/>
  <c r="F27" i="30"/>
  <c r="H27" i="30" s="1"/>
  <c r="G81" i="30"/>
  <c r="D81" i="30"/>
  <c r="C81" i="30"/>
  <c r="F81" i="30"/>
  <c r="I81" i="30"/>
  <c r="H81" i="30"/>
  <c r="E81" i="30"/>
  <c r="F35" i="30"/>
  <c r="H35" i="30" s="1"/>
  <c r="J35" i="30" s="1"/>
  <c r="C32" i="30"/>
  <c r="I60" i="30"/>
  <c r="E60" i="30"/>
  <c r="C36" i="30"/>
  <c r="F23" i="30"/>
  <c r="H23" i="30" s="1"/>
  <c r="F38" i="30"/>
  <c r="H38" i="30" s="1"/>
  <c r="J38" i="30" s="1"/>
  <c r="F19" i="30"/>
  <c r="H19" i="30" s="1"/>
  <c r="J19" i="30" s="1"/>
  <c r="G63" i="30"/>
  <c r="D63" i="30"/>
  <c r="D17" i="29"/>
  <c r="E34" i="31"/>
  <c r="E32" i="31"/>
  <c r="F29" i="30"/>
  <c r="H29" i="30" s="1"/>
  <c r="F63" i="30"/>
  <c r="J22" i="30"/>
  <c r="C44" i="30"/>
  <c r="F28" i="30"/>
  <c r="H28" i="30" s="1"/>
  <c r="E32" i="30"/>
  <c r="D45" i="30"/>
  <c r="C45" i="30" s="1"/>
  <c r="D20" i="30"/>
  <c r="C20" i="30" s="1"/>
  <c r="D26" i="30"/>
  <c r="C26" i="30" s="1"/>
  <c r="D40" i="30"/>
  <c r="C40" i="30" s="1"/>
  <c r="K78" i="32"/>
  <c r="K86" i="32" s="1"/>
  <c r="D17" i="30"/>
  <c r="C17" i="30" s="1"/>
  <c r="E16" i="30"/>
  <c r="E42" i="30"/>
  <c r="D39" i="30"/>
  <c r="C39" i="30" s="1"/>
  <c r="D34" i="30"/>
  <c r="C34" i="30" s="1"/>
  <c r="F27" i="31"/>
  <c r="D15" i="30"/>
  <c r="C15" i="30" s="1"/>
  <c r="E20" i="30"/>
  <c r="D24" i="30"/>
  <c r="C24" i="30" s="1"/>
  <c r="E37" i="30"/>
  <c r="D21" i="30"/>
  <c r="C21" i="30" s="1"/>
  <c r="E33" i="30"/>
  <c r="D42" i="30"/>
  <c r="C42" i="30" s="1"/>
  <c r="D31" i="30"/>
  <c r="C31" i="30" s="1"/>
  <c r="D30" i="30"/>
  <c r="C30" i="30" s="1"/>
  <c r="E41" i="30"/>
  <c r="E26" i="30"/>
  <c r="E31" i="31"/>
  <c r="E40" i="31"/>
  <c r="E33" i="31"/>
  <c r="G95" i="20" s="1"/>
  <c r="G98" i="20" s="1"/>
  <c r="I98" i="20" s="1"/>
  <c r="G60" i="20"/>
  <c r="G112" i="20"/>
  <c r="G124" i="20" s="1"/>
  <c r="E18" i="31"/>
  <c r="E15" i="31"/>
  <c r="G45" i="20"/>
  <c r="G50" i="20" s="1"/>
  <c r="G57" i="20"/>
  <c r="G56" i="20"/>
  <c r="E16" i="31"/>
  <c r="K136" i="32"/>
  <c r="K52" i="32"/>
  <c r="K53" i="32" s="1"/>
  <c r="K38" i="32"/>
  <c r="K164" i="32"/>
  <c r="K166" i="32" s="1"/>
  <c r="K150" i="32"/>
  <c r="K151" i="32" s="1"/>
  <c r="K94" i="32"/>
  <c r="K23" i="32"/>
  <c r="K24" i="32" s="1"/>
  <c r="G96" i="20" l="1"/>
  <c r="I96" i="20" s="1"/>
  <c r="K95" i="32"/>
  <c r="E47" i="31"/>
  <c r="G94" i="20"/>
  <c r="I94" i="20" s="1"/>
  <c r="K139" i="32"/>
  <c r="K152" i="32" s="1"/>
  <c r="K153" i="32" s="1"/>
  <c r="K180" i="32"/>
  <c r="K181" i="32" s="1"/>
  <c r="F20" i="30"/>
  <c r="H20" i="30" s="1"/>
  <c r="I82" i="20"/>
  <c r="I79" i="20"/>
  <c r="E56" i="32"/>
  <c r="E27" i="32"/>
  <c r="E125" i="32"/>
  <c r="I47" i="20"/>
  <c r="E154" i="32"/>
  <c r="I78" i="20"/>
  <c r="E98" i="32"/>
  <c r="E182" i="32"/>
  <c r="F40" i="30"/>
  <c r="H40" i="30" s="1"/>
  <c r="J40" i="30"/>
  <c r="F32" i="30"/>
  <c r="H32" i="30" s="1"/>
  <c r="H65" i="30"/>
  <c r="G65" i="30"/>
  <c r="E65" i="30"/>
  <c r="F65" i="30"/>
  <c r="D65" i="30"/>
  <c r="I65" i="30"/>
  <c r="C65" i="30"/>
  <c r="C16" i="30"/>
  <c r="F16" i="30" s="1"/>
  <c r="H16" i="30" s="1"/>
  <c r="F30" i="30"/>
  <c r="H30" i="30" s="1"/>
  <c r="J30" i="30" s="1"/>
  <c r="F21" i="30"/>
  <c r="H21" i="30" s="1"/>
  <c r="J21" i="30"/>
  <c r="J15" i="30"/>
  <c r="F34" i="30"/>
  <c r="H34" i="30" s="1"/>
  <c r="F17" i="30"/>
  <c r="H17" i="30" s="1"/>
  <c r="J17" i="30"/>
  <c r="J26" i="30"/>
  <c r="G66" i="30"/>
  <c r="I66" i="30"/>
  <c r="C66" i="30"/>
  <c r="H66" i="30"/>
  <c r="E66" i="30"/>
  <c r="J28" i="30"/>
  <c r="F66" i="30"/>
  <c r="D66" i="30"/>
  <c r="C24" i="29"/>
  <c r="D20" i="29"/>
  <c r="D21" i="29" s="1"/>
  <c r="I76" i="30"/>
  <c r="F76" i="30"/>
  <c r="D76" i="30"/>
  <c r="E76" i="30"/>
  <c r="H76" i="30"/>
  <c r="C76" i="30"/>
  <c r="G76" i="30"/>
  <c r="J32" i="30"/>
  <c r="F31" i="30"/>
  <c r="H31" i="30" s="1"/>
  <c r="J31" i="30"/>
  <c r="F37" i="30"/>
  <c r="H37" i="30" s="1"/>
  <c r="F39" i="30"/>
  <c r="H39" i="30" s="1"/>
  <c r="J20" i="30"/>
  <c r="I67" i="30"/>
  <c r="G67" i="30"/>
  <c r="D67" i="30"/>
  <c r="E67" i="30"/>
  <c r="C67" i="30"/>
  <c r="F67" i="30"/>
  <c r="H67" i="30"/>
  <c r="C41" i="30"/>
  <c r="C33" i="30"/>
  <c r="F33" i="30" s="1"/>
  <c r="H33" i="30" s="1"/>
  <c r="F15" i="30"/>
  <c r="H15" i="30" s="1"/>
  <c r="F44" i="30"/>
  <c r="H44" i="30" s="1"/>
  <c r="J44" i="30" s="1"/>
  <c r="J29" i="30"/>
  <c r="E45" i="31"/>
  <c r="F26" i="30"/>
  <c r="H26" i="30" s="1"/>
  <c r="J24" i="30"/>
  <c r="F24" i="30"/>
  <c r="H24" i="30" s="1"/>
  <c r="F42" i="30"/>
  <c r="H42" i="30" s="1"/>
  <c r="F45" i="30"/>
  <c r="H45" i="30" s="1"/>
  <c r="J45" i="30" s="1"/>
  <c r="C37" i="30"/>
  <c r="F36" i="30"/>
  <c r="H36" i="30" s="1"/>
  <c r="I57" i="30"/>
  <c r="C57" i="30"/>
  <c r="E57" i="30"/>
  <c r="F57" i="30"/>
  <c r="H57" i="30"/>
  <c r="G57" i="30"/>
  <c r="D57" i="30"/>
  <c r="E61" i="30"/>
  <c r="D61" i="30"/>
  <c r="H61" i="30"/>
  <c r="F61" i="30"/>
  <c r="I61" i="30"/>
  <c r="C61" i="30"/>
  <c r="G61" i="30"/>
  <c r="G73" i="30"/>
  <c r="I73" i="30"/>
  <c r="C73" i="30"/>
  <c r="F73" i="30"/>
  <c r="E73" i="30"/>
  <c r="H73" i="30"/>
  <c r="D73" i="30"/>
  <c r="P18" i="30"/>
  <c r="Q18" i="30" s="1"/>
  <c r="P19" i="30" s="1"/>
  <c r="Q19" i="30" s="1"/>
  <c r="P16" i="30"/>
  <c r="Q16" i="30" s="1"/>
  <c r="P17" i="30" s="1"/>
  <c r="Q17" i="30" s="1"/>
  <c r="E41" i="31"/>
  <c r="E35" i="31"/>
  <c r="G63" i="20"/>
  <c r="E20" i="31"/>
  <c r="E21" i="31" s="1"/>
  <c r="E43" i="31"/>
  <c r="G44" i="20"/>
  <c r="G46" i="20"/>
  <c r="G53" i="20"/>
  <c r="K96" i="32"/>
  <c r="K97" i="32" s="1"/>
  <c r="I55" i="20"/>
  <c r="K182" i="32" l="1"/>
  <c r="K183" i="32" s="1"/>
  <c r="H57" i="20" s="1"/>
  <c r="I57" i="20" s="1"/>
  <c r="K154" i="32"/>
  <c r="K155" i="32" s="1"/>
  <c r="H100" i="20" s="1"/>
  <c r="I103" i="20"/>
  <c r="K98" i="32"/>
  <c r="K99" i="32" s="1"/>
  <c r="H15" i="20" s="1"/>
  <c r="I15" i="20" s="1"/>
  <c r="I91" i="20"/>
  <c r="I109" i="20"/>
  <c r="I41" i="20"/>
  <c r="I40" i="20" s="1"/>
  <c r="I81" i="20"/>
  <c r="I73" i="20"/>
  <c r="I43" i="20"/>
  <c r="I108" i="20"/>
  <c r="K12" i="32"/>
  <c r="K25" i="32" s="1"/>
  <c r="K26" i="32" s="1"/>
  <c r="K27" i="32" s="1"/>
  <c r="K28" i="32" s="1"/>
  <c r="H13" i="20" s="1"/>
  <c r="I13" i="20" s="1"/>
  <c r="I46" i="20"/>
  <c r="K108" i="32"/>
  <c r="K109" i="32" s="1"/>
  <c r="K123" i="32" s="1"/>
  <c r="K124" i="32" s="1"/>
  <c r="K125" i="32" s="1"/>
  <c r="G71" i="30"/>
  <c r="E71" i="30"/>
  <c r="F71" i="30"/>
  <c r="I71" i="30"/>
  <c r="H71" i="30"/>
  <c r="D71" i="30"/>
  <c r="C71" i="30"/>
  <c r="C54" i="30"/>
  <c r="F54" i="30"/>
  <c r="H54" i="30"/>
  <c r="I54" i="30"/>
  <c r="G54" i="30"/>
  <c r="E54" i="30"/>
  <c r="D54" i="30"/>
  <c r="P20" i="30"/>
  <c r="Q20" i="30" s="1"/>
  <c r="P26" i="30"/>
  <c r="Q26" i="30" s="1"/>
  <c r="P23" i="30"/>
  <c r="Q23" i="30" s="1"/>
  <c r="C62" i="30"/>
  <c r="D62" i="30"/>
  <c r="G62" i="30"/>
  <c r="H62" i="30"/>
  <c r="E62" i="30"/>
  <c r="I62" i="30"/>
  <c r="F62" i="30"/>
  <c r="F77" i="30"/>
  <c r="E77" i="30"/>
  <c r="I77" i="30"/>
  <c r="G77" i="30"/>
  <c r="D77" i="30"/>
  <c r="H77" i="30"/>
  <c r="C77" i="30"/>
  <c r="I72" i="30"/>
  <c r="E72" i="30"/>
  <c r="H72" i="30"/>
  <c r="D72" i="30"/>
  <c r="C72" i="30"/>
  <c r="G72" i="30"/>
  <c r="F72" i="30"/>
  <c r="H58" i="30"/>
  <c r="D58" i="30"/>
  <c r="F58" i="30"/>
  <c r="G58" i="30"/>
  <c r="I58" i="30"/>
  <c r="E58" i="30"/>
  <c r="C58" i="30"/>
  <c r="D83" i="30"/>
  <c r="C83" i="30"/>
  <c r="F83" i="30"/>
  <c r="G83" i="30"/>
  <c r="H83" i="30"/>
  <c r="E83" i="30"/>
  <c r="I83" i="30"/>
  <c r="G82" i="30"/>
  <c r="C82" i="30"/>
  <c r="F82" i="30"/>
  <c r="I82" i="30"/>
  <c r="H82" i="30"/>
  <c r="D82" i="30"/>
  <c r="E82" i="30"/>
  <c r="G75" i="30"/>
  <c r="F75" i="30"/>
  <c r="H75" i="30"/>
  <c r="E75" i="30"/>
  <c r="D75" i="30"/>
  <c r="I75" i="30"/>
  <c r="C75" i="30"/>
  <c r="F68" i="30"/>
  <c r="H68" i="30"/>
  <c r="I68" i="30"/>
  <c r="D68" i="30"/>
  <c r="G68" i="30"/>
  <c r="E68" i="30"/>
  <c r="C68" i="30"/>
  <c r="J16" i="30"/>
  <c r="E70" i="30"/>
  <c r="D70" i="30"/>
  <c r="H70" i="30"/>
  <c r="C70" i="30"/>
  <c r="I70" i="30"/>
  <c r="G70" i="30"/>
  <c r="F70" i="30"/>
  <c r="I74" i="30"/>
  <c r="G74" i="30"/>
  <c r="F74" i="30"/>
  <c r="D74" i="30"/>
  <c r="H74" i="30"/>
  <c r="E74" i="30"/>
  <c r="C74" i="30"/>
  <c r="D80" i="30"/>
  <c r="C80" i="30"/>
  <c r="I80" i="30"/>
  <c r="H80" i="30"/>
  <c r="E80" i="30"/>
  <c r="F80" i="30"/>
  <c r="G80" i="30"/>
  <c r="J42" i="30"/>
  <c r="C53" i="30"/>
  <c r="I53" i="30"/>
  <c r="H53" i="30"/>
  <c r="F53" i="30"/>
  <c r="D53" i="30"/>
  <c r="E53" i="30"/>
  <c r="G53" i="30"/>
  <c r="I50" i="20"/>
  <c r="J36" i="30"/>
  <c r="F55" i="30"/>
  <c r="C55" i="30"/>
  <c r="D55" i="30"/>
  <c r="I55" i="30"/>
  <c r="G55" i="30"/>
  <c r="E55" i="30"/>
  <c r="H55" i="30"/>
  <c r="F41" i="30"/>
  <c r="H41" i="30" s="1"/>
  <c r="I49" i="20"/>
  <c r="J37" i="30"/>
  <c r="I64" i="30"/>
  <c r="F64" i="30"/>
  <c r="D64" i="30"/>
  <c r="C64" i="30"/>
  <c r="H64" i="30"/>
  <c r="E64" i="30"/>
  <c r="G64" i="30"/>
  <c r="J33" i="30"/>
  <c r="J39" i="30"/>
  <c r="G69" i="30"/>
  <c r="H69" i="30"/>
  <c r="F69" i="30"/>
  <c r="D69" i="30"/>
  <c r="C69" i="30"/>
  <c r="I69" i="30"/>
  <c r="E69" i="30"/>
  <c r="C25" i="29"/>
  <c r="J34" i="30"/>
  <c r="C59" i="30"/>
  <c r="I59" i="30"/>
  <c r="F59" i="30"/>
  <c r="G59" i="30"/>
  <c r="D59" i="30"/>
  <c r="H59" i="30"/>
  <c r="E59" i="30"/>
  <c r="G78" i="30"/>
  <c r="I78" i="30"/>
  <c r="C78" i="30"/>
  <c r="H78" i="30"/>
  <c r="D78" i="30"/>
  <c r="F78" i="30"/>
  <c r="E78" i="30"/>
  <c r="E36" i="31"/>
  <c r="G100" i="20" s="1"/>
  <c r="G101" i="20"/>
  <c r="E49" i="31"/>
  <c r="I44" i="20"/>
  <c r="I77" i="20"/>
  <c r="G52" i="20"/>
  <c r="I53" i="20"/>
  <c r="I12" i="20"/>
  <c r="K40" i="32"/>
  <c r="K41" i="32" s="1"/>
  <c r="K54" i="32" s="1"/>
  <c r="K55" i="32" s="1"/>
  <c r="K56" i="32" s="1"/>
  <c r="K57" i="32" s="1"/>
  <c r="H14" i="20" s="1"/>
  <c r="I14" i="20" s="1"/>
  <c r="I107" i="20" l="1"/>
  <c r="H106" i="20"/>
  <c r="I106" i="20" s="1"/>
  <c r="K126" i="32"/>
  <c r="K127" i="32" s="1"/>
  <c r="H52" i="20"/>
  <c r="I52" i="20" s="1"/>
  <c r="I48" i="20"/>
  <c r="I74" i="20"/>
  <c r="I45" i="20"/>
  <c r="I101" i="20"/>
  <c r="I100" i="20"/>
  <c r="C26" i="29"/>
  <c r="D31" i="29"/>
  <c r="D32" i="29" s="1"/>
  <c r="D36" i="29" s="1"/>
  <c r="E84" i="30"/>
  <c r="I84" i="30"/>
  <c r="P28" i="30"/>
  <c r="Q28" i="30" s="1"/>
  <c r="P27" i="30"/>
  <c r="Q27" i="30" s="1"/>
  <c r="D84" i="30"/>
  <c r="C84" i="30"/>
  <c r="P21" i="30"/>
  <c r="Q21" i="30" s="1"/>
  <c r="P22" i="30"/>
  <c r="Q22" i="30" s="1"/>
  <c r="I105" i="20"/>
  <c r="I56" i="20"/>
  <c r="I54" i="20" s="1"/>
  <c r="I72" i="20"/>
  <c r="I70" i="20" s="1"/>
  <c r="I79" i="30"/>
  <c r="E79" i="30"/>
  <c r="D79" i="30"/>
  <c r="C79" i="30"/>
  <c r="F79" i="30"/>
  <c r="F84" i="30" s="1"/>
  <c r="H79" i="30"/>
  <c r="G79" i="30"/>
  <c r="G84" i="30"/>
  <c r="H84" i="30"/>
  <c r="J41" i="30"/>
  <c r="P24" i="30"/>
  <c r="Q24" i="30" s="1"/>
  <c r="P25" i="30"/>
  <c r="Q25" i="30" s="1"/>
  <c r="E50" i="31"/>
  <c r="I80" i="20"/>
  <c r="I102" i="20" l="1"/>
  <c r="H16" i="20"/>
  <c r="I16" i="20" s="1"/>
  <c r="I11" i="20" s="1"/>
  <c r="I42" i="20"/>
  <c r="I51" i="20"/>
  <c r="L140" i="20"/>
  <c r="I95" i="20"/>
  <c r="I93" i="20" s="1"/>
  <c r="I99" i="20"/>
  <c r="P32" i="30"/>
  <c r="Q32" i="30" s="1"/>
  <c r="P29" i="30"/>
  <c r="Q29" i="30" s="1"/>
  <c r="D39" i="29"/>
  <c r="D42" i="29" s="1"/>
  <c r="D35" i="29"/>
  <c r="D45" i="29" s="1"/>
  <c r="D50" i="29" s="1"/>
  <c r="D58" i="29" s="1"/>
  <c r="D65" i="29" s="1"/>
  <c r="D69" i="29" s="1"/>
  <c r="D73" i="29"/>
  <c r="M140" i="20"/>
  <c r="G85" i="30"/>
  <c r="P31" i="30" l="1"/>
  <c r="Q31" i="30" s="1"/>
  <c r="P30" i="30"/>
  <c r="Q30" i="30" s="1"/>
  <c r="D76" i="29"/>
  <c r="P33" i="30"/>
  <c r="Q33" i="30" s="1"/>
  <c r="P39" i="30"/>
  <c r="Q39" i="30" s="1"/>
  <c r="P35" i="30" l="1"/>
  <c r="Q35" i="30" s="1"/>
  <c r="P36" i="30" s="1"/>
  <c r="Q36" i="30" s="1"/>
  <c r="P37" i="30" s="1"/>
  <c r="Q37" i="30" s="1"/>
  <c r="P38" i="30" s="1"/>
  <c r="Q38" i="30" s="1"/>
  <c r="P34" i="30"/>
  <c r="Q34" i="30" s="1"/>
  <c r="E78" i="29"/>
  <c r="D85" i="29" s="1"/>
  <c r="D82" i="29"/>
  <c r="D86" i="29" s="1"/>
  <c r="P41" i="30"/>
  <c r="Q41" i="30" s="1"/>
  <c r="P42" i="30" s="1"/>
  <c r="Q42" i="30" s="1"/>
  <c r="P40" i="30"/>
  <c r="Q40" i="30" s="1"/>
  <c r="P43" i="30" l="1"/>
  <c r="Q43" i="30" s="1"/>
  <c r="P44" i="30"/>
  <c r="Q44" i="30" s="1"/>
  <c r="P45" i="30" s="1"/>
  <c r="Q45" i="30" s="1"/>
  <c r="E16" i="34" l="1"/>
  <c r="E15" i="34" l="1"/>
  <c r="G16" i="34"/>
  <c r="C32" i="34" l="1"/>
  <c r="G15" i="34"/>
  <c r="E64" i="34"/>
  <c r="G64" i="34" s="1"/>
  <c r="E63" i="34" l="1"/>
  <c r="C80" i="34" l="1"/>
  <c r="C81" i="34" s="1"/>
  <c r="G63" i="34"/>
  <c r="H60" i="20" l="1"/>
  <c r="I60" i="20" s="1"/>
  <c r="H65" i="20"/>
  <c r="I65" i="20" s="1"/>
  <c r="H67" i="20"/>
  <c r="I67" i="20" s="1"/>
  <c r="H86" i="20"/>
  <c r="I86" i="20" s="1"/>
  <c r="H88" i="20"/>
  <c r="I88" i="20" s="1"/>
  <c r="Q140" i="20" s="1"/>
  <c r="H127" i="20"/>
  <c r="I127" i="20" s="1"/>
  <c r="H130" i="20"/>
  <c r="I130" i="20" s="1"/>
  <c r="H132" i="20"/>
  <c r="I132" i="20" s="1"/>
  <c r="H134" i="20"/>
  <c r="I134" i="20" s="1"/>
  <c r="H136" i="20"/>
  <c r="I136" i="20" s="1"/>
  <c r="N140" i="20" s="1"/>
  <c r="H63" i="20"/>
  <c r="I63" i="20" s="1"/>
  <c r="I62" i="20" s="1"/>
  <c r="H113" i="20"/>
  <c r="I113" i="20" s="1"/>
  <c r="H115" i="20"/>
  <c r="I115" i="20" s="1"/>
  <c r="H117" i="20"/>
  <c r="I117" i="20" s="1"/>
  <c r="H119" i="20"/>
  <c r="I119" i="20" s="1"/>
  <c r="H121" i="20"/>
  <c r="I121" i="20" s="1"/>
  <c r="H123" i="20"/>
  <c r="I123" i="20" s="1"/>
  <c r="G78" i="34"/>
  <c r="G79" i="34" s="1"/>
  <c r="H61" i="20"/>
  <c r="I61" i="20" s="1"/>
  <c r="H66" i="20"/>
  <c r="I66" i="20" s="1"/>
  <c r="H68" i="20"/>
  <c r="I68" i="20" s="1"/>
  <c r="H85" i="20"/>
  <c r="I85" i="20" s="1"/>
  <c r="H87" i="20"/>
  <c r="I87" i="20" s="1"/>
  <c r="H89" i="20"/>
  <c r="I89" i="20" s="1"/>
  <c r="H126" i="20"/>
  <c r="I126" i="20" s="1"/>
  <c r="H128" i="20"/>
  <c r="I128" i="20" s="1"/>
  <c r="H131" i="20"/>
  <c r="I131" i="20" s="1"/>
  <c r="H133" i="20"/>
  <c r="I133" i="20" s="1"/>
  <c r="H135" i="20"/>
  <c r="I135" i="20" s="1"/>
  <c r="H112" i="20"/>
  <c r="I112" i="20" s="1"/>
  <c r="H114" i="20"/>
  <c r="I114" i="20" s="1"/>
  <c r="H116" i="20"/>
  <c r="I116" i="20" s="1"/>
  <c r="H118" i="20"/>
  <c r="I118" i="20" s="1"/>
  <c r="H120" i="20"/>
  <c r="I120" i="20" s="1"/>
  <c r="H122" i="20"/>
  <c r="I122" i="20" s="1"/>
  <c r="H124" i="20"/>
  <c r="I124" i="20" s="1"/>
  <c r="I84" i="20" l="1"/>
  <c r="I69" i="20" s="1"/>
  <c r="I111" i="20"/>
  <c r="P140" i="20"/>
  <c r="I64" i="20"/>
  <c r="I125" i="20"/>
  <c r="O140" i="20"/>
  <c r="I59" i="20"/>
  <c r="I58" i="20" l="1"/>
  <c r="S140" i="20"/>
  <c r="I110" i="20"/>
  <c r="I90" i="20" s="1"/>
  <c r="I137" i="20" l="1"/>
  <c r="H8" i="20" s="1"/>
  <c r="S142" i="20" l="1"/>
  <c r="O142" i="20"/>
  <c r="P142" i="20"/>
  <c r="Q142" i="20"/>
  <c r="N142" i="20"/>
  <c r="R142" i="20"/>
  <c r="M142" i="20"/>
  <c r="L142" i="20"/>
  <c r="B32" i="32"/>
  <c r="B61" i="32"/>
  <c r="B103" i="32"/>
  <c r="B131" i="32"/>
  <c r="B159" i="32"/>
  <c r="S144" i="20" l="1"/>
</calcChain>
</file>

<file path=xl/sharedStrings.xml><?xml version="1.0" encoding="utf-8"?>
<sst xmlns="http://schemas.openxmlformats.org/spreadsheetml/2006/main" count="2565" uniqueCount="840">
  <si>
    <t>3.1</t>
  </si>
  <si>
    <t>3.2</t>
  </si>
  <si>
    <t>3.3</t>
  </si>
  <si>
    <t>QUANT.</t>
  </si>
  <si>
    <t>m</t>
  </si>
  <si>
    <t>m²</t>
  </si>
  <si>
    <t>m³</t>
  </si>
  <si>
    <t>UNID.</t>
  </si>
  <si>
    <t>CODEVASF</t>
  </si>
  <si>
    <t>01-02</t>
  </si>
  <si>
    <t>Marcha</t>
  </si>
  <si>
    <t>DN=</t>
  </si>
  <si>
    <t xml:space="preserve">Diâmetro nominal </t>
  </si>
  <si>
    <t>Comprimento Adutora</t>
  </si>
  <si>
    <t xml:space="preserve">Comprimento da adutora </t>
  </si>
  <si>
    <t>Fictícia</t>
  </si>
  <si>
    <t>L</t>
  </si>
  <si>
    <t>TOTAL R$</t>
  </si>
  <si>
    <t>RELAÇÃO DE MATERIAIS REDE DE DISTRIBUIÇAO</t>
  </si>
  <si>
    <t>h</t>
  </si>
  <si>
    <t>LOCAÇÃO</t>
  </si>
  <si>
    <t>ESACAVAÇÃO EM VALAS</t>
  </si>
  <si>
    <t>ATERRO/REATERRO</t>
  </si>
  <si>
    <t>A1</t>
  </si>
  <si>
    <t>A2</t>
  </si>
  <si>
    <t>A3</t>
  </si>
  <si>
    <t>A4</t>
  </si>
  <si>
    <t>A</t>
  </si>
  <si>
    <t>B1</t>
  </si>
  <si>
    <t>B2</t>
  </si>
  <si>
    <t>B</t>
  </si>
  <si>
    <t>C1</t>
  </si>
  <si>
    <t>C2</t>
  </si>
  <si>
    <t>C</t>
  </si>
  <si>
    <t>D1</t>
  </si>
  <si>
    <t>D2</t>
  </si>
  <si>
    <t>D</t>
  </si>
  <si>
    <t>MEMÓRIA DE CÁLCULOS PARA ADUTORA DE ÁGUA BRUTA POR PRESSÃO</t>
  </si>
  <si>
    <t>DADOS BÁSICOS</t>
  </si>
  <si>
    <t>Tx perc. Consumo</t>
  </si>
  <si>
    <t>litros/hab/dia</t>
  </si>
  <si>
    <t>População em final de projeto</t>
  </si>
  <si>
    <t>habitantes</t>
  </si>
  <si>
    <t>Coeficiente de cons. Max diário (K1)</t>
  </si>
  <si>
    <t>N° horas funcionamento</t>
  </si>
  <si>
    <t>horas</t>
  </si>
  <si>
    <t>Consumo diário p/ final do plano</t>
  </si>
  <si>
    <t>Cd=</t>
  </si>
  <si>
    <t>litros/dia</t>
  </si>
  <si>
    <t>VD = Cd x K1</t>
  </si>
  <si>
    <t>VD=</t>
  </si>
  <si>
    <t xml:space="preserve">litros </t>
  </si>
  <si>
    <t>VR=</t>
  </si>
  <si>
    <t>VAZÃO MÁXIMA DIÁRIA ( 20 anos)</t>
  </si>
  <si>
    <t xml:space="preserve">Qmd = pop x q x K1/ 3.600 x h </t>
  </si>
  <si>
    <t>l/s</t>
  </si>
  <si>
    <t>m³/s</t>
  </si>
  <si>
    <t>m³/h</t>
  </si>
  <si>
    <t>DIMENSIONAMENTO DO SISTEMA DE RECALQUE</t>
  </si>
  <si>
    <t>Diâmetro econômico ABNT</t>
  </si>
  <si>
    <r>
      <t>d= 1,30 x (h/24)</t>
    </r>
    <r>
      <rPr>
        <vertAlign val="superscript"/>
        <sz val="10"/>
        <rFont val="Arial"/>
        <family val="2"/>
      </rPr>
      <t>0,25</t>
    </r>
    <r>
      <rPr>
        <sz val="10"/>
        <rFont val="Arial"/>
        <family val="2"/>
      </rPr>
      <t xml:space="preserve"> x Q</t>
    </r>
    <r>
      <rPr>
        <vertAlign val="superscript"/>
        <sz val="10"/>
        <rFont val="Arial"/>
        <family val="2"/>
      </rPr>
      <t>0,5</t>
    </r>
  </si>
  <si>
    <t>d=</t>
  </si>
  <si>
    <t>mm</t>
  </si>
  <si>
    <t>DE</t>
  </si>
  <si>
    <t>e</t>
  </si>
  <si>
    <t>DI</t>
  </si>
  <si>
    <t>Diâmetro comercial adotado</t>
  </si>
  <si>
    <t>PVC 12 JEI DN 50</t>
  </si>
  <si>
    <t>Diâmetro da tubulação</t>
  </si>
  <si>
    <t>PVC 12 JEI DN 75</t>
  </si>
  <si>
    <t>Espessura da tubulação</t>
  </si>
  <si>
    <t>e=</t>
  </si>
  <si>
    <t>PVC 12 JEI DN 100</t>
  </si>
  <si>
    <t>Área da secção</t>
  </si>
  <si>
    <t>PVC 15 JEI DN 50</t>
  </si>
  <si>
    <t>S= ╥ x di² / 4</t>
  </si>
  <si>
    <t>S=</t>
  </si>
  <si>
    <t>PVC 15 JEI DN 75</t>
  </si>
  <si>
    <t>PVC 15 JEI DN 100</t>
  </si>
  <si>
    <t>Velocidade</t>
  </si>
  <si>
    <t>V= Q / S</t>
  </si>
  <si>
    <t>V=</t>
  </si>
  <si>
    <t>m/s</t>
  </si>
  <si>
    <t>PVC 20 JEI DN 50</t>
  </si>
  <si>
    <t>PVC 20 JEI DN 75</t>
  </si>
  <si>
    <t>Perda de carga unitária</t>
  </si>
  <si>
    <t>PVC 20 JEI DN 100</t>
  </si>
  <si>
    <r>
      <t>J = 10,643 x Q</t>
    </r>
    <r>
      <rPr>
        <vertAlign val="superscript"/>
        <sz val="10"/>
        <rFont val="Arial"/>
        <family val="2"/>
      </rPr>
      <t>1,852</t>
    </r>
    <r>
      <rPr>
        <sz val="10"/>
        <rFont val="Arial"/>
        <family val="2"/>
      </rPr>
      <t xml:space="preserve"> x C</t>
    </r>
    <r>
      <rPr>
        <vertAlign val="superscript"/>
        <sz val="10"/>
        <rFont val="Arial"/>
        <family val="2"/>
      </rPr>
      <t>-1,852</t>
    </r>
    <r>
      <rPr>
        <sz val="10"/>
        <rFont val="Arial"/>
        <family val="2"/>
      </rPr>
      <t xml:space="preserve"> x D</t>
    </r>
    <r>
      <rPr>
        <vertAlign val="superscript"/>
        <sz val="10"/>
        <rFont val="Arial"/>
        <family val="2"/>
      </rPr>
      <t>-4,87</t>
    </r>
  </si>
  <si>
    <t>J=</t>
  </si>
  <si>
    <t>m/m</t>
  </si>
  <si>
    <t>C = 140 - PVC</t>
  </si>
  <si>
    <t>PVC DEFOFO JE 1 MPA DN 100</t>
  </si>
  <si>
    <t>PVC DEFOFO JE 1 MPA DN 150</t>
  </si>
  <si>
    <t>Perda de carga total</t>
  </si>
  <si>
    <t>PVC DEFOFO JE 1 MPA DN 200</t>
  </si>
  <si>
    <t>PVC DEFOFO JE 1 MPA DN 250</t>
  </si>
  <si>
    <t>Hf = J x L</t>
  </si>
  <si>
    <t>Hf=</t>
  </si>
  <si>
    <t>Desnível do recalque</t>
  </si>
  <si>
    <t xml:space="preserve">Cota do NA máximo do reservatório </t>
  </si>
  <si>
    <t>Desnível Geométrico</t>
  </si>
  <si>
    <t>Hg=</t>
  </si>
  <si>
    <t>Altura Manométrica</t>
  </si>
  <si>
    <t>Hm=</t>
  </si>
  <si>
    <t>m.c.a</t>
  </si>
  <si>
    <t>Hg = desnível geométrico</t>
  </si>
  <si>
    <t>Hf = perda de carga distribuída</t>
  </si>
  <si>
    <t>POTÊNCIA DA BOMBA</t>
  </si>
  <si>
    <t>Pb = Q x Hmt / 75 x n</t>
  </si>
  <si>
    <t>Pb=</t>
  </si>
  <si>
    <t>CV</t>
  </si>
  <si>
    <t>n=50%</t>
  </si>
  <si>
    <t>POTÊNCIA DO MOTOR</t>
  </si>
  <si>
    <t>Pmot = Pb x f</t>
  </si>
  <si>
    <t>Pmot=</t>
  </si>
  <si>
    <t>f=50%</t>
  </si>
  <si>
    <t>GOLPE DE ARÍETE</t>
  </si>
  <si>
    <t>Celeridade de onda de pressão</t>
  </si>
  <si>
    <t>a=</t>
  </si>
  <si>
    <r>
      <t>a = 9900 / (48,3 + k x D/e)</t>
    </r>
    <r>
      <rPr>
        <vertAlign val="superscript"/>
        <sz val="11"/>
        <rFont val="Arial"/>
        <family val="2"/>
      </rPr>
      <t>1/2</t>
    </r>
  </si>
  <si>
    <t>Sobrepressão (parada lenta)</t>
  </si>
  <si>
    <t>p=</t>
  </si>
  <si>
    <t>p = a x V / g</t>
  </si>
  <si>
    <t>Pressão máxima de golpe</t>
  </si>
  <si>
    <t>P máx golpe =</t>
  </si>
  <si>
    <t>P máx golpe = Hg + p</t>
  </si>
  <si>
    <t>Pressão mínima de golpe</t>
  </si>
  <si>
    <t>P mín golpe =</t>
  </si>
  <si>
    <t>P mín golpe = Hg - p</t>
  </si>
  <si>
    <t xml:space="preserve">COTA PIEZOMÉTRICA DA PRESSÃO MÁXIMA = </t>
  </si>
  <si>
    <t xml:space="preserve">COTA PIEZOMÉTRICA DA PRESSÃO MÍNIMA = </t>
  </si>
  <si>
    <t>População futura=</t>
  </si>
  <si>
    <t>hab</t>
  </si>
  <si>
    <t>N° de domicílios</t>
  </si>
  <si>
    <t>Vazão máxima de projeto=</t>
  </si>
  <si>
    <t>N° habt/domicílio</t>
  </si>
  <si>
    <t>Extensão da distribuição em marcha=</t>
  </si>
  <si>
    <t>Vazão por metro linear de rede=</t>
  </si>
  <si>
    <t>l/(m.s)</t>
  </si>
  <si>
    <t>Vazão=</t>
  </si>
  <si>
    <t>Coeficiente de cons. Max horár (K2)</t>
  </si>
  <si>
    <t>Vazão por domicílio=</t>
  </si>
  <si>
    <t>Tx cresciment anual</t>
  </si>
  <si>
    <t>% a.a</t>
  </si>
  <si>
    <t>Período alcance proj.</t>
  </si>
  <si>
    <t>anos</t>
  </si>
  <si>
    <t>Horas de funcionamento por dia=</t>
  </si>
  <si>
    <t>Trecho</t>
  </si>
  <si>
    <t>Extensão</t>
  </si>
  <si>
    <t>Q</t>
  </si>
  <si>
    <t>D (calc)</t>
  </si>
  <si>
    <t>DN</t>
  </si>
  <si>
    <t>V</t>
  </si>
  <si>
    <t>Perda de carga</t>
  </si>
  <si>
    <t>Cotas</t>
  </si>
  <si>
    <t>Pressão à</t>
  </si>
  <si>
    <t>(m)</t>
  </si>
  <si>
    <t>(l/s)</t>
  </si>
  <si>
    <t>(mm)</t>
  </si>
  <si>
    <t>(m/s)</t>
  </si>
  <si>
    <t>unit. J</t>
  </si>
  <si>
    <t>Localiz.</t>
  </si>
  <si>
    <t>total</t>
  </si>
  <si>
    <t>Montante</t>
  </si>
  <si>
    <t>Jusante</t>
  </si>
  <si>
    <t>(m/m)</t>
  </si>
  <si>
    <t>(mH2O)</t>
  </si>
  <si>
    <t>Ext. Total (m)=</t>
  </si>
  <si>
    <t>Trechos</t>
  </si>
  <si>
    <t>25 mm</t>
  </si>
  <si>
    <t>32 mm</t>
  </si>
  <si>
    <t>42 mm</t>
  </si>
  <si>
    <t>50 mm</t>
  </si>
  <si>
    <t>100 mm</t>
  </si>
  <si>
    <t>150 mm</t>
  </si>
  <si>
    <t>Somatório</t>
  </si>
  <si>
    <t>Totais</t>
  </si>
  <si>
    <t xml:space="preserve">Extensão total </t>
  </si>
  <si>
    <t>Diâmetro da tubulação(mm)=</t>
  </si>
  <si>
    <t>Extensão do trecho(m)=</t>
  </si>
  <si>
    <t>Largura da vala(m)=</t>
  </si>
  <si>
    <t>% de material de 1ª categoria=</t>
  </si>
  <si>
    <t>Recobrimento mínimo(m)=</t>
  </si>
  <si>
    <t>Espessura do lastro de areia(m)=</t>
  </si>
  <si>
    <t>% de material de 2ª categoria=</t>
  </si>
  <si>
    <t>Vol do lastro de areia(m³)=</t>
  </si>
  <si>
    <t>Profundidade da vala(m)=</t>
  </si>
  <si>
    <t>% de material de 3ª categoria=</t>
  </si>
  <si>
    <t>&lt;== % A frio</t>
  </si>
  <si>
    <t>Volume de escavação(m³)=</t>
  </si>
  <si>
    <t>&lt;== % A fogo</t>
  </si>
  <si>
    <t>Vol. De escav em mat de 3ª categoria a frio(m³)=</t>
  </si>
  <si>
    <t>Vol. De escav em mat de 3ª categoria a fogo(m³)=</t>
  </si>
  <si>
    <t>Reaterro com material de empréstimo(m³)=</t>
  </si>
  <si>
    <t>Reaterro com aproveitamento do material(m³)=</t>
  </si>
  <si>
    <t>RESUMO DOS QUANTITATIVOS DE SERVIÇOS</t>
  </si>
  <si>
    <t>CODEVASF/3ªSR</t>
  </si>
  <si>
    <t xml:space="preserve"> COMPOSIÇÃO DE PREÇO UNITÁRIO</t>
  </si>
  <si>
    <t xml:space="preserve">UNIDADE: </t>
  </si>
  <si>
    <t>EQUIPAMENTO</t>
  </si>
  <si>
    <t>DISCRIMINAÇÃO</t>
  </si>
  <si>
    <t>PROD</t>
  </si>
  <si>
    <t>IMPROD</t>
  </si>
  <si>
    <t>P.UNIT. PROD</t>
  </si>
  <si>
    <t>P.UNIT. IMPR</t>
  </si>
  <si>
    <t>P.TOTAL</t>
  </si>
  <si>
    <t>SUB-TOTAL</t>
  </si>
  <si>
    <t>MATERIAL</t>
  </si>
  <si>
    <t>P.UNIT.</t>
  </si>
  <si>
    <t>SERVIÇOS - COMPOSIÇÕES AUXILIARES</t>
  </si>
  <si>
    <t xml:space="preserve"> </t>
  </si>
  <si>
    <t>CD:</t>
  </si>
  <si>
    <t>Item</t>
  </si>
  <si>
    <t>Descrição dos Serviços</t>
  </si>
  <si>
    <t>%</t>
  </si>
  <si>
    <t>Valor</t>
  </si>
  <si>
    <t>BDI</t>
  </si>
  <si>
    <t>PV</t>
  </si>
  <si>
    <t>CD</t>
  </si>
  <si>
    <t>(R$)</t>
  </si>
  <si>
    <t>ISS</t>
  </si>
  <si>
    <t>PIS</t>
  </si>
  <si>
    <t>Cofins</t>
  </si>
  <si>
    <t xml:space="preserve">PV = </t>
  </si>
  <si>
    <t>BDI =</t>
  </si>
  <si>
    <t>calculado</t>
  </si>
  <si>
    <t>adotado</t>
  </si>
  <si>
    <t>a =</t>
  </si>
  <si>
    <t>Administração Central</t>
  </si>
  <si>
    <t>i =</t>
  </si>
  <si>
    <t>Impostos</t>
  </si>
  <si>
    <t>r =</t>
  </si>
  <si>
    <t>Taxa de Risco</t>
  </si>
  <si>
    <t>f  =</t>
  </si>
  <si>
    <t>l =</t>
  </si>
  <si>
    <t>Lucro</t>
  </si>
  <si>
    <t>DETALHAMENTO DO BDI - SERVIÇOS</t>
  </si>
  <si>
    <t>CÓDIGO</t>
  </si>
  <si>
    <t>SINAPI</t>
  </si>
  <si>
    <t>MÃO DE OBRA</t>
  </si>
  <si>
    <t>PRODUÇÃO DA EQUIPE</t>
  </si>
  <si>
    <t xml:space="preserve">CUSTO </t>
  </si>
  <si>
    <t xml:space="preserve">BDI       </t>
  </si>
  <si>
    <t>TOTAL DO SERVIÇO - R$</t>
  </si>
  <si>
    <t>09-10</t>
  </si>
  <si>
    <t>Cota Captação</t>
  </si>
  <si>
    <t>VR = 1/3 x Qmd</t>
  </si>
  <si>
    <t>Cota Piezométrica do NA captação</t>
  </si>
  <si>
    <t>75 mm</t>
  </si>
  <si>
    <t>02-03</t>
  </si>
  <si>
    <t>05-06</t>
  </si>
  <si>
    <t>12-13</t>
  </si>
  <si>
    <t>7,00 = perdas de carga localizadas</t>
  </si>
  <si>
    <t>2.1</t>
  </si>
  <si>
    <t>2.2</t>
  </si>
  <si>
    <t>2.3</t>
  </si>
  <si>
    <t>1.1</t>
  </si>
  <si>
    <t>1.2</t>
  </si>
  <si>
    <t>Seguros</t>
  </si>
  <si>
    <t>Riscos</t>
  </si>
  <si>
    <t>Garantias</t>
  </si>
  <si>
    <t>Custo Total dos Serviços (R$)</t>
  </si>
  <si>
    <t>LIGAÇÕES DOMICILIARES</t>
  </si>
  <si>
    <t>1.3</t>
  </si>
  <si>
    <t>1.4</t>
  </si>
  <si>
    <t>1.5</t>
  </si>
  <si>
    <t>ok</t>
  </si>
  <si>
    <t>73888/1</t>
  </si>
  <si>
    <t>74253/1</t>
  </si>
  <si>
    <t>INSTALAÇÕES PRELIMINARES E CANTEIRO DE OBRAS</t>
  </si>
  <si>
    <t>3.1.1</t>
  </si>
  <si>
    <t>2.1.1</t>
  </si>
  <si>
    <t>2.2.1</t>
  </si>
  <si>
    <t>Depreciação mensal do equipamento</t>
  </si>
  <si>
    <t xml:space="preserve">Preço de Aquisição </t>
  </si>
  <si>
    <t>Tempo previsto de vida útil (meses)</t>
  </si>
  <si>
    <t>Previsão de recup. Na venda do bem usado</t>
  </si>
  <si>
    <t>Custo mensal [A1-(A3xA1)]/A2</t>
  </si>
  <si>
    <t>Juros pelo Capital empregado</t>
  </si>
  <si>
    <t xml:space="preserve">Taxa mensal de Juros </t>
  </si>
  <si>
    <t>Juros s/depreciação/aluguel (B1xA4)</t>
  </si>
  <si>
    <t xml:space="preserve">Conservação e manutenção </t>
  </si>
  <si>
    <t>Taxa de gastos s/a deprec. Inc. seguros (%)</t>
  </si>
  <si>
    <t>Incidência mensal (C1xA4)</t>
  </si>
  <si>
    <t>Combustível</t>
  </si>
  <si>
    <t>Média mensal de quilômetro por veículo</t>
  </si>
  <si>
    <t>Preço do litro de combustível</t>
  </si>
  <si>
    <t>D3</t>
  </si>
  <si>
    <t>Quilômetros rodados com um litro combustivel</t>
  </si>
  <si>
    <t>D4</t>
  </si>
  <si>
    <t>Combustivel    (D1/D3)*D2</t>
  </si>
  <si>
    <t>E</t>
  </si>
  <si>
    <t>Lubrificantes</t>
  </si>
  <si>
    <t>E1</t>
  </si>
  <si>
    <t xml:space="preserve">Quilometragem do Contrato </t>
  </si>
  <si>
    <t>E2</t>
  </si>
  <si>
    <t>Franquia por troca de óleo (km)</t>
  </si>
  <si>
    <t>E3</t>
  </si>
  <si>
    <t>Preço do litro de óleo</t>
  </si>
  <si>
    <t>E4</t>
  </si>
  <si>
    <t>Quantidade de litros de óleo por troca</t>
  </si>
  <si>
    <t>E5</t>
  </si>
  <si>
    <t>Quantidade de dias do Contrato</t>
  </si>
  <si>
    <t>E6</t>
  </si>
  <si>
    <t>Lubrificantes  E = (E1*E3*E4*30)/E2*E5</t>
  </si>
  <si>
    <t>F</t>
  </si>
  <si>
    <t>Pneus</t>
  </si>
  <si>
    <t>F1</t>
  </si>
  <si>
    <t>F2</t>
  </si>
  <si>
    <t>Vida do Pneu em quilômetros</t>
  </si>
  <si>
    <t>F3</t>
  </si>
  <si>
    <t>Quantidade de pneus</t>
  </si>
  <si>
    <t>F4</t>
  </si>
  <si>
    <t>Preço do Pneu</t>
  </si>
  <si>
    <t>F5</t>
  </si>
  <si>
    <t xml:space="preserve">Quantidade de dias do contrato </t>
  </si>
  <si>
    <t>F6</t>
  </si>
  <si>
    <t>Pneus = (F1*F3*F4*30)/(F2*F5)</t>
  </si>
  <si>
    <t>G</t>
  </si>
  <si>
    <t>Motorista</t>
  </si>
  <si>
    <t>G1</t>
  </si>
  <si>
    <t>Salário com encargos sociais</t>
  </si>
  <si>
    <t>H</t>
  </si>
  <si>
    <t>Custo Mensal</t>
  </si>
  <si>
    <t>Sem Motorista</t>
  </si>
  <si>
    <t>Com Motorista</t>
  </si>
  <si>
    <t>I</t>
  </si>
  <si>
    <t>Custo Direto p/ km Rodado</t>
  </si>
  <si>
    <t>J</t>
  </si>
  <si>
    <t xml:space="preserve">Preço cobrado pela empresa </t>
  </si>
  <si>
    <t>J1</t>
  </si>
  <si>
    <t>J2</t>
  </si>
  <si>
    <t>CALCULO DE  VOLUME DO RESERVATÓRIO</t>
  </si>
  <si>
    <t>OK</t>
  </si>
  <si>
    <t>74209/001</t>
  </si>
  <si>
    <t>07084/ORSE</t>
  </si>
  <si>
    <t>ORSE</t>
  </si>
  <si>
    <t>COTAÇÃO</t>
  </si>
  <si>
    <t>Rug.</t>
  </si>
  <si>
    <t>Ministério da Integração Nacional – MI
Companhia de Desenvolvimento dos Vales do São Francisco e do Parnaíba
3ª Superintendência Regional</t>
  </si>
  <si>
    <t>DIÂMETRO NOMINAL - REDE DE DISTRIBUIÇÃO</t>
  </si>
  <si>
    <t xml:space="preserve"> REFER.</t>
  </si>
  <si>
    <t>COMPOSIÇÃO DE REFERÊNCIA:</t>
  </si>
  <si>
    <t>M²</t>
  </si>
  <si>
    <t>M</t>
  </si>
  <si>
    <t>KG</t>
  </si>
  <si>
    <t>SERVENTE</t>
  </si>
  <si>
    <t>M³</t>
  </si>
  <si>
    <t>PECA DE MADEIRA 1A QUALIDADE 2,5 X 10CM (1 X 4") NAO APARELHADA</t>
  </si>
  <si>
    <t>FORNECIMENTO, MONTAGEM, MANUTENÇÃO  E INSTALAÇÃO DE PLACA DE IDENTIFICAÇÃO DE OBRA COM 2MX3M, CONFORME MODELO APRESENTADO PELA FISCALIZAÇÃO.</t>
  </si>
  <si>
    <t>SERVIÇO:</t>
  </si>
  <si>
    <t>CONCRETO NAO ESTRUTURAL, CONSUMO 150 KG/M3 (1:3,5:7), PREPARO COM BETONEIRA</t>
  </si>
  <si>
    <t>MOBILIZAÇÃO DE EQUIPAMENTOS, MATERIAIS E PESSOAL.</t>
  </si>
  <si>
    <t>KM</t>
  </si>
  <si>
    <t>CAMINHÃO BASCULANTE 5,0M3/11T DIESEL TIPO MERCEDES 142HP LK-1214 OU EQUIV (INCL MANUT/OPERACAO)</t>
  </si>
  <si>
    <t>VEICULO POPULAR COM AR-CONDICIONADO - 1.0 FLEX.</t>
  </si>
  <si>
    <t>DESMOBILIZAÇÃO DE EQUIPAMENTOS, MATERIAIS E PESSOAL.</t>
  </si>
  <si>
    <t>PECA DE MADEIRA 2A QUALIDADE 8 X 8CM NAO APARELHADA</t>
  </si>
  <si>
    <t>DOBRADICA FERRO CROMADO 3 X 2 1/2" SEM ANEIS</t>
  </si>
  <si>
    <t>CADEADO LATAO CROMADO H = 25MM</t>
  </si>
  <si>
    <t>TANQUE SIMPLES PRE-MOLDADO DE CONCRETO</t>
  </si>
  <si>
    <t>TORNEIRA PLASTICO 1/2" P/ PIA</t>
  </si>
  <si>
    <t>CAIXA D'AGUA FIBRA DE VIDRO 500L</t>
  </si>
  <si>
    <t>CHUVEIRO PLASTICO BRANCO SIMPLES</t>
  </si>
  <si>
    <t>BRACO OU HASTE C/CANOPLA PLASTICA 1/2" P/ CHUVEIRO SIMPLES</t>
  </si>
  <si>
    <t>TOMADA EMBUTIR 2P UNIVERSAL REDONDA 10A/250V C/ PLACA, TIPO SILENTOQUE PIAL OU EQUIV</t>
  </si>
  <si>
    <t>INTERRUPTOR SIMPLES EMBUTIR 10A/250V C/PLACA, TIPO SILENTOQUE PIAL OU EQUIV</t>
  </si>
  <si>
    <t>SOQUETE DE PVC PARA LÂMPADA INCANDESCENTE (BASE E-27) COM RABICHO, DE 10 A/250 V</t>
  </si>
  <si>
    <t>LAMPADA INCANDESCENTE 60W</t>
  </si>
  <si>
    <t>TINTA LATEX PVA</t>
  </si>
  <si>
    <t>REGISTRO PRESSAO 1/2" BRUTO REF 1400</t>
  </si>
  <si>
    <t>ENCANADOR OU BOMBEIRO HIDRAULICO</t>
  </si>
  <si>
    <t>INSTALAÇÃO DE PONTO DE APOIO À OBRA, CONFORME LAYOUT APRESENTADO PELA CONTRATADA E ACEITO PELA FISCALIZAÇÃO.</t>
  </si>
  <si>
    <t>MÊS</t>
  </si>
  <si>
    <t>ADMINISTRAÇÃO LOCAL E MANUTENÇÃO DO CANTEIRO DE OBRAS.</t>
  </si>
  <si>
    <t>FEITOR OU ENCARREGADO GERAL</t>
  </si>
  <si>
    <t>ENGENHEIRO OU ARQUITETO AUXILIAR /JUNIOR - DE OBRA</t>
  </si>
  <si>
    <t>COMPACTADOR SOLOS TIPO SAPO C/ MOTOR DIESEL/GASOLINA *3HP* NÃO REVERSÍVEL PADRAO DYNAPAL LC -7 I R OU EQUIV</t>
  </si>
  <si>
    <t>CAMINHAO PIPA 10.000L C/ BARRA ESPARGIDORA (INCL MANUT/OPERACAO)</t>
  </si>
  <si>
    <t>LOCAÇÃO DE REDE E ELABORAÇÃO DE NOTA SERVIÇO, INCLUSIVE LEVANTAMENTO DE NORMAIS.</t>
  </si>
  <si>
    <t>ESCAVAÇÃO MANUAL EM SOLO DE 1ª E 2ª CATEGORIA COM  PROFUNDIDADE ATÉ 1,50 M.</t>
  </si>
  <si>
    <t>Vol. De escav em mat de 1ª categoria(m³)=</t>
  </si>
  <si>
    <t>Vol. De escav em mat de 2ª categoria(m³)=</t>
  </si>
  <si>
    <t>ESCAVACAO MECANICA VALAS EM QUALQUER TIPO DE SOLO EXCETO ROCHA, COM PROFUNDIDADE ATÉ 1,50 M.</t>
  </si>
  <si>
    <t>ESCAVAÇÃO DE MATERIAL DE 3ª CATEGORIA A FRIO.</t>
  </si>
  <si>
    <t>UNID</t>
  </si>
  <si>
    <t>LASTRO DE AREIA MEDIA, INCLUINDO FORNECIMENTO DE MATERIAL EM OBRA E DISTRIBUIÇÃO DE MATERIAL EM VALA MEDIANTE A UTILIZAÇÃO DE CARRO DE MÃO.</t>
  </si>
  <si>
    <t>BLOCO DE ANCORAGEM EM CONCRETO SIMPLES COM FCK = 15MPA.</t>
  </si>
  <si>
    <t>ATERRO DE VALAS E CAVAS COM AVALIAÇÃO VISUAL DA COMPACTAÇÃO REALIZADA MEDIANTE UTILIZAÇÃO DE COMPACTADOR MANUAL TIPO SAPO, INCLUINDO CARRO PIPA E ÁGUA.</t>
  </si>
  <si>
    <t>ASSENTAMENTO DE TUBOS DE PVC DN 50 MM.</t>
  </si>
  <si>
    <t>CADASTRO DE REDE DE DISTRIBUÍÇÃO/ADUTORA, INCLUSIVE TOPOGRAFO E DESENHISTA.</t>
  </si>
  <si>
    <t>BOMBA PRESSURIZADORA ELETRICA ATE 2HP, 1 1/2"</t>
  </si>
  <si>
    <t>RAMAL PREDIAL EM TUBO PEAD 20MM - FORNECIMENTO, INSTALAÇÃO, ESCAVAÇÃO E REATERRO.</t>
  </si>
  <si>
    <t>ATERRO DE VALAS E CAVAS DE FUNDAÇÃO, COM AVALIAÇÃO VISUAL DA COMPACTAÇÃO COM MATERIAL DE EMPRESTIMO.</t>
  </si>
  <si>
    <t>TUBO PVC PBA 12 JE NBR 5647 P/REDE AGUA DN 50/DE 60 MM</t>
  </si>
  <si>
    <t>CAIXA PARA HIDROMETRO CONCRETO PRE MOLDADO</t>
  </si>
  <si>
    <t>FITA VEDA ROSCA EM ROLOS 18MMX10M</t>
  </si>
  <si>
    <t>TE PVC C/ROSCA 90G P/ AGUA FRIA PREDIAL 1/2"</t>
  </si>
  <si>
    <t>PLUG PVC C/ROSCA P/ AGUA FRIA PREDIAL 1/2"</t>
  </si>
  <si>
    <t>ADAPTADOR PVC P/ POLIETILENO PE-5 20 MM X 1/2"</t>
  </si>
  <si>
    <t>JOELHO PVC C/ROSCA 90G P/AGUA FRIA PREDIAL 1/2"</t>
  </si>
  <si>
    <t>COLAR TOMADA PVC C/ TRAVAS SAIDA ROSCA DE 50 MM X 1/2" P/ LIGACAO PREDIAL</t>
  </si>
  <si>
    <t>KIT CAVALETE DE PVC COM REGISTRO DE ESFERA DE 1/2"</t>
  </si>
  <si>
    <t>TUBO PVC ROSCAVEL EB-892 P/ AGUA FRIA PREDIAL 1/2"</t>
  </si>
  <si>
    <t>ANEL BORRACHA P/ TUBO/CONEXAO PVC PBA P/ REDE AGUA DN 50MM</t>
  </si>
  <si>
    <t>TE PVC PBA NBR 10351 P/ REDE AGUA 90G BBB DN 50/ DE 60MM</t>
  </si>
  <si>
    <t>CAP PVC PBA NBR 10351 P/ REDE AGUA JE DN 50/DE 60 MM</t>
  </si>
  <si>
    <t>VENTOSA SIMPLES PVC DN 25MM</t>
  </si>
  <si>
    <t>4.1</t>
  </si>
  <si>
    <t>4.1.1</t>
  </si>
  <si>
    <t>4.2</t>
  </si>
  <si>
    <t>4.3</t>
  </si>
  <si>
    <t>4.3.1</t>
  </si>
  <si>
    <t>4.3.2</t>
  </si>
  <si>
    <t>TOTAL GERAL DOS SERVIÇOS:</t>
  </si>
  <si>
    <t>REGISTRO GAVETA 2" BRUTO LATAO REF 1502-B</t>
  </si>
  <si>
    <t>ADAPTADOR PVC PBA PONTA/ROSCA JE DN 50 / DE 60MM</t>
  </si>
  <si>
    <t>Altura do NA mínimo do Reservatório=</t>
  </si>
  <si>
    <t>DE=</t>
  </si>
  <si>
    <t>14-15</t>
  </si>
  <si>
    <t>19-20</t>
  </si>
  <si>
    <t>21-22</t>
  </si>
  <si>
    <t>22-23</t>
  </si>
  <si>
    <t xml:space="preserve">Hm = Hg + Hf + 10,00 </t>
  </si>
  <si>
    <t>MEMÓRIA DE CÁLCULO DOS QUANTITATIVOS DE SERVIÇOS NECESSÁRIOS À ESCAVAÇÃO DE VALAS DA LINHA DE RECALQUE E REDE DE DISTRIBUIÇÃO</t>
  </si>
  <si>
    <t>SERVIÇOS PRELIMINARES</t>
  </si>
  <si>
    <t>MOVIMENTO DE TERRA</t>
  </si>
  <si>
    <t>74142/ 1</t>
  </si>
  <si>
    <t>RELAÇÃO DE SERVIÇOS E MATERIAIS NECESSÁRIOS PARA EXECUÇÃO DA LINHA DE RECALQUE</t>
  </si>
  <si>
    <t>ESCAVAÇÃO EM VALAS</t>
  </si>
  <si>
    <t>73822/ 1</t>
  </si>
  <si>
    <t>ASSENTAMENTO DE TUBOS E CONEXÕES DE PVC JE DN 50</t>
  </si>
  <si>
    <t>FORNECIMENTO DE TUBULAÇÕES, CONEXÕES E PEÇAS ESPECIAIS</t>
  </si>
  <si>
    <t>RELAÇÃO DE MATERIAIS PARA A LINHA DE RECALQUE</t>
  </si>
  <si>
    <t>FORNECIMENTO DE CONEXÕES E PEÇAS PARA VENTOSAS E DESCARGAS</t>
  </si>
  <si>
    <t>RELAÇÃO DE SERVIÇOS E MATERIAIS NECESSÁRIOS PARA EXECUÇÃO DO RESERVATÓRIO ELEVADO</t>
  </si>
  <si>
    <t>OBRAS CIVIS</t>
  </si>
  <si>
    <t>RELAÇÃO DE MATERIAIS PARA O RESERVATÓRIO</t>
  </si>
  <si>
    <t>RELAÇÃO DE SERVIÇOS E MATERIAIS NECESSÁRIOS PARA EXECUÇÃO DA REDE DE DISTRIBUIÇÃO</t>
  </si>
  <si>
    <t>FORNECIMENTO DE TUBULAÇÕES E ACESSÓRIOS</t>
  </si>
  <si>
    <t>2.4</t>
  </si>
  <si>
    <t>LIMPEZA DE TERRENO - ROÇADA DENSA (COM PEQUENOS ARBUSTOS)</t>
  </si>
  <si>
    <t>ITEM</t>
  </si>
  <si>
    <t>COD</t>
  </si>
  <si>
    <t>DISCRIMINAÇÃO DOS SERVIÇOS</t>
  </si>
  <si>
    <t>PREÇO (R$)</t>
  </si>
  <si>
    <t>UNITÁRIO</t>
  </si>
  <si>
    <t>TOTAL</t>
  </si>
  <si>
    <t>CERCA COM MOURÕES DE CONCRETO, RETO, ESPAÇAMENTO DE 3M, CRAVADOS0,5M, COM 4 FIOS DE ARAME FARPADO Nº14 CLASSE 250 - FORNEC E COLOC.</t>
  </si>
  <si>
    <t>FORNECIMENTO DE ACESSÓRIOS PARA TUBULAÇÕES</t>
  </si>
  <si>
    <t>4.2.1</t>
  </si>
  <si>
    <t>4.4</t>
  </si>
  <si>
    <t>4.4.1</t>
  </si>
  <si>
    <t>DIÂMETRO NOMINAL - TRECHO DE RECALQUE  DO MANANCIAL AO RESERVATÓRIO</t>
  </si>
  <si>
    <t>TESTE DE ESTANQUEIDADE PARA ADUTORA E REDE DE DISTRIBUIÇÃO DE ÁGUA, INCLUSIVE CAMINHÃO PIPA, BOMBA PRESSURIZADA E ÁGUA.</t>
  </si>
  <si>
    <t>PORTAO EM TUBO DE ACO GALVANIZADO, PAINEL UNICO, 1MX1,6M, INCLUSO CADEADO</t>
  </si>
  <si>
    <t>74166/ 2</t>
  </si>
  <si>
    <t>CAIXA DE INSPECAO EM ANEL DE CONCRETO PRE MOLDADO, COM 95  CM DE A LTURA TOTAL. ANEIS COM ESP=50MM, DIAM.=600 MM. INCLUSIVE TAMPA - FORNECIMENTO E INSTALACAO</t>
  </si>
  <si>
    <t>FLANGE PVC C/ ROSCA SEXTAVADO S/FUROS REF. 2"</t>
  </si>
  <si>
    <t>4.5</t>
  </si>
  <si>
    <t>4.5.1</t>
  </si>
  <si>
    <t>REDUCAO PVC PBA JE PB P/REDE AGUA DN 75 X 50/DE 85 X 60MM</t>
  </si>
  <si>
    <t>ESTRUTURA PARA A FUNDAÇÃO DO RESERVATÓRIO</t>
  </si>
  <si>
    <t>MOBILIZAÇÃO E DESMOBILIZAÇÃO DE EQUIPAMENTOS E PESSOAL PARA SONDAGENS A PERCUSSÃO COM SPT ATÉ 100 KM</t>
  </si>
  <si>
    <t>SONDAGEM A PERCUSSAO COM DIAMETRO ATE 3", COM ENSAIO DE PENETRACAO (SPT) A CADA METRO, INCLUINDO RELATORIO CONTENDO CLASSIFICACAO TATIL VISUAL DAS AMOSTRAS, PERFIS INDIVIDUAIS DOS FUROS, PLANTA DE LOCALIZACAO E RESPECTIVAS COTAS DAS SONDAGENS. EXCLUINDO MOBILIZACAO E DESMOBILIZACAO.</t>
  </si>
  <si>
    <t>PARÂMETROS PARA REAJUSTAMENTO DE PREÇOS</t>
  </si>
  <si>
    <t>N1</t>
  </si>
  <si>
    <t>N2</t>
  </si>
  <si>
    <t>N3</t>
  </si>
  <si>
    <t>N4</t>
  </si>
  <si>
    <t>N5</t>
  </si>
  <si>
    <t>N6</t>
  </si>
  <si>
    <t>N7</t>
  </si>
  <si>
    <t>ADMINISTRAÇÃO CENTRAL.</t>
  </si>
  <si>
    <t>IMPOSTOS E TAXAS.</t>
  </si>
  <si>
    <t>TAXA DE RISCO.</t>
  </si>
  <si>
    <t>DESPESAS FINANCEIRAS.</t>
  </si>
  <si>
    <t>LUCRO.</t>
  </si>
  <si>
    <t>Despesas financeiras</t>
  </si>
  <si>
    <t>DETALHAMENTO DO BDI - MATERIAIS</t>
  </si>
  <si>
    <t>ADMINISTRAÇÃO CENTRAL ( a )</t>
  </si>
  <si>
    <t>IMPOSTOS E TAXAS ( i )</t>
  </si>
  <si>
    <t>COFINS</t>
  </si>
  <si>
    <t>TAXA DE RISCO ( r )</t>
  </si>
  <si>
    <t>DESPESAS FINANCEIRAS ( f )</t>
  </si>
  <si>
    <t>LUCRO ( l )</t>
  </si>
  <si>
    <t>BDI CALCULADO</t>
  </si>
  <si>
    <t>Quantitativo da tubulação da Rede de Distribuição (m)</t>
  </si>
  <si>
    <t>Quantitativo da tubulação da Adutora de Recalque (m)</t>
  </si>
  <si>
    <t>REATERRO DE VALAS E CAVAS DE FUNDAÇÃO, COM AVALIAÇÃO VISUAL DA COMPACTAÇÃO COM MATERIAL DE EMPRESTIMO.</t>
  </si>
  <si>
    <t>RE-01</t>
  </si>
  <si>
    <t>09-11</t>
  </si>
  <si>
    <t>04-05</t>
  </si>
  <si>
    <t>06-07</t>
  </si>
  <si>
    <t>05-09</t>
  </si>
  <si>
    <t>05-12</t>
  </si>
  <si>
    <t>15-16</t>
  </si>
  <si>
    <t>15-17</t>
  </si>
  <si>
    <t>14-18</t>
  </si>
  <si>
    <t>18-19</t>
  </si>
  <si>
    <t>19-21</t>
  </si>
  <si>
    <t>23-24</t>
  </si>
  <si>
    <t>18-25</t>
  </si>
  <si>
    <t>25-26</t>
  </si>
  <si>
    <t>25-27</t>
  </si>
  <si>
    <t>27-28</t>
  </si>
  <si>
    <t>28-29</t>
  </si>
  <si>
    <t>30-31</t>
  </si>
  <si>
    <t>28-30</t>
  </si>
  <si>
    <t>12-14</t>
  </si>
  <si>
    <t>06-08</t>
  </si>
  <si>
    <t>01-04</t>
  </si>
  <si>
    <t xml:space="preserve">                                                   DIMENSIONAMENTO DA REDE DE DISTRIBUIÇÃO - LOCALIDADE MURICY AMADOR/PETROLINA</t>
  </si>
  <si>
    <t>REGISTRO GAVETA 4" BRUTO LATAO REF 1502-B</t>
  </si>
  <si>
    <t>EXECUÇÃO DAS OBRAS E SERVIÇOS RELATIVOS À CONSTRUÇÃO DO SISTEMA SIMPLIFICADO DE ABASTECIMENTO D'ÁGUA DAS LOCALIDADES MURICY AMADOR, SÍTIO NOVO, SÍTIO RIACHO, SÍTIO PAI E FILHO E SÍTIO FAVELA, PERTENCENTES À ZONA RURAL DO MUNICÍPIO PERNAMBUCANO DE PETROLINA, EM ÁREA DE ATUAÇÃO DA CODEVASF/3ªSR.</t>
  </si>
  <si>
    <t>LOCALIDADE MURICY AMADOR/PETROLINA</t>
  </si>
  <si>
    <t xml:space="preserve">PREGO DE ACO 18 X 30 </t>
  </si>
  <si>
    <t>RETROESCAVADEIRA SOBRE RODAS, TRAÇÃO 4X2, POTÊNCIA MÍN. 70HP, CAÇAMBA CAP. MÍN. 0,73M3, PESO OPERACIONAL MÍN. 6500KG, PROFUNDIDADE DE ESCAVAÇÃO SUPERIOR A 4,00M (INCLUSIVE
MANUTENCAO/OPERACAO E COMBUSTÍVEL).</t>
  </si>
  <si>
    <t>LIGAÇÃO DOMICILIAR</t>
  </si>
  <si>
    <t>CARGA MECANIZADA E REMOCAO DE ENTULHO COM TRANSPORTE ATE 1KM.</t>
  </si>
  <si>
    <t>CAMINHAO CAVALO MECANICO C/ CARRETA PRANCHA CAP 20T (INCL MANUT/OPERACAO)</t>
  </si>
  <si>
    <t>RETROESCAVADEIRA C/ CARREGADEIRA SOBRE PNEUS 76HP TRANSMISSAO MECANICA (INCL MANUTENCAO/OPERACAO E COMBUSTÍVEL ) IMPROD</t>
  </si>
  <si>
    <t>E011</t>
  </si>
  <si>
    <t>SICRO</t>
  </si>
  <si>
    <t>SOMA ENCARREGADO + ENGENHEIRO</t>
  </si>
  <si>
    <t>TEMPO NA OBRA</t>
  </si>
  <si>
    <t>É TÃO POUCO QUE NÃO FAZ FALTA SE TIRAR</t>
  </si>
  <si>
    <t>79517/001</t>
  </si>
  <si>
    <t>3.2.1</t>
  </si>
  <si>
    <t>3.2.2</t>
  </si>
  <si>
    <t>3.3.1</t>
  </si>
  <si>
    <t>3.3.2</t>
  </si>
  <si>
    <t>3.4</t>
  </si>
  <si>
    <t>3.4.1</t>
  </si>
  <si>
    <t>3.4.2</t>
  </si>
  <si>
    <t>3.4.3</t>
  </si>
  <si>
    <t>3.5</t>
  </si>
  <si>
    <t>4.5.2</t>
  </si>
  <si>
    <t>ASSENTAMENTO DE TUBOS DE PVC DN 75 MM.</t>
  </si>
  <si>
    <t>73888/2</t>
  </si>
  <si>
    <t>CURVA PVC PBA NBR 10351 P/ REDE AGUA JE PB 90G DN 75 /DE 85MM</t>
  </si>
  <si>
    <t>TE REDUCAO PVC PBA NBR 10351 P/ REDE AGUA BBB JE DN 75 X 50 /DE 85 X 60MM</t>
  </si>
  <si>
    <t>ANEL BORRACHA P/ TUBO/CONEXAO PVC PBA P/ REDE AGUA DN 75MM</t>
  </si>
  <si>
    <t>COLAR TOMADA PVC C/ TRAVAS SAIDA ROSCA DE 75 MM X 1/2" P/ LIGACAO PREDIAL</t>
  </si>
  <si>
    <t>PLANILHA ORÇAMENTÁRIA</t>
  </si>
  <si>
    <t>ASSENTAMENTO DE TUBOS E CONEXÕES DE PVC JE DN 100</t>
  </si>
  <si>
    <t>73888/003</t>
  </si>
  <si>
    <t>ASSENTAMENTO DE TUBOS DE PVC DN 100 MM.</t>
  </si>
  <si>
    <t>TUBO PVC PBA 12 JE NBR 5647 P/REDE AGUA DN 100/DE 110 MM</t>
  </si>
  <si>
    <t>CURVA PVC PBA NBR 10351 P/ REDE AGUA JE PB 90G DN 100 /DE 110MM</t>
  </si>
  <si>
    <t>ANEL BORRACHA P/ TUBO/CONEXAO PVC PBA P/ REDE AGUA DN 100MM</t>
  </si>
  <si>
    <t>ADAPTADOR PVC PBA PONTA/ROSCA JE DN 100 / DE 110MM</t>
  </si>
  <si>
    <t>FLANGE PVC C/ ROSCA SEXTAVADO S/FUROS REF. 4"</t>
  </si>
  <si>
    <t>2.2.2</t>
  </si>
  <si>
    <t>2.2.3</t>
  </si>
  <si>
    <t>2.2.4</t>
  </si>
  <si>
    <t>4.4.3</t>
  </si>
  <si>
    <t>VALVULA RETENCAO HORIZONTAL BRONZE (PN-25) 4" 400PSI TAMPA C/ PORCA DE UNIAO - EXTREMIDADES C/ ROSCA</t>
  </si>
  <si>
    <t>3.5.1</t>
  </si>
  <si>
    <t>3.5.2</t>
  </si>
  <si>
    <t>CAIXA D'AGUA FIBRA VIDRO 20.000 LITROS</t>
  </si>
  <si>
    <t>DOSADOR DE CLORO AUTOMÁTICO PARA CLORAÇÃO CONTÍNUA</t>
  </si>
  <si>
    <t>I8699/SEINFRA-CE</t>
  </si>
  <si>
    <t>PASTILHA DE CLORO ORGÂNICO - TRICOLO-S-TRIAZINA-TRIONA 99%</t>
  </si>
  <si>
    <t>FORNECIMENTO E INSTALAÇÃO DE ESTRUTURA EM CONCRETO PRÉ-MOLDADO PARA CAIXA D'ÁGUA COM 8,50M DE ALTURA INCLUINDO COLUNA, BASE E LAJE</t>
  </si>
  <si>
    <t>VALOR TOTAL (R$)</t>
  </si>
  <si>
    <t>OBRA: Perfuração e Instalação de Poços Tubulares.</t>
  </si>
  <si>
    <t>un</t>
  </si>
  <si>
    <t>Servente</t>
  </si>
  <si>
    <t xml:space="preserve">BDI          </t>
  </si>
  <si>
    <t>kg</t>
  </si>
  <si>
    <t>mês</t>
  </si>
  <si>
    <t>l</t>
  </si>
  <si>
    <t>Encarregado</t>
  </si>
  <si>
    <t>Operador de perfuratriz</t>
  </si>
  <si>
    <t>Betoneira com capacidade de 400l. Motor Diesel de 7 HP.</t>
  </si>
  <si>
    <t>CAP fêmea de 6".</t>
  </si>
  <si>
    <t>Sabão neutro</t>
  </si>
  <si>
    <t>Outorga de uso de recursos hídricos obtido no CPRH-PE.</t>
  </si>
  <si>
    <t>Pedreiro</t>
  </si>
  <si>
    <t>SERVIÇO: Fornecimento, montagem e instalação de poço tubular com conjunto de motor-bomba submersa e peças, diâmetro da tubulação até 2", profundidade da bomba entre 40m e 56m - Inclusive rede elétrica do padrão à bomba.</t>
  </si>
  <si>
    <t>Tubo de PVC EDUTOR AZUL de 2" roscavel conexões e acessorios.</t>
  </si>
  <si>
    <t>Kg</t>
  </si>
  <si>
    <t xml:space="preserve">OBRA: </t>
  </si>
  <si>
    <t>TOTAL - R$</t>
  </si>
  <si>
    <t xml:space="preserve">BDI               </t>
  </si>
  <si>
    <t>Desmoldante</t>
  </si>
  <si>
    <t>SERVIÇO : Elaboração de projeto e execução de rede elétrica de baixa tensão, extensão media de 200m, com cabo de aluminio de 25mm² (3+1).</t>
  </si>
  <si>
    <t>SERVIÇO: Fornecimento e montagem de quadro de medição no padrão CELPE para 3 ou 4 fios, inclusive haste de aterramento, condutores, conectores, eletroduto, caixa para disjuntor, bucha, arruela e tubo.</t>
  </si>
  <si>
    <t>SERVIÇO : Abrigo de proteção para quadro de comando de bomba.</t>
  </si>
  <si>
    <t>00001143 Caminhão truck para 13 toneladas</t>
  </si>
  <si>
    <t>00000841 Cabo de alumínio de 4 AWG com alma de aço.</t>
  </si>
  <si>
    <t>00003398 Isolador de pino de porcelana.</t>
  </si>
  <si>
    <t>00001094 Armação secundaria, 1 estribo, com haste de diametro de 16mm por 150 mm de comprimento.</t>
  </si>
  <si>
    <t>00004336 Parafuso sextavado 5/8 x 10" completo.</t>
  </si>
  <si>
    <t>00000418 Alça pré-formada de distribuição.</t>
  </si>
  <si>
    <t>00000417 Alça pré-formada de linha.</t>
  </si>
  <si>
    <t>00002357 Cadista (encargos mensalista)</t>
  </si>
  <si>
    <t>00002706 Engenheiro elétricista júnior (encargos mensalista)</t>
  </si>
  <si>
    <t>00007592 Topógrafo.</t>
  </si>
  <si>
    <t>00000244Auxiliar de topografia.</t>
  </si>
  <si>
    <t>00002436 Eletricista montador.</t>
  </si>
  <si>
    <t>00006111 Servente.</t>
  </si>
  <si>
    <t>00000247 Auxiliar prático.</t>
  </si>
  <si>
    <t xml:space="preserve">00013845 Caixa para medição de energia completo monofásico, inclusive haste de aterramento, condutores, conectores, eletroduto, caixa para disjuntor, bucha, arruela e tubo, padrão CELPE. </t>
  </si>
  <si>
    <t>73548 Argamassa preparada com cimento e areia na proporção de 1:3.</t>
  </si>
  <si>
    <t>00002436 Eletricista ou Oficial Eletricista</t>
  </si>
  <si>
    <t xml:space="preserve">00006115 Ajudante </t>
  </si>
  <si>
    <t>00004750 Pedreiro</t>
  </si>
  <si>
    <t>00006111 Servente</t>
  </si>
  <si>
    <t>00000643 Betoneira com capacidade de 400l. Motor Diesel de 7 HP.</t>
  </si>
  <si>
    <t>00004509 Sarrafo de madeira mista de 10 x 2,5cm.</t>
  </si>
  <si>
    <t>00006188 Tabua de madeira mista de 30 x 2,5cm</t>
  </si>
  <si>
    <t>00000034 Aço CA-50 A ou B</t>
  </si>
  <si>
    <t>00000337 Arame recozido</t>
  </si>
  <si>
    <t>00000370 Areia média</t>
  </si>
  <si>
    <t>00001379 Cimento</t>
  </si>
  <si>
    <t>00004721 Brita 1</t>
  </si>
  <si>
    <t>00011161 Cal Hidratada</t>
  </si>
  <si>
    <t>00007271 Bloco de tijolo cerâmico furado</t>
  </si>
  <si>
    <t>00004730 Pedra rachão</t>
  </si>
  <si>
    <t>00007345 Tinta Látex</t>
  </si>
  <si>
    <t>00003743 Laje Pré-moldada para cobertura, inclusive montagem e concreto armado, espessura de 20,0 cm (capeamento de 4cm).</t>
  </si>
  <si>
    <t>00005038 Poste de concreto Duplo T, Tipo D, 200kg, h=9,0m.</t>
  </si>
  <si>
    <t>00002436 Eletricista</t>
  </si>
  <si>
    <t>00002696 Encanador</t>
  </si>
  <si>
    <t xml:space="preserve">
</t>
  </si>
  <si>
    <t>COMPONENTE GERAL</t>
  </si>
  <si>
    <t>DESCRIÇÃO</t>
  </si>
  <si>
    <t>VR.UNIT.</t>
  </si>
  <si>
    <t>FORNECEDOR</t>
  </si>
  <si>
    <t>Geólogo (engenheiro pleno)</t>
  </si>
  <si>
    <t>Motorista - veículo pesado</t>
  </si>
  <si>
    <t>Operador de Compressor</t>
  </si>
  <si>
    <t>Materiais</t>
  </si>
  <si>
    <t>Óleo diesel comum</t>
  </si>
  <si>
    <t>Óleo Lubrificantes para motores e equipamentos</t>
  </si>
  <si>
    <t>Prego 18x30</t>
  </si>
  <si>
    <t>Cimento Portland CPI-32</t>
  </si>
  <si>
    <t>Pedra britada  nº1</t>
  </si>
  <si>
    <t>Pedra britada nº2</t>
  </si>
  <si>
    <t>Areia Grossa</t>
  </si>
  <si>
    <t>0034</t>
  </si>
  <si>
    <t>Aço CA-50  3/8" ( 9,52mm ).</t>
  </si>
  <si>
    <t>Veículo comercial leve Cap. Carga até 700kg, Gasolina</t>
  </si>
  <si>
    <t>Tabua de madeira mista de 30 x 2,5cm.</t>
  </si>
  <si>
    <t>Anel de Borracha para tubo 6"</t>
  </si>
  <si>
    <t>Tubo de 6" de PVC geo-mecânico (STD).</t>
  </si>
  <si>
    <t xml:space="preserve">Perfuratriz Pneumática </t>
  </si>
  <si>
    <t>Perfuração de poço com perfuratriz</t>
  </si>
  <si>
    <t>Compressor de ar rebocavél carga livre efetiva 180pcm</t>
  </si>
  <si>
    <t>05021</t>
  </si>
  <si>
    <t>Análise bacteriológica de água</t>
  </si>
  <si>
    <t>05022</t>
  </si>
  <si>
    <t>Análise físico-química de água</t>
  </si>
  <si>
    <t>CPRH</t>
  </si>
  <si>
    <t>Gasolina Comum</t>
  </si>
  <si>
    <t>Graxa</t>
  </si>
  <si>
    <t>00011678 Registro pvc esfera soldável 2"</t>
  </si>
  <si>
    <t>00001798 Curva galvanizada  2".</t>
  </si>
  <si>
    <t>00000113 Adaptador pvc soldável com bolsa e rosca para registro 2''.</t>
  </si>
  <si>
    <t>00003508 Joelho pvc com rosca  2"</t>
  </si>
  <si>
    <t>00003912 Luva ferro galv. 2"</t>
  </si>
  <si>
    <t>00003146 Fita veda rosca</t>
  </si>
  <si>
    <t>00003879 Luva pvc com para eletroduto</t>
  </si>
  <si>
    <t>00002674 Eletroduto de PVC rigido de 3/4".</t>
  </si>
  <si>
    <t>00013914 Talha manual para 1,5 ton.</t>
  </si>
  <si>
    <t>00001879 Curva de PVC de 90" de 3/4".</t>
  </si>
  <si>
    <t xml:space="preserve">00012033 Curva pvc de 180º </t>
  </si>
  <si>
    <t>00010587 Bomba Submersa para Poço Profundo Elétrica Potencia de 1,5CV</t>
  </si>
  <si>
    <t>00012775 Hidrômetro 7,0 m³</t>
  </si>
  <si>
    <t>00003380 Haste de Aterramento com conector</t>
  </si>
  <si>
    <t>00001021 Cabo cobre isolante 4mm anti-chama.</t>
  </si>
  <si>
    <t>INSTALAÇÃO DE POÇO INCLUSIVE REDE ELÉTRICA</t>
  </si>
  <si>
    <t>FORNECIMENTO, MONTAGEM E INSTALAÇÃO DE POÇO PROFUNDO TUBULAR COM DIÂMETRO DE 6", INCLUINDO CONJUNTO MOTOR-BOMBA SUBMERSA E PEÇAS, DIÂMETRO DA TUBULAÇÃO DE RECALQUE DE ATÉ 2", PROFUNDIDADE DA BOMBA ENTRE 40M E 56M, INCLUSIVE REDE ELÉTRICA DO QUADRO DE COMANDO À BOMBA.</t>
  </si>
  <si>
    <t>FORNECIMENTO E MONTAGEM DE QUADRO DE MEDIÇÃO NO PADRÃO CELPE PARA 3 OU 4 FIOS, INCLUSIVE HASTE DE ATERRAMENTO, CONDUTORES, CONECTORES, ELETRODUTO, CAIXA PARA DISJUNTOR, BUCHA, ARRUELA E TUBO.</t>
  </si>
  <si>
    <t>ELABORAÇÃO DE PROJETO E EXECUÇÃO DE REDE ELÉTRICA DE BAIXA TENSÃO, EXTENSÃO MEDIA DE 200M, COM CABO DE ALUMINIO DE 25MM² (3+1).</t>
  </si>
  <si>
    <t>ABRIGO DE PROTEÇÃO PARA QUADRO DE COMANDO DE BOMBA.</t>
  </si>
  <si>
    <t>CPRB</t>
  </si>
  <si>
    <t>ALUGUEL DE CASA</t>
  </si>
  <si>
    <t xml:space="preserve">AUXILIAR DE ENCANADOR </t>
  </si>
  <si>
    <t>Quadro de comando com chave de partida direta para motores 1,5CV com fusivel DZ de 20A e acessorios.</t>
  </si>
  <si>
    <t>00003767 Lixa</t>
  </si>
  <si>
    <t>Veiculo Popular 1.0 flex (72 CV)</t>
  </si>
  <si>
    <t>X 6 MESES</t>
  </si>
  <si>
    <t>BDI = ((1+AC+S+R+G)(1+DF)(1+L)/(1-I))-1</t>
  </si>
  <si>
    <t>Acórdão nº 2369/2011</t>
  </si>
  <si>
    <t>00000367 Areia Grossa</t>
  </si>
  <si>
    <t>4.4.2</t>
  </si>
  <si>
    <t>TUBO PVC PBA 12 JE NBR 5647 P/REDE AGUA DN 75/DE 85 MM</t>
  </si>
  <si>
    <t>REGISTRO GAVETA 3" BRUTO LATAO REF 1502-B</t>
  </si>
  <si>
    <t>ADAPTADOR PVC PBA PONTA/ROSCA JE DN 75 / DE 85MM</t>
  </si>
  <si>
    <t>NOVEMBRO / 2014</t>
  </si>
  <si>
    <t>PERFURAÇÃO DE POÇO PROFUNDO</t>
  </si>
  <si>
    <t>PERFURAÇÃO E INSTALAÇÃO DE POÇO PROFUNDO PARA CAPTAÇÃO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</si>
  <si>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</si>
  <si>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</si>
  <si>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</si>
  <si>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</si>
  <si>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</si>
  <si>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</si>
  <si>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</si>
  <si>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</si>
  <si>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</si>
  <si>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</si>
  <si>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</si>
  <si>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</si>
  <si>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</si>
  <si>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</si>
  <si>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3.2.3</t>
  </si>
  <si>
    <t>3.2.4</t>
  </si>
  <si>
    <t>3.2.5</t>
  </si>
  <si>
    <t>3.2.6</t>
  </si>
  <si>
    <t>3.2.7</t>
  </si>
  <si>
    <t>3.2.8</t>
  </si>
  <si>
    <t>3.6</t>
  </si>
  <si>
    <t>3.6.1</t>
  </si>
  <si>
    <t>3.7</t>
  </si>
  <si>
    <t>3.7.1</t>
  </si>
  <si>
    <t>3.7.2</t>
  </si>
  <si>
    <t>3.7.3</t>
  </si>
  <si>
    <t>3.7.4</t>
  </si>
  <si>
    <t>4.1.2</t>
  </si>
  <si>
    <t>4.1.3</t>
  </si>
  <si>
    <t>4.5.3</t>
  </si>
  <si>
    <t>4.5.4</t>
  </si>
  <si>
    <t>4.5.5</t>
  </si>
  <si>
    <t>5.1</t>
  </si>
  <si>
    <t>5.2</t>
  </si>
  <si>
    <t>5.1.1</t>
  </si>
  <si>
    <t>5.2.1</t>
  </si>
  <si>
    <t>5.2.2</t>
  </si>
  <si>
    <t>5.2.3</t>
  </si>
  <si>
    <t>5.2.4</t>
  </si>
  <si>
    <t>5.2.5</t>
  </si>
  <si>
    <t>5.3</t>
  </si>
  <si>
    <t>5.3.1</t>
  </si>
  <si>
    <t>5.3.2</t>
  </si>
  <si>
    <t>5.4</t>
  </si>
  <si>
    <t>5.4.1</t>
  </si>
  <si>
    <t>5.4.2</t>
  </si>
  <si>
    <t>5.4.3</t>
  </si>
  <si>
    <t>5.4.4</t>
  </si>
  <si>
    <t>5.5</t>
  </si>
  <si>
    <t>5.5.1</t>
  </si>
  <si>
    <t>5.5.2</t>
  </si>
  <si>
    <t>5.6</t>
  </si>
  <si>
    <t>5.6.1</t>
  </si>
  <si>
    <t>5.6.2</t>
  </si>
  <si>
    <t>5.6.3</t>
  </si>
  <si>
    <t>5.6.4</t>
  </si>
  <si>
    <t>5.6.5</t>
  </si>
  <si>
    <t>5.6.6</t>
  </si>
  <si>
    <t>5.6.7</t>
  </si>
  <si>
    <t>5.6.8</t>
  </si>
  <si>
    <t>5.6.9</t>
  </si>
  <si>
    <t>5.6.10</t>
  </si>
  <si>
    <t>5.6.11</t>
  </si>
  <si>
    <t>5.6.12</t>
  </si>
  <si>
    <t>5.6.13</t>
  </si>
  <si>
    <t>5.7</t>
  </si>
  <si>
    <t>5.7.1</t>
  </si>
  <si>
    <t>5.7.2</t>
  </si>
  <si>
    <t>5.7.3</t>
  </si>
  <si>
    <t>5.7.4</t>
  </si>
  <si>
    <t>5.7.5</t>
  </si>
  <si>
    <t>5.7.6</t>
  </si>
  <si>
    <t>5.7.7</t>
  </si>
  <si>
    <t>5.7.8</t>
  </si>
  <si>
    <t>5.7.9</t>
  </si>
  <si>
    <t>5.7.10</t>
  </si>
  <si>
    <t>Leis Sociais : 91,03 % - adotado</t>
  </si>
  <si>
    <t>Brita 2</t>
  </si>
  <si>
    <t>Brita 1</t>
  </si>
  <si>
    <t>Areia Lavada</t>
  </si>
  <si>
    <t>Cimento Portland comum CP i - 32.</t>
  </si>
  <si>
    <t>Desmoldante para forma de madeira</t>
  </si>
  <si>
    <t>Prego de aço 18 x 30</t>
  </si>
  <si>
    <t>Forma plana em tábua em madeira de mista.</t>
  </si>
  <si>
    <t>Armação de aço CA 50, fornecimento e instalação.</t>
  </si>
  <si>
    <t>SERVIÇO : Construção de laje de proteção sanitária em concreto armado aparente pronto Fck 15 Mpa, virado em Betoneira, na obra, incluindo aplicação e adensamento, inclusive forma, escoramento e ferragem.</t>
  </si>
  <si>
    <t>SERVIÇO : Outorga de poço junto ao CPRH-PE.</t>
  </si>
  <si>
    <t>Operador de Compressor.</t>
  </si>
  <si>
    <t>Óleo Lubrificante.</t>
  </si>
  <si>
    <t>Óleo diesel</t>
  </si>
  <si>
    <t>Compressor</t>
  </si>
  <si>
    <t>SERVIÇO: Realização de teste de vazão e de bombeamento do poço, incluindo operação e Instalação motor-bomba submersa e grupo gerador eletrico, em conformidade com a NBR 12244.</t>
  </si>
  <si>
    <t>Análise físico-químico e bacteriológica da água.</t>
  </si>
  <si>
    <t>Veículo popular.</t>
  </si>
  <si>
    <t>SERVIÇO: Coleta e análise físico-química e bacteriológica da água (NR 518).</t>
  </si>
  <si>
    <t>SERVIÇO: Realização de desinfecção do poço.</t>
  </si>
  <si>
    <t>Anel de Borracha de 6".</t>
  </si>
  <si>
    <t>Lubrificante.</t>
  </si>
  <si>
    <t>Cap. Foi utilizado o item 26048 do Sinapi pois não encontramos de ferro fundido.</t>
  </si>
  <si>
    <t>SERVIÇO: Fornecimento e instalação de Cap fêmea de ponta de tubo de 6", para impedir contaminação do poco, inclusive anel de vedação e borracha.</t>
  </si>
  <si>
    <t xml:space="preserve">SERVIÇO: Realização de desenvolvimento de poço realizado mediante a utilização de compressor de ar pelo método de fluxo e refluxo, inlcuindo operação e a instalação de compresor de ar, em conformidade com a NBR 12244. </t>
  </si>
  <si>
    <t xml:space="preserve">SERVIÇO: Realização de limpeza do poço e estimulação do aquifero, realizado mediante a utilização de compressor de ar pelo método de fluxo e refluxo, inlcuindo operação e a instalação de compresor de ar, em conformidade com a NBR 12244. </t>
  </si>
  <si>
    <t>pedreiro</t>
  </si>
  <si>
    <t>Areira Lavavel.</t>
  </si>
  <si>
    <t>Cimento Portland CP I - 32.</t>
  </si>
  <si>
    <t>SERVIÇO : Argamassa de cimento e areia 1:3, preparo mecanico.</t>
  </si>
  <si>
    <t>Óleo lubrificante</t>
  </si>
  <si>
    <t>Tubo PVC Geomecânico STD em DN de 6"</t>
  </si>
  <si>
    <t>SERVIÇO : Fornecimento e instalação de Revestimento do Poço em Tubo PVC Geomecânico STD em DN de 6" com luvas e rosca (Para poços de até no máximo 150m de profundidade).</t>
  </si>
  <si>
    <t>Graxa grafitada</t>
  </si>
  <si>
    <t>Óleo Lubrificante</t>
  </si>
  <si>
    <t>Perfuratriz</t>
  </si>
  <si>
    <t>SERVIÇO : Perfuração em 6" (Cristalino).</t>
  </si>
  <si>
    <t>SERVIÇO : Perfuração em 8" (decomposto).</t>
  </si>
  <si>
    <t>Lubrificante</t>
  </si>
  <si>
    <t>SERVIÇO : Montagem, instalação e desinstalação de sonda.</t>
  </si>
  <si>
    <t xml:space="preserve">SUB-TOTAL </t>
  </si>
  <si>
    <t>SERVIÇO : Destocamento e Limpeza do terreno - limpeza e raspagem manual</t>
  </si>
  <si>
    <t>Geólogo</t>
  </si>
  <si>
    <t>Gasolina</t>
  </si>
  <si>
    <t>Pick-up leve, gasolina / 700 Kg</t>
  </si>
  <si>
    <t>Locação de equipamento para perfuração (Método Geofísico).</t>
  </si>
  <si>
    <t>SERVIÇO : Locação e acompanhamento da perfuração, teste de vazão e instalação de poço.</t>
  </si>
  <si>
    <t>5.7.11</t>
  </si>
  <si>
    <t>DATA: SETEMBRO/2014</t>
  </si>
  <si>
    <t>00000404 Fita isolante auto-fusão</t>
  </si>
  <si>
    <t xml:space="preserve">                                   Data Base : SET/2014</t>
  </si>
  <si>
    <t>LOCAÇÃO, ACOMPANHAMENTO DA PERFURAÇÃO E DA INSTALAÇÃO DO POÇO, POR PROFISSIONAL HABILITADO.</t>
  </si>
  <si>
    <t>LIMPEZA DO TERRENO - RASPAGEM E LIMPEZA MANUAL DO TERRENO COM DESTOCAMENTO DE ARVORE ATÉ 15CM.</t>
  </si>
  <si>
    <t>MONTAGEM, INSTALAÇÃO E DESINSTALAÇÃO DE SONDA.</t>
  </si>
  <si>
    <t>PERFURAÇÃO DE POÇO COM DIÂMETRO MÍNIMO DE 8" (SOLO DECOMPOSTO).</t>
  </si>
  <si>
    <t>PERFURAÇÃO DE POÇO COM DIÂMETRO MÍNIMO DE 6" (ROCHA CRISTALINA).</t>
  </si>
  <si>
    <t>FORNECIMENTO E INSTALAÇÃO DE REVESTIMENTO DO POÇO EM TUBO PVC GEOMECÂNICO STD EM DN DE 6" COM LUVAS E ROSCA (PARA POÇOS DE ATÉ NO MÁXIMO 150M DE PROFUNDIDADE).</t>
  </si>
  <si>
    <t>CIMENTAÇÃO ANELAR DO POÇO, COM ARGAMASSA DE CIMENTO E AREIA PRODUZIDA NO TRAÇO 1:3.</t>
  </si>
  <si>
    <t xml:space="preserve">REALIZAÇÃO DE LIMPEZA DO POÇO, REALIZADO MEDIANTE A UTILIZAÇÃO DE COMPRESSOR DE AR PELO MÉTODO DE FLUXO E REFLUXO, INCLUINDO OPERAÇÃO E A INSTALAÇÃO DE COMPRESSOR DE AR, EM CONFORMIDADE COM A NBR 12244. </t>
  </si>
  <si>
    <t xml:space="preserve">REALIZAÇÃO DE DESENVOLVIMENTO E ESTIMULAÇÃO DO AQUÍFERO DE POÇO REALIZADO MEDIANTE A UTILIZAÇÃO DE COMPRESSOR DE AR PELO MÉTODO DE FLUXO E REFLUXO, INCLUINDO OPERAÇÃO E A INSTALAÇÃO DE COMPRESSOR DE AR, EM CONFORMIDADE COM A NBR12244. </t>
  </si>
  <si>
    <t>FORNECIMENTO E INSTALAÇÃO DE CAP FÊMEA DE PONTA DE TUBO DE 6", PARA IMPEDIR CONTAMINAÇÃO DO POÇO, INCLUSIVE ANEL DE VEDAÇÃO E BORRACHA.</t>
  </si>
  <si>
    <t>REALIZAÇÃO DE DESINFECÇÃO DO POÇO, INCLUINDO MATERIAL DE LIMPEZA, INSTALAÇÃO E DESINSTALAÇÃO DE COMPRESSOR, COMBUSTÍVEL E OPERADOR.</t>
  </si>
  <si>
    <t xml:space="preserve">REALIZAÇÃO DE ANÁLISE FÍSICO-QUÍMICA E BACTERIOLÓGICA DA ÁGUA EM CONFORMIDADE COM A NR 518, INCLUINDO A COLETA, TAXAS E TRANSPORTE. </t>
  </si>
  <si>
    <t>REALIZAÇÃO DO TESTE DE VAZÃO DO POÇO, INCLUINDO INSTALAÇÃO E DESINSTALAÇÃO DE COMPRESSOR, COMBUSTÍVEL E OPERADOR.</t>
  </si>
  <si>
    <t>OBTENÇÃO JUNTO AOS ÓRGÃOS COMPETENTE DA OUTORGA DE FUNCIONAMENTO E USO DE RECURSOS HÍDRICOS - CPRH/PE.</t>
  </si>
  <si>
    <t>CONSTRUÇÃO DE LAJE DE PROTEÇÃO SANITÁRIA EM CONCRETO ARMADO PARA QUALQUER TIPO DE ESTRUTURA, INCLUSIVE FORMA E FERRAGENS, NAS DIMENSÕES-1,0M X 1,0M X 0,15M, COM DECLIVIDADE DE 2% EM RELAÇÃO AO CENTRO DO POÇO PARA AS BORDAS EM CONFORMIDADE COM A NBR 12244.</t>
  </si>
  <si>
    <t>IMPLANTAÇÃO DO SISTEMA SIMPLIFICADO DE ABASTECIMENTO DE ÁGUA BRUTA DE MARAVILHA, MUNICÍPIO DE CUSTÓDIA, EM ÁREA DE ATUAÇÃO DA CODEVASF/3ªSR</t>
  </si>
  <si>
    <t>VALOR DA OUTORGA FORNECIDO PELA 3ª GRR/UMA EM 04/11/14</t>
  </si>
  <si>
    <t>POÇO NO SEMI-ÁRIDO É ISENTO DE LICENÇA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</si>
</sst>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_);_(&quot;R$ &quot;* \(#,##0\);_(&quot;R$ &quot;* \-_);_(@_)"/>
    <numFmt numFmtId="165" formatCode="#,##0.000000"/>
    <numFmt numFmtId="166" formatCode="#,##0.00000"/>
    <numFmt numFmtId="167" formatCode="_-* #,##0.00_-;\-* #,##0.00_-;_-* \-??_-;_-@_-"/>
    <numFmt numFmtId="168" formatCode="0.000"/>
    <numFmt numFmtId="169" formatCode="&quot;R$ &quot;#,##0.00"/>
    <numFmt numFmtId="170" formatCode="_(&quot;R$ &quot;* #,##0.00_);_(&quot;R$ &quot;* \(#,##0.00\);_(&quot;R$ &quot;* \-??_);_(@_)"/>
    <numFmt numFmtId="171" formatCode="0.0000"/>
    <numFmt numFmtId="172" formatCode="_(* #,##0.00_);_(* \(#,##0.00\);_(* \-??_);_(@_)"/>
    <numFmt numFmtId="173" formatCode="#,##0.0000"/>
    <numFmt numFmtId="174" formatCode="_-[$R$-416]\ * #,##0.00_-;\-[$R$-416]\ * #,##0.00_-;_-[$R$-416]\ * &quot;-&quot;??_-;_-@_-"/>
    <numFmt numFmtId="175" formatCode="0.000000"/>
    <numFmt numFmtId="176" formatCode="#,##0.000"/>
    <numFmt numFmtId="177" formatCode="mmm\-yy"/>
    <numFmt numFmtId="178" formatCode="#,##0.0000;\-#,##0.0000"/>
    <numFmt numFmtId="179" formatCode="_(* #,##0_);_(* \(#,##0\);_(* \-??_);_(@_)"/>
    <numFmt numFmtId="180" formatCode="#,##0.0000000"/>
    <numFmt numFmtId="181" formatCode="_-* #,##0.000_-;\-* #,##0.000_-;_-* &quot;-&quot;???_-;_-@_-"/>
    <numFmt numFmtId="182" formatCode="_(* #,##0.000_);_(* \(#,##0.000\);_(* &quot;-&quot;??_);_(@_)"/>
    <numFmt numFmtId="183" formatCode="_(* #,##0.000_);_(* \(#,##0.000\);_(* &quot;-&quot;?????_);_(@_)"/>
    <numFmt numFmtId="184" formatCode="_(* #,##0.000000_);_(* \(#,##0.000000\);_(* \-??_);_(@_)"/>
    <numFmt numFmtId="185" formatCode="_(* #,##0.0000_);_(* \(#,##0.0000\);_(* \-???_);_(@_)"/>
    <numFmt numFmtId="186" formatCode="_(* #,##0.000_);_(* \(#,##0.000\);_(* \-??_);_(@_)"/>
    <numFmt numFmtId="187" formatCode="0.0%"/>
    <numFmt numFmtId="188" formatCode="_(* #,##0.00_);_(* \(#,##0.00\);_(* &quot;-&quot;??_);_(@_)"/>
    <numFmt numFmtId="189" formatCode="_(* #,##0.00000_);_(* \(#,##0.00000\);_(* \-?????_);_(@_)"/>
    <numFmt numFmtId="190" formatCode="_(* #,##0.00000_);_(* \(#,##0.00000\);_(* \-??_);_(@_)"/>
    <numFmt numFmtId="191" formatCode="_(* #,##0.0000_);_(* \(#,##0.0000\);_(* \-??_);_(@_)"/>
  </numFmts>
  <fonts count="54">
    <font>
      <sz val="10"/>
      <name val="Arial"/>
      <family val="2"/>
    </font>
    <font>
      <sz val="10"/>
      <name val="Courier New"/>
      <family val="3"/>
    </font>
    <font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vertAlign val="superscript"/>
      <sz val="11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0"/>
      <color indexed="8"/>
      <name val="Arai"/>
    </font>
    <font>
      <sz val="11"/>
      <color rgb="FF000000"/>
      <name val="Calibri"/>
      <family val="2"/>
      <charset val="1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Arial Narrow"/>
      <family val="2"/>
    </font>
    <font>
      <b/>
      <sz val="12"/>
      <color indexed="56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indexed="10"/>
      <name val="Times New Roman"/>
      <family val="1"/>
    </font>
    <font>
      <sz val="12"/>
      <name val="Times New Roman"/>
      <family val="1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0"/>
      <color indexed="52"/>
      <name val="Arial"/>
      <family val="2"/>
    </font>
    <font>
      <sz val="10"/>
      <color indexed="62"/>
      <name val="Arial"/>
      <family val="2"/>
    </font>
    <font>
      <sz val="10"/>
      <color indexed="20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8"/>
      <name val="Times New Roman"/>
      <family val="1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b/>
      <sz val="12"/>
      <color indexed="48"/>
      <name val="Times New Roman"/>
      <family val="1"/>
    </font>
  </fonts>
  <fills count="4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22"/>
        <bgColor indexed="4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 tint="-0.14999847407452621"/>
        <bgColor indexed="26"/>
      </patternFill>
    </fill>
  </fills>
  <borders count="132">
    <border>
      <left/>
      <right/>
      <top/>
      <bottom/>
      <diagonal/>
    </border>
    <border>
      <left/>
      <right/>
      <top/>
      <bottom style="thick">
        <color indexed="4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</borders>
  <cellStyleXfs count="78">
    <xf numFmtId="0" fontId="0" fillId="0" borderId="0"/>
    <xf numFmtId="164" fontId="7" fillId="0" borderId="0" applyFill="0" applyBorder="0" applyAlignment="0" applyProtection="0"/>
    <xf numFmtId="165" fontId="7" fillId="0" borderId="0" applyFill="0" applyBorder="0" applyAlignment="0" applyProtection="0"/>
    <xf numFmtId="172" fontId="7" fillId="0" borderId="0"/>
    <xf numFmtId="0" fontId="7" fillId="0" borderId="0"/>
    <xf numFmtId="3" fontId="7" fillId="0" borderId="0"/>
    <xf numFmtId="0" fontId="1" fillId="0" borderId="0"/>
    <xf numFmtId="170" fontId="7" fillId="0" borderId="0" applyFill="0" applyBorder="0" applyAlignment="0" applyProtection="0"/>
    <xf numFmtId="0" fontId="7" fillId="0" borderId="0"/>
    <xf numFmtId="0" fontId="7" fillId="0" borderId="0"/>
    <xf numFmtId="3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7" fillId="0" borderId="0"/>
    <xf numFmtId="3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168" fontId="7" fillId="0" borderId="0" applyFill="0" applyBorder="0" applyAlignment="0" applyProtection="0"/>
    <xf numFmtId="168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72" fontId="7" fillId="0" borderId="0" applyFill="0" applyBorder="0" applyAlignment="0" applyProtection="0"/>
    <xf numFmtId="0" fontId="24" fillId="0" borderId="0"/>
    <xf numFmtId="3" fontId="3" fillId="0" borderId="1" applyFill="0" applyAlignment="0" applyProtection="0"/>
    <xf numFmtId="172" fontId="7" fillId="0" borderId="0" applyFill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6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24" borderId="0" applyNumberFormat="0" applyBorder="0" applyAlignment="0" applyProtection="0"/>
    <xf numFmtId="0" fontId="14" fillId="27" borderId="0" applyNumberFormat="0" applyBorder="0" applyAlignment="0" applyProtection="0"/>
    <xf numFmtId="0" fontId="14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37" fillId="34" borderId="0" applyNumberFormat="0" applyBorder="0" applyAlignment="0" applyProtection="0"/>
    <xf numFmtId="0" fontId="38" fillId="6" borderId="0" applyNumberFormat="0" applyBorder="0" applyAlignment="0" applyProtection="0"/>
    <xf numFmtId="0" fontId="39" fillId="11" borderId="107" applyNumberFormat="0" applyAlignment="0" applyProtection="0"/>
    <xf numFmtId="0" fontId="40" fillId="10" borderId="108" applyNumberFormat="0" applyAlignment="0" applyProtection="0"/>
    <xf numFmtId="0" fontId="41" fillId="0" borderId="109" applyNumberFormat="0" applyFill="0" applyAlignment="0" applyProtection="0"/>
    <xf numFmtId="0" fontId="37" fillId="35" borderId="0" applyNumberFormat="0" applyBorder="0" applyAlignment="0" applyProtection="0"/>
    <xf numFmtId="0" fontId="37" fillId="36" borderId="0" applyNumberFormat="0" applyBorder="0" applyAlignment="0" applyProtection="0"/>
    <xf numFmtId="0" fontId="37" fillId="37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37" fillId="38" borderId="0" applyNumberFormat="0" applyBorder="0" applyAlignment="0" applyProtection="0"/>
    <xf numFmtId="0" fontId="42" fillId="26" borderId="107" applyNumberFormat="0" applyAlignment="0" applyProtection="0"/>
    <xf numFmtId="0" fontId="43" fillId="23" borderId="0" applyNumberFormat="0" applyBorder="0" applyAlignment="0" applyProtection="0"/>
    <xf numFmtId="170" fontId="7" fillId="0" borderId="0" applyFill="0" applyBorder="0" applyAlignment="0" applyProtection="0"/>
    <xf numFmtId="0" fontId="44" fillId="39" borderId="0" applyNumberFormat="0" applyBorder="0" applyAlignment="0" applyProtection="0"/>
    <xf numFmtId="0" fontId="7" fillId="40" borderId="110" applyNumberFormat="0" applyAlignment="0" applyProtection="0"/>
    <xf numFmtId="0" fontId="45" fillId="11" borderId="111" applyNumberFormat="0" applyAlignment="0" applyProtection="0"/>
    <xf numFmtId="0" fontId="1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112" applyNumberFormat="0" applyFill="0" applyAlignment="0" applyProtection="0"/>
    <xf numFmtId="0" fontId="49" fillId="0" borderId="113" applyNumberFormat="0" applyFill="0" applyAlignment="0" applyProtection="0"/>
    <xf numFmtId="0" fontId="49" fillId="0" borderId="0" applyNumberFormat="0" applyFill="0" applyBorder="0" applyAlignment="0" applyProtection="0"/>
    <xf numFmtId="0" fontId="15" fillId="0" borderId="114" applyNumberFormat="0" applyFill="0" applyAlignment="0" applyProtection="0"/>
    <xf numFmtId="188" fontId="7" fillId="0" borderId="0" applyFont="0" applyFill="0" applyBorder="0" applyAlignment="0" applyProtection="0"/>
    <xf numFmtId="44" fontId="7" fillId="0" borderId="0" applyFill="0" applyBorder="0" applyAlignment="0" applyProtection="0"/>
    <xf numFmtId="44" fontId="7" fillId="0" borderId="0" applyFont="0" applyFill="0" applyBorder="0" applyAlignment="0" applyProtection="0"/>
  </cellStyleXfs>
  <cellXfs count="936">
    <xf numFmtId="0" fontId="0" fillId="0" borderId="0" xfId="0"/>
    <xf numFmtId="4" fontId="7" fillId="0" borderId="0" xfId="9" applyNumberFormat="1" applyFont="1" applyFill="1" applyBorder="1" applyAlignment="1">
      <alignment horizontal="center" vertical="center" wrapText="1"/>
    </xf>
    <xf numFmtId="4" fontId="7" fillId="0" borderId="2" xfId="9" applyNumberFormat="1" applyFont="1" applyFill="1" applyBorder="1" applyAlignment="1">
      <alignment horizontal="center" vertical="center" wrapText="1"/>
    </xf>
    <xf numFmtId="4" fontId="4" fillId="0" borderId="0" xfId="9" applyNumberFormat="1" applyFont="1" applyFill="1" applyBorder="1" applyAlignment="1">
      <alignment horizontal="left" vertical="center" wrapText="1"/>
    </xf>
    <xf numFmtId="4" fontId="4" fillId="0" borderId="2" xfId="9" applyNumberFormat="1" applyFont="1" applyFill="1" applyBorder="1" applyAlignment="1">
      <alignment horizontal="left" vertical="center" wrapText="1"/>
    </xf>
    <xf numFmtId="4" fontId="5" fillId="0" borderId="0" xfId="9" applyNumberFormat="1" applyFont="1" applyFill="1" applyBorder="1" applyAlignment="1">
      <alignment horizontal="center" vertical="center" wrapText="1"/>
    </xf>
    <xf numFmtId="4" fontId="5" fillId="0" borderId="2" xfId="9" applyNumberFormat="1" applyFont="1" applyFill="1" applyBorder="1" applyAlignment="1">
      <alignment horizontal="center" vertical="center" wrapText="1"/>
    </xf>
    <xf numFmtId="4" fontId="5" fillId="2" borderId="0" xfId="7" applyNumberFormat="1" applyFont="1" applyFill="1" applyBorder="1" applyAlignment="1" applyProtection="1">
      <alignment horizontal="center" vertical="center" wrapText="1"/>
    </xf>
    <xf numFmtId="4" fontId="5" fillId="2" borderId="2" xfId="7" applyNumberFormat="1" applyFont="1" applyFill="1" applyBorder="1" applyAlignment="1" applyProtection="1">
      <alignment horizontal="center" vertical="center" wrapText="1"/>
    </xf>
    <xf numFmtId="4" fontId="7" fillId="0" borderId="0" xfId="9" applyNumberFormat="1" applyFont="1" applyFill="1" applyBorder="1" applyAlignment="1">
      <alignment vertical="center" wrapText="1"/>
    </xf>
    <xf numFmtId="1" fontId="7" fillId="0" borderId="0" xfId="9" applyNumberFormat="1" applyFont="1" applyFill="1" applyAlignment="1">
      <alignment horizontal="center" vertical="center" wrapText="1"/>
    </xf>
    <xf numFmtId="4" fontId="7" fillId="0" borderId="0" xfId="9" applyNumberFormat="1" applyFont="1" applyFill="1" applyAlignment="1">
      <alignment vertical="center" wrapText="1"/>
    </xf>
    <xf numFmtId="4" fontId="7" fillId="0" borderId="0" xfId="9" applyNumberFormat="1" applyFont="1" applyFill="1" applyAlignment="1">
      <alignment horizontal="center" vertical="center" wrapText="1"/>
    </xf>
    <xf numFmtId="4" fontId="7" fillId="0" borderId="0" xfId="24" applyNumberFormat="1" applyFont="1" applyFill="1" applyBorder="1" applyAlignment="1" applyProtection="1">
      <alignment horizontal="center" vertical="center" wrapText="1"/>
    </xf>
    <xf numFmtId="4" fontId="7" fillId="0" borderId="0" xfId="24" applyNumberFormat="1" applyFont="1" applyFill="1" applyBorder="1" applyAlignment="1" applyProtection="1">
      <alignment horizontal="right" vertical="center" wrapText="1"/>
    </xf>
    <xf numFmtId="4" fontId="26" fillId="0" borderId="0" xfId="9" applyNumberFormat="1" applyFont="1" applyFill="1" applyAlignment="1">
      <alignment vertical="center" wrapText="1"/>
    </xf>
    <xf numFmtId="176" fontId="7" fillId="0" borderId="0" xfId="9" applyNumberFormat="1" applyFont="1" applyFill="1" applyAlignment="1">
      <alignment vertical="center" wrapText="1"/>
    </xf>
    <xf numFmtId="0" fontId="7" fillId="0" borderId="0" xfId="4" applyAlignment="1">
      <alignment horizontal="center" vertical="center"/>
    </xf>
    <xf numFmtId="0" fontId="7" fillId="0" borderId="0" xfId="4" applyAlignment="1">
      <alignment vertical="center"/>
    </xf>
    <xf numFmtId="0" fontId="0" fillId="0" borderId="3" xfId="4" applyFont="1" applyFill="1" applyBorder="1" applyAlignment="1">
      <alignment vertical="center"/>
    </xf>
    <xf numFmtId="0" fontId="0" fillId="0" borderId="4" xfId="4" applyFont="1" applyBorder="1" applyAlignment="1">
      <alignment vertical="center"/>
    </xf>
    <xf numFmtId="0" fontId="7" fillId="0" borderId="5" xfId="4" applyBorder="1" applyAlignment="1">
      <alignment vertical="center"/>
    </xf>
    <xf numFmtId="0" fontId="4" fillId="0" borderId="5" xfId="4" applyFont="1" applyBorder="1" applyAlignment="1">
      <alignment horizontal="right" vertical="center"/>
    </xf>
    <xf numFmtId="172" fontId="4" fillId="0" borderId="5" xfId="4" applyNumberFormat="1" applyFont="1" applyBorder="1" applyAlignment="1">
      <alignment vertical="center"/>
    </xf>
    <xf numFmtId="0" fontId="0" fillId="0" borderId="6" xfId="4" applyFont="1" applyBorder="1" applyAlignment="1">
      <alignment vertical="center"/>
    </xf>
    <xf numFmtId="0" fontId="7" fillId="0" borderId="7" xfId="4" applyBorder="1" applyAlignment="1">
      <alignment vertical="center"/>
    </xf>
    <xf numFmtId="0" fontId="4" fillId="0" borderId="7" xfId="4" applyFont="1" applyBorder="1" applyAlignment="1">
      <alignment horizontal="right" vertical="center"/>
    </xf>
    <xf numFmtId="172" fontId="4" fillId="0" borderId="7" xfId="4" applyNumberFormat="1" applyFont="1" applyBorder="1" applyAlignment="1">
      <alignment vertical="center"/>
    </xf>
    <xf numFmtId="0" fontId="7" fillId="0" borderId="4" xfId="4" applyBorder="1" applyAlignment="1">
      <alignment vertical="center"/>
    </xf>
    <xf numFmtId="2" fontId="7" fillId="0" borderId="5" xfId="4" applyNumberFormat="1" applyBorder="1" applyAlignment="1">
      <alignment horizontal="right" vertical="center"/>
    </xf>
    <xf numFmtId="172" fontId="10" fillId="0" borderId="5" xfId="3" applyFont="1" applyFill="1" applyBorder="1" applyAlignment="1" applyProtection="1">
      <alignment horizontal="right" vertical="center"/>
    </xf>
    <xf numFmtId="0" fontId="7" fillId="0" borderId="5" xfId="4" applyBorder="1" applyAlignment="1">
      <alignment horizontal="right" vertical="center"/>
    </xf>
    <xf numFmtId="4" fontId="11" fillId="0" borderId="5" xfId="4" applyNumberFormat="1" applyFont="1" applyBorder="1" applyAlignment="1">
      <alignment vertical="center"/>
    </xf>
    <xf numFmtId="4" fontId="13" fillId="0" borderId="5" xfId="4" applyNumberFormat="1" applyFont="1" applyBorder="1" applyAlignment="1">
      <alignment vertical="center"/>
    </xf>
    <xf numFmtId="0" fontId="4" fillId="0" borderId="4" xfId="4" applyFont="1" applyBorder="1" applyAlignment="1">
      <alignment vertical="center"/>
    </xf>
    <xf numFmtId="2" fontId="11" fillId="0" borderId="5" xfId="4" applyNumberFormat="1" applyFont="1" applyBorder="1" applyAlignment="1">
      <alignment vertical="center"/>
    </xf>
    <xf numFmtId="168" fontId="11" fillId="0" borderId="5" xfId="4" applyNumberFormat="1" applyFont="1" applyBorder="1" applyAlignment="1">
      <alignment horizontal="right" vertical="center"/>
    </xf>
    <xf numFmtId="0" fontId="7" fillId="0" borderId="5" xfId="4" applyFill="1" applyBorder="1" applyAlignment="1">
      <alignment horizontal="right" vertical="center"/>
    </xf>
    <xf numFmtId="171" fontId="11" fillId="0" borderId="5" xfId="4" applyNumberFormat="1" applyFont="1" applyFill="1" applyBorder="1" applyAlignment="1">
      <alignment vertical="center"/>
    </xf>
    <xf numFmtId="2" fontId="11" fillId="0" borderId="5" xfId="4" applyNumberFormat="1" applyFont="1" applyFill="1" applyBorder="1" applyAlignment="1">
      <alignment vertical="center"/>
    </xf>
    <xf numFmtId="0" fontId="0" fillId="0" borderId="0" xfId="4" applyFont="1" applyAlignment="1">
      <alignment horizontal="center" vertical="center"/>
    </xf>
    <xf numFmtId="0" fontId="4" fillId="0" borderId="4" xfId="4" applyFont="1" applyFill="1" applyBorder="1" applyAlignment="1">
      <alignment vertical="center"/>
    </xf>
    <xf numFmtId="0" fontId="7" fillId="0" borderId="5" xfId="4" applyFill="1" applyBorder="1" applyAlignment="1">
      <alignment vertical="center"/>
    </xf>
    <xf numFmtId="0" fontId="0" fillId="0" borderId="5" xfId="4" applyFont="1" applyBorder="1" applyAlignment="1">
      <alignment horizontal="right" vertical="center"/>
    </xf>
    <xf numFmtId="179" fontId="14" fillId="0" borderId="5" xfId="3" applyNumberFormat="1" applyFont="1" applyFill="1" applyBorder="1" applyAlignment="1" applyProtection="1">
      <alignment horizontal="right" vertical="center"/>
    </xf>
    <xf numFmtId="172" fontId="15" fillId="3" borderId="5" xfId="3" applyNumberFormat="1" applyFont="1" applyFill="1" applyBorder="1" applyAlignment="1" applyProtection="1">
      <alignment horizontal="right" vertical="center"/>
    </xf>
    <xf numFmtId="0" fontId="7" fillId="0" borderId="3" xfId="4" applyBorder="1" applyAlignment="1">
      <alignment vertical="center"/>
    </xf>
    <xf numFmtId="0" fontId="0" fillId="0" borderId="4" xfId="4" applyFont="1" applyFill="1" applyBorder="1" applyAlignment="1">
      <alignment vertical="center"/>
    </xf>
    <xf numFmtId="175" fontId="11" fillId="0" borderId="5" xfId="4" applyNumberFormat="1" applyFont="1" applyFill="1" applyBorder="1" applyAlignment="1">
      <alignment vertical="center"/>
    </xf>
    <xf numFmtId="0" fontId="0" fillId="0" borderId="4" xfId="4" applyFont="1" applyFill="1" applyBorder="1" applyAlignment="1">
      <alignment horizontal="left" vertical="center"/>
    </xf>
    <xf numFmtId="172" fontId="0" fillId="0" borderId="5" xfId="3" applyFont="1" applyFill="1" applyBorder="1" applyAlignment="1" applyProtection="1">
      <alignment horizontal="left" vertical="center"/>
    </xf>
    <xf numFmtId="172" fontId="10" fillId="0" borderId="5" xfId="3" applyFont="1" applyFill="1" applyBorder="1" applyAlignment="1" applyProtection="1">
      <alignment vertical="center"/>
    </xf>
    <xf numFmtId="178" fontId="11" fillId="0" borderId="5" xfId="4" applyNumberFormat="1" applyFont="1" applyBorder="1" applyAlignment="1">
      <alignment vertical="center"/>
    </xf>
    <xf numFmtId="172" fontId="11" fillId="0" borderId="5" xfId="4" applyNumberFormat="1" applyFont="1" applyBorder="1" applyAlignment="1">
      <alignment vertical="center"/>
    </xf>
    <xf numFmtId="181" fontId="11" fillId="0" borderId="5" xfId="4" applyNumberFormat="1" applyFont="1" applyBorder="1" applyAlignment="1">
      <alignment vertical="center"/>
    </xf>
    <xf numFmtId="43" fontId="11" fillId="0" borderId="5" xfId="4" applyNumberFormat="1" applyFont="1" applyBorder="1" applyAlignment="1">
      <alignment vertical="center"/>
    </xf>
    <xf numFmtId="181" fontId="26" fillId="0" borderId="5" xfId="4" applyNumberFormat="1" applyFont="1" applyBorder="1" applyAlignment="1">
      <alignment vertical="center"/>
    </xf>
    <xf numFmtId="0" fontId="7" fillId="0" borderId="0" xfId="4" applyAlignment="1">
      <alignment horizontal="right" vertical="center"/>
    </xf>
    <xf numFmtId="43" fontId="7" fillId="0" borderId="0" xfId="4" applyNumberFormat="1" applyAlignment="1">
      <alignment vertical="center"/>
    </xf>
    <xf numFmtId="0" fontId="28" fillId="0" borderId="0" xfId="0" applyFont="1"/>
    <xf numFmtId="0" fontId="29" fillId="0" borderId="5" xfId="0" applyFont="1" applyBorder="1"/>
    <xf numFmtId="176" fontId="28" fillId="4" borderId="0" xfId="0" applyNumberFormat="1" applyFont="1" applyFill="1"/>
    <xf numFmtId="176" fontId="28" fillId="4" borderId="5" xfId="0" applyNumberFormat="1" applyFont="1" applyFill="1" applyBorder="1" applyAlignment="1">
      <alignment horizontal="center"/>
    </xf>
    <xf numFmtId="176" fontId="28" fillId="4" borderId="5" xfId="0" applyNumberFormat="1" applyFont="1" applyFill="1" applyBorder="1"/>
    <xf numFmtId="176" fontId="28" fillId="4" borderId="5" xfId="33" applyNumberFormat="1" applyFont="1" applyFill="1" applyBorder="1" applyAlignment="1">
      <alignment horizontal="center"/>
    </xf>
    <xf numFmtId="176" fontId="27" fillId="4" borderId="0" xfId="0" applyNumberFormat="1" applyFont="1" applyFill="1" applyBorder="1" applyAlignment="1">
      <alignment horizontal="center"/>
    </xf>
    <xf numFmtId="176" fontId="27" fillId="4" borderId="5" xfId="33" applyNumberFormat="1" applyFont="1" applyFill="1" applyBorder="1" applyAlignment="1">
      <alignment horizontal="center"/>
    </xf>
    <xf numFmtId="176" fontId="28" fillId="4" borderId="0" xfId="33" applyNumberFormat="1" applyFont="1" applyFill="1" applyBorder="1" applyAlignment="1">
      <alignment horizontal="center"/>
    </xf>
    <xf numFmtId="176" fontId="27" fillId="4" borderId="0" xfId="33" applyNumberFormat="1" applyFont="1" applyFill="1" applyBorder="1" applyAlignment="1">
      <alignment horizontal="center"/>
    </xf>
    <xf numFmtId="176" fontId="28" fillId="4" borderId="0" xfId="0" applyNumberFormat="1" applyFont="1" applyFill="1" applyBorder="1"/>
    <xf numFmtId="176" fontId="27" fillId="4" borderId="5" xfId="0" applyNumberFormat="1" applyFont="1" applyFill="1" applyBorder="1" applyAlignment="1">
      <alignment horizontal="center"/>
    </xf>
    <xf numFmtId="0" fontId="28" fillId="0" borderId="0" xfId="8" applyFont="1" applyBorder="1" applyAlignment="1">
      <alignment vertical="center" wrapText="1"/>
    </xf>
    <xf numFmtId="0" fontId="28" fillId="0" borderId="0" xfId="8" applyFont="1" applyBorder="1" applyAlignment="1">
      <alignment vertical="center"/>
    </xf>
    <xf numFmtId="0" fontId="28" fillId="0" borderId="0" xfId="8" applyFont="1" applyAlignment="1">
      <alignment vertical="center" wrapText="1"/>
    </xf>
    <xf numFmtId="4" fontId="28" fillId="5" borderId="5" xfId="8" applyNumberFormat="1" applyFont="1" applyFill="1" applyBorder="1" applyAlignment="1">
      <alignment horizontal="right" vertical="center" wrapText="1"/>
    </xf>
    <xf numFmtId="4" fontId="28" fillId="5" borderId="5" xfId="8" applyNumberFormat="1" applyFont="1" applyFill="1" applyBorder="1" applyAlignment="1">
      <alignment vertical="center" wrapText="1"/>
    </xf>
    <xf numFmtId="4" fontId="28" fillId="0" borderId="0" xfId="8" applyNumberFormat="1" applyFont="1" applyBorder="1" applyAlignment="1">
      <alignment vertical="center" wrapText="1"/>
    </xf>
    <xf numFmtId="0" fontId="28" fillId="0" borderId="9" xfId="8" applyFont="1" applyBorder="1" applyAlignment="1">
      <alignment vertical="center" wrapText="1"/>
    </xf>
    <xf numFmtId="4" fontId="28" fillId="3" borderId="5" xfId="8" applyNumberFormat="1" applyFont="1" applyFill="1" applyBorder="1" applyAlignment="1">
      <alignment vertical="center" wrapText="1"/>
    </xf>
    <xf numFmtId="4" fontId="28" fillId="0" borderId="5" xfId="8" applyNumberFormat="1" applyFont="1" applyFill="1" applyBorder="1" applyAlignment="1">
      <alignment vertical="center" wrapText="1"/>
    </xf>
    <xf numFmtId="4" fontId="28" fillId="5" borderId="5" xfId="8" applyNumberFormat="1" applyFont="1" applyFill="1" applyBorder="1" applyAlignment="1">
      <alignment horizontal="left" vertical="center" wrapText="1"/>
    </xf>
    <xf numFmtId="4" fontId="28" fillId="0" borderId="10" xfId="8" applyNumberFormat="1" applyFont="1" applyBorder="1" applyAlignment="1">
      <alignment vertical="center" wrapText="1"/>
    </xf>
    <xf numFmtId="0" fontId="28" fillId="0" borderId="10" xfId="8" applyFont="1" applyBorder="1" applyAlignment="1">
      <alignment vertical="center" wrapText="1"/>
    </xf>
    <xf numFmtId="0" fontId="28" fillId="0" borderId="11" xfId="8" applyFont="1" applyBorder="1" applyAlignment="1">
      <alignment vertical="center" wrapText="1"/>
    </xf>
    <xf numFmtId="4" fontId="28" fillId="5" borderId="12" xfId="8" applyNumberFormat="1" applyFont="1" applyFill="1" applyBorder="1" applyAlignment="1">
      <alignment horizontal="right" vertical="center" wrapText="1"/>
    </xf>
    <xf numFmtId="4" fontId="28" fillId="5" borderId="12" xfId="8" applyNumberFormat="1" applyFont="1" applyFill="1" applyBorder="1" applyAlignment="1">
      <alignment horizontal="left" vertical="center" wrapText="1"/>
    </xf>
    <xf numFmtId="4" fontId="28" fillId="5" borderId="13" xfId="8" applyNumberFormat="1" applyFont="1" applyFill="1" applyBorder="1" applyAlignment="1">
      <alignment horizontal="right" vertical="center" wrapText="1"/>
    </xf>
    <xf numFmtId="4" fontId="28" fillId="0" borderId="0" xfId="8" applyNumberFormat="1" applyFont="1" applyBorder="1" applyAlignment="1">
      <alignment horizontal="center" vertical="center" wrapText="1"/>
    </xf>
    <xf numFmtId="4" fontId="28" fillId="5" borderId="7" xfId="8" applyNumberFormat="1" applyFont="1" applyFill="1" applyBorder="1" applyAlignment="1">
      <alignment vertical="center" wrapText="1"/>
    </xf>
    <xf numFmtId="176" fontId="27" fillId="4" borderId="0" xfId="33" applyNumberFormat="1" applyFont="1" applyFill="1" applyBorder="1" applyAlignment="1">
      <alignment horizontal="center" vertical="center" wrapText="1"/>
    </xf>
    <xf numFmtId="176" fontId="27" fillId="4" borderId="0" xfId="0" applyNumberFormat="1" applyFont="1" applyFill="1" applyBorder="1" applyAlignment="1">
      <alignment horizontal="center" vertical="center"/>
    </xf>
    <xf numFmtId="176" fontId="27" fillId="4" borderId="5" xfId="33" applyNumberFormat="1" applyFont="1" applyFill="1" applyBorder="1" applyAlignment="1">
      <alignment horizontal="center"/>
    </xf>
    <xf numFmtId="176" fontId="27" fillId="4" borderId="14" xfId="0" applyNumberFormat="1" applyFont="1" applyFill="1" applyBorder="1" applyAlignment="1">
      <alignment vertical="center"/>
    </xf>
    <xf numFmtId="3" fontId="28" fillId="4" borderId="5" xfId="33" applyNumberFormat="1" applyFont="1" applyFill="1" applyBorder="1" applyAlignment="1">
      <alignment horizontal="center"/>
    </xf>
    <xf numFmtId="4" fontId="28" fillId="5" borderId="15" xfId="8" applyNumberFormat="1" applyFont="1" applyFill="1" applyBorder="1" applyAlignment="1">
      <alignment horizontal="right" vertical="center" wrapText="1"/>
    </xf>
    <xf numFmtId="4" fontId="28" fillId="5" borderId="15" xfId="8" applyNumberFormat="1" applyFont="1" applyFill="1" applyBorder="1" applyAlignment="1">
      <alignment vertical="center" wrapText="1"/>
    </xf>
    <xf numFmtId="4" fontId="28" fillId="0" borderId="16" xfId="8" applyNumberFormat="1" applyFont="1" applyBorder="1" applyAlignment="1">
      <alignment horizontal="center" vertical="center" wrapText="1"/>
    </xf>
    <xf numFmtId="0" fontId="28" fillId="0" borderId="16" xfId="8" applyFont="1" applyBorder="1" applyAlignment="1">
      <alignment vertical="center" wrapText="1"/>
    </xf>
    <xf numFmtId="0" fontId="28" fillId="0" borderId="17" xfId="8" applyFont="1" applyBorder="1" applyAlignment="1">
      <alignment vertical="center" wrapText="1"/>
    </xf>
    <xf numFmtId="4" fontId="28" fillId="5" borderId="5" xfId="8" applyNumberFormat="1" applyFont="1" applyFill="1" applyBorder="1" applyAlignment="1">
      <alignment vertical="center" wrapText="1"/>
    </xf>
    <xf numFmtId="4" fontId="28" fillId="5" borderId="5" xfId="8" applyNumberFormat="1" applyFont="1" applyFill="1" applyBorder="1" applyAlignment="1">
      <alignment horizontal="left" vertical="center" wrapText="1"/>
    </xf>
    <xf numFmtId="0" fontId="28" fillId="2" borderId="18" xfId="0" applyFont="1" applyFill="1" applyBorder="1" applyAlignment="1">
      <alignment horizontal="center" vertical="center"/>
    </xf>
    <xf numFmtId="2" fontId="28" fillId="2" borderId="18" xfId="0" applyNumberFormat="1" applyFont="1" applyFill="1" applyBorder="1" applyAlignment="1">
      <alignment horizontal="center" vertical="center"/>
    </xf>
    <xf numFmtId="168" fontId="28" fillId="2" borderId="18" xfId="0" applyNumberFormat="1" applyFont="1" applyFill="1" applyBorder="1" applyAlignment="1">
      <alignment horizontal="center" vertical="center"/>
    </xf>
    <xf numFmtId="4" fontId="28" fillId="0" borderId="18" xfId="0" applyNumberFormat="1" applyFont="1" applyFill="1" applyBorder="1" applyAlignment="1">
      <alignment horizontal="center" vertical="center"/>
    </xf>
    <xf numFmtId="171" fontId="28" fillId="0" borderId="0" xfId="0" applyNumberFormat="1" applyFont="1"/>
    <xf numFmtId="0" fontId="29" fillId="0" borderId="0" xfId="0" applyFont="1" applyAlignment="1">
      <alignment horizontal="center"/>
    </xf>
    <xf numFmtId="0" fontId="29" fillId="0" borderId="0" xfId="0" applyFont="1"/>
    <xf numFmtId="4" fontId="28" fillId="2" borderId="20" xfId="18" applyNumberFormat="1" applyFont="1" applyFill="1" applyBorder="1" applyAlignment="1">
      <alignment horizontal="center" vertical="center"/>
    </xf>
    <xf numFmtId="4" fontId="28" fillId="2" borderId="18" xfId="18" applyNumberFormat="1" applyFont="1" applyFill="1" applyBorder="1" applyAlignment="1">
      <alignment horizontal="center" vertical="center"/>
    </xf>
    <xf numFmtId="4" fontId="28" fillId="2" borderId="22" xfId="5" applyNumberFormat="1" applyFont="1" applyFill="1" applyBorder="1" applyAlignment="1">
      <alignment horizontal="center" vertical="center"/>
    </xf>
    <xf numFmtId="4" fontId="28" fillId="2" borderId="18" xfId="5" applyNumberFormat="1" applyFont="1" applyFill="1" applyBorder="1" applyAlignment="1">
      <alignment horizontal="center" vertical="center"/>
    </xf>
    <xf numFmtId="173" fontId="28" fillId="2" borderId="22" xfId="18" applyNumberFormat="1" applyFont="1" applyFill="1" applyBorder="1" applyAlignment="1">
      <alignment horizontal="center" vertical="center"/>
    </xf>
    <xf numFmtId="4" fontId="28" fillId="15" borderId="5" xfId="18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28" fillId="0" borderId="5" xfId="0" applyNumberFormat="1" applyFont="1" applyFill="1" applyBorder="1" applyAlignment="1">
      <alignment horizontal="center" vertical="center"/>
    </xf>
    <xf numFmtId="168" fontId="28" fillId="0" borderId="5" xfId="0" applyNumberFormat="1" applyFont="1" applyFill="1" applyBorder="1" applyAlignment="1">
      <alignment horizontal="center" vertical="center"/>
    </xf>
    <xf numFmtId="4" fontId="28" fillId="0" borderId="5" xfId="18" applyNumberFormat="1" applyFont="1" applyFill="1" applyBorder="1" applyAlignment="1">
      <alignment horizontal="center" vertical="center"/>
    </xf>
    <xf numFmtId="2" fontId="28" fillId="0" borderId="5" xfId="18" applyNumberFormat="1" applyFont="1" applyFill="1" applyBorder="1" applyAlignment="1">
      <alignment horizontal="center" vertical="center"/>
    </xf>
    <xf numFmtId="4" fontId="28" fillId="2" borderId="5" xfId="5" applyNumberFormat="1" applyFont="1" applyFill="1" applyBorder="1" applyAlignment="1">
      <alignment horizontal="center" vertical="center" wrapText="1"/>
    </xf>
    <xf numFmtId="4" fontId="28" fillId="2" borderId="5" xfId="18" applyNumberFormat="1" applyFont="1" applyFill="1" applyBorder="1" applyAlignment="1">
      <alignment horizontal="center" vertical="center"/>
    </xf>
    <xf numFmtId="4" fontId="28" fillId="2" borderId="5" xfId="5" applyNumberFormat="1" applyFont="1" applyFill="1" applyBorder="1" applyAlignment="1">
      <alignment horizontal="center" vertical="center"/>
    </xf>
    <xf numFmtId="2" fontId="28" fillId="0" borderId="5" xfId="0" applyNumberFormat="1" applyFont="1" applyFill="1" applyBorder="1" applyAlignment="1">
      <alignment horizontal="center" vertical="center"/>
    </xf>
    <xf numFmtId="0" fontId="25" fillId="0" borderId="0" xfId="0" applyFont="1"/>
    <xf numFmtId="0" fontId="28" fillId="0" borderId="0" xfId="0" applyFont="1" applyFill="1"/>
    <xf numFmtId="4" fontId="28" fillId="2" borderId="5" xfId="18" applyNumberFormat="1" applyFont="1" applyFill="1" applyBorder="1" applyAlignment="1">
      <alignment horizontal="left" vertical="center"/>
    </xf>
    <xf numFmtId="0" fontId="28" fillId="0" borderId="5" xfId="0" applyFont="1" applyBorder="1"/>
    <xf numFmtId="173" fontId="28" fillId="2" borderId="5" xfId="18" applyNumberFormat="1" applyFont="1" applyFill="1" applyBorder="1" applyAlignment="1">
      <alignment horizontal="center" vertical="center" wrapText="1"/>
    </xf>
    <xf numFmtId="173" fontId="28" fillId="2" borderId="5" xfId="5" applyNumberFormat="1" applyFont="1" applyFill="1" applyBorder="1" applyAlignment="1">
      <alignment horizontal="center" vertical="center"/>
    </xf>
    <xf numFmtId="4" fontId="28" fillId="2" borderId="5" xfId="18" applyNumberFormat="1" applyFont="1" applyFill="1" applyBorder="1" applyAlignment="1">
      <alignment vertical="center"/>
    </xf>
    <xf numFmtId="0" fontId="29" fillId="0" borderId="0" xfId="0" applyFont="1" applyAlignment="1">
      <alignment horizontal="center" wrapText="1"/>
    </xf>
    <xf numFmtId="0" fontId="28" fillId="0" borderId="0" xfId="0" applyFont="1" applyAlignment="1">
      <alignment wrapText="1"/>
    </xf>
    <xf numFmtId="0" fontId="30" fillId="0" borderId="0" xfId="0" applyFont="1" applyAlignment="1">
      <alignment horizontal="center"/>
    </xf>
    <xf numFmtId="4" fontId="28" fillId="0" borderId="5" xfId="0" applyNumberFormat="1" applyFont="1" applyFill="1" applyBorder="1" applyAlignment="1">
      <alignment vertical="center" wrapText="1"/>
    </xf>
    <xf numFmtId="0" fontId="0" fillId="0" borderId="5" xfId="31" applyFont="1" applyBorder="1" applyAlignment="1">
      <alignment horizontal="center" vertical="center"/>
    </xf>
    <xf numFmtId="0" fontId="30" fillId="0" borderId="0" xfId="0" applyFont="1" applyAlignment="1">
      <alignment horizontal="center"/>
    </xf>
    <xf numFmtId="0" fontId="28" fillId="0" borderId="14" xfId="0" applyFont="1" applyBorder="1"/>
    <xf numFmtId="3" fontId="28" fillId="0" borderId="5" xfId="18" applyFont="1" applyFill="1" applyBorder="1" applyAlignment="1">
      <alignment horizontal="left" vertical="center"/>
    </xf>
    <xf numFmtId="4" fontId="28" fillId="0" borderId="0" xfId="0" applyNumberFormat="1" applyFont="1"/>
    <xf numFmtId="4" fontId="0" fillId="0" borderId="5" xfId="31" applyNumberFormat="1" applyFont="1" applyFill="1" applyBorder="1" applyAlignment="1">
      <alignment horizontal="center" vertical="center"/>
    </xf>
    <xf numFmtId="176" fontId="28" fillId="2" borderId="2" xfId="18" applyNumberFormat="1" applyFont="1" applyFill="1" applyBorder="1" applyAlignment="1">
      <alignment horizontal="center" vertical="center" wrapText="1"/>
    </xf>
    <xf numFmtId="4" fontId="28" fillId="2" borderId="2" xfId="18" applyNumberFormat="1" applyFont="1" applyFill="1" applyBorder="1" applyAlignment="1">
      <alignment horizontal="center" vertical="center" wrapText="1"/>
    </xf>
    <xf numFmtId="0" fontId="30" fillId="0" borderId="0" xfId="8" applyFont="1" applyAlignment="1">
      <alignment vertical="center"/>
    </xf>
    <xf numFmtId="0" fontId="28" fillId="0" borderId="0" xfId="0" applyFont="1" applyAlignment="1">
      <alignment horizontal="left" vertical="center"/>
    </xf>
    <xf numFmtId="2" fontId="29" fillId="0" borderId="0" xfId="0" applyNumberFormat="1" applyFont="1"/>
    <xf numFmtId="0" fontId="30" fillId="0" borderId="0" xfId="0" applyFont="1" applyAlignment="1">
      <alignment vertical="center"/>
    </xf>
    <xf numFmtId="4" fontId="28" fillId="2" borderId="5" xfId="18" applyNumberFormat="1" applyFont="1" applyFill="1" applyBorder="1" applyAlignment="1">
      <alignment horizontal="right" vertical="center"/>
    </xf>
    <xf numFmtId="4" fontId="28" fillId="2" borderId="5" xfId="18" applyNumberFormat="1" applyFont="1" applyFill="1" applyBorder="1" applyAlignment="1">
      <alignment horizontal="left" vertical="center" wrapText="1"/>
    </xf>
    <xf numFmtId="4" fontId="28" fillId="2" borderId="5" xfId="18" applyNumberFormat="1" applyFont="1" applyFill="1" applyBorder="1" applyAlignment="1">
      <alignment horizontal="center" vertical="center" wrapText="1"/>
    </xf>
    <xf numFmtId="4" fontId="28" fillId="2" borderId="18" xfId="18" applyNumberFormat="1" applyFont="1" applyFill="1" applyBorder="1" applyAlignment="1">
      <alignment horizontal="right" vertical="center"/>
    </xf>
    <xf numFmtId="4" fontId="28" fillId="0" borderId="18" xfId="18" applyNumberFormat="1" applyFont="1" applyFill="1" applyBorder="1" applyAlignment="1">
      <alignment horizontal="center" vertical="center"/>
    </xf>
    <xf numFmtId="176" fontId="28" fillId="2" borderId="2" xfId="5" applyNumberFormat="1" applyFont="1" applyFill="1" applyBorder="1" applyAlignment="1">
      <alignment horizontal="center" vertical="center"/>
    </xf>
    <xf numFmtId="165" fontId="28" fillId="2" borderId="18" xfId="18" applyNumberFormat="1" applyFont="1" applyFill="1" applyBorder="1" applyAlignment="1">
      <alignment horizontal="center" vertical="center"/>
    </xf>
    <xf numFmtId="168" fontId="28" fillId="2" borderId="29" xfId="0" applyNumberFormat="1" applyFont="1" applyFill="1" applyBorder="1" applyAlignment="1">
      <alignment horizontal="center" vertical="center"/>
    </xf>
    <xf numFmtId="2" fontId="28" fillId="2" borderId="29" xfId="0" applyNumberFormat="1" applyFont="1" applyFill="1" applyBorder="1" applyAlignment="1">
      <alignment horizontal="center" vertical="center"/>
    </xf>
    <xf numFmtId="4" fontId="5" fillId="0" borderId="0" xfId="9" applyNumberFormat="1" applyFont="1" applyFill="1" applyBorder="1" applyAlignment="1">
      <alignment horizontal="left" vertical="center" wrapText="1"/>
    </xf>
    <xf numFmtId="174" fontId="5" fillId="2" borderId="0" xfId="0" applyNumberFormat="1" applyFont="1" applyFill="1" applyBorder="1" applyAlignment="1">
      <alignment horizontal="right" vertical="center" wrapText="1"/>
    </xf>
    <xf numFmtId="174" fontId="5" fillId="2" borderId="2" xfId="0" applyNumberFormat="1" applyFont="1" applyFill="1" applyBorder="1" applyAlignment="1">
      <alignment horizontal="right" vertical="center" wrapText="1"/>
    </xf>
    <xf numFmtId="4" fontId="6" fillId="0" borderId="0" xfId="9" applyNumberFormat="1" applyFont="1" applyFill="1" applyBorder="1" applyAlignment="1">
      <alignment vertical="center" wrapText="1"/>
    </xf>
    <xf numFmtId="1" fontId="5" fillId="17" borderId="5" xfId="9" applyNumberFormat="1" applyFont="1" applyFill="1" applyBorder="1" applyAlignment="1">
      <alignment horizontal="center" vertical="center" wrapText="1"/>
    </xf>
    <xf numFmtId="1" fontId="7" fillId="16" borderId="5" xfId="9" applyNumberFormat="1" applyFont="1" applyFill="1" applyBorder="1" applyAlignment="1">
      <alignment horizontal="center" vertical="center" wrapText="1"/>
    </xf>
    <xf numFmtId="4" fontId="7" fillId="0" borderId="13" xfId="9" applyNumberFormat="1" applyFont="1" applyFill="1" applyBorder="1" applyAlignment="1">
      <alignment horizontal="center" vertical="center"/>
    </xf>
    <xf numFmtId="0" fontId="7" fillId="0" borderId="5" xfId="9" applyFont="1" applyFill="1" applyBorder="1" applyAlignment="1">
      <alignment horizontal="center" vertical="center"/>
    </xf>
    <xf numFmtId="1" fontId="4" fillId="16" borderId="5" xfId="9" applyNumberFormat="1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horizontal="center" vertical="center" wrapText="1"/>
    </xf>
    <xf numFmtId="1" fontId="29" fillId="6" borderId="5" xfId="0" applyNumberFormat="1" applyFont="1" applyFill="1" applyBorder="1" applyAlignment="1">
      <alignment horizontal="center" vertical="center"/>
    </xf>
    <xf numFmtId="0" fontId="0" fillId="0" borderId="5" xfId="31" applyFont="1" applyBorder="1" applyAlignment="1">
      <alignment vertical="center"/>
    </xf>
    <xf numFmtId="4" fontId="0" fillId="0" borderId="5" xfId="31" applyNumberFormat="1" applyFont="1" applyFill="1" applyBorder="1" applyAlignment="1">
      <alignment horizontal="right" vertical="center" wrapText="1"/>
    </xf>
    <xf numFmtId="1" fontId="0" fillId="0" borderId="5" xfId="31" applyNumberFormat="1" applyFont="1" applyBorder="1" applyAlignment="1">
      <alignment horizontal="center" vertical="center"/>
    </xf>
    <xf numFmtId="4" fontId="28" fillId="0" borderId="5" xfId="0" applyNumberFormat="1" applyFont="1" applyBorder="1" applyAlignment="1">
      <alignment horizontal="justify" vertical="center" wrapText="1"/>
    </xf>
    <xf numFmtId="4" fontId="29" fillId="2" borderId="0" xfId="18" applyNumberFormat="1" applyFont="1" applyFill="1" applyBorder="1" applyAlignment="1">
      <alignment horizontal="left" vertical="center"/>
    </xf>
    <xf numFmtId="4" fontId="29" fillId="0" borderId="0" xfId="18" applyNumberFormat="1" applyFont="1" applyFill="1" applyBorder="1" applyAlignment="1">
      <alignment horizontal="center" vertical="center"/>
    </xf>
    <xf numFmtId="0" fontId="28" fillId="0" borderId="5" xfId="0" applyFont="1" applyBorder="1" applyAlignment="1">
      <alignment horizontal="left" vertical="center" wrapText="1"/>
    </xf>
    <xf numFmtId="182" fontId="7" fillId="0" borderId="0" xfId="4" applyNumberFormat="1" applyAlignment="1">
      <alignment horizontal="center" vertical="center"/>
    </xf>
    <xf numFmtId="183" fontId="7" fillId="0" borderId="0" xfId="4" applyNumberFormat="1" applyAlignment="1">
      <alignment horizontal="center" vertical="center"/>
    </xf>
    <xf numFmtId="175" fontId="11" fillId="0" borderId="5" xfId="4" applyNumberFormat="1" applyFont="1" applyBorder="1" applyAlignment="1">
      <alignment horizontal="right" vertical="center"/>
    </xf>
    <xf numFmtId="184" fontId="11" fillId="0" borderId="5" xfId="4" applyNumberFormat="1" applyFont="1" applyBorder="1" applyAlignment="1">
      <alignment vertical="center"/>
    </xf>
    <xf numFmtId="185" fontId="11" fillId="0" borderId="5" xfId="4" applyNumberFormat="1" applyFont="1" applyBorder="1" applyAlignment="1">
      <alignment vertical="center"/>
    </xf>
    <xf numFmtId="176" fontId="27" fillId="4" borderId="5" xfId="0" applyNumberFormat="1" applyFont="1" applyFill="1" applyBorder="1" applyAlignment="1">
      <alignment horizontal="center"/>
    </xf>
    <xf numFmtId="1" fontId="4" fillId="16" borderId="30" xfId="9" applyNumberFormat="1" applyFont="1" applyFill="1" applyBorder="1" applyAlignment="1">
      <alignment horizontal="left" vertical="center" wrapText="1"/>
    </xf>
    <xf numFmtId="4" fontId="28" fillId="5" borderId="5" xfId="8" applyNumberFormat="1" applyFont="1" applyFill="1" applyBorder="1" applyAlignment="1">
      <alignment horizontal="left" vertical="center" wrapText="1"/>
    </xf>
    <xf numFmtId="4" fontId="28" fillId="5" borderId="12" xfId="8" applyNumberFormat="1" applyFont="1" applyFill="1" applyBorder="1" applyAlignment="1">
      <alignment horizontal="right" vertical="center" wrapText="1"/>
    </xf>
    <xf numFmtId="1" fontId="4" fillId="16" borderId="30" xfId="9" applyNumberFormat="1" applyFont="1" applyFill="1" applyBorder="1" applyAlignment="1">
      <alignment horizontal="left" vertical="center" wrapText="1"/>
    </xf>
    <xf numFmtId="186" fontId="10" fillId="0" borderId="5" xfId="3" applyNumberFormat="1" applyFont="1" applyFill="1" applyBorder="1" applyAlignment="1" applyProtection="1">
      <alignment vertical="center"/>
    </xf>
    <xf numFmtId="181" fontId="26" fillId="0" borderId="5" xfId="4" applyNumberFormat="1" applyFont="1" applyBorder="1" applyAlignment="1">
      <alignment horizontal="center" vertical="center"/>
    </xf>
    <xf numFmtId="0" fontId="0" fillId="0" borderId="5" xfId="9" applyFont="1" applyFill="1" applyBorder="1" applyAlignment="1">
      <alignment horizontal="center" vertical="center"/>
    </xf>
    <xf numFmtId="1" fontId="4" fillId="16" borderId="30" xfId="9" applyNumberFormat="1" applyFont="1" applyFill="1" applyBorder="1" applyAlignment="1">
      <alignment horizontal="left" vertical="center" wrapText="1"/>
    </xf>
    <xf numFmtId="1" fontId="7" fillId="16" borderId="14" xfId="9" applyNumberFormat="1" applyFont="1" applyFill="1" applyBorder="1" applyAlignment="1">
      <alignment horizontal="justify" vertical="center" wrapText="1"/>
    </xf>
    <xf numFmtId="1" fontId="7" fillId="16" borderId="26" xfId="9" applyNumberFormat="1" applyFont="1" applyFill="1" applyBorder="1" applyAlignment="1">
      <alignment horizontal="justify" vertical="center" wrapText="1"/>
    </xf>
    <xf numFmtId="4" fontId="28" fillId="5" borderId="5" xfId="8" applyNumberFormat="1" applyFont="1" applyFill="1" applyBorder="1" applyAlignment="1">
      <alignment horizontal="left" vertical="center" wrapText="1"/>
    </xf>
    <xf numFmtId="4" fontId="28" fillId="2" borderId="5" xfId="18" applyNumberFormat="1" applyFont="1" applyFill="1" applyBorder="1" applyAlignment="1">
      <alignment horizontal="right" vertical="center"/>
    </xf>
    <xf numFmtId="4" fontId="28" fillId="2" borderId="5" xfId="18" applyNumberFormat="1" applyFont="1" applyFill="1" applyBorder="1" applyAlignment="1">
      <alignment horizontal="center" vertical="center" wrapText="1"/>
    </xf>
    <xf numFmtId="4" fontId="28" fillId="2" borderId="5" xfId="18" applyNumberFormat="1" applyFont="1" applyFill="1" applyBorder="1" applyAlignment="1">
      <alignment horizontal="left" vertical="center" wrapText="1"/>
    </xf>
    <xf numFmtId="4" fontId="28" fillId="18" borderId="27" xfId="8" applyNumberFormat="1" applyFont="1" applyFill="1" applyBorder="1" applyAlignment="1">
      <alignment vertical="center" wrapText="1"/>
    </xf>
    <xf numFmtId="4" fontId="7" fillId="16" borderId="5" xfId="9" applyNumberFormat="1" applyFont="1" applyFill="1" applyBorder="1" applyAlignment="1">
      <alignment horizontal="center" vertical="center" wrapText="1"/>
    </xf>
    <xf numFmtId="4" fontId="4" fillId="16" borderId="30" xfId="9" applyNumberFormat="1" applyFont="1" applyFill="1" applyBorder="1" applyAlignment="1">
      <alignment horizontal="left" vertical="center" wrapText="1"/>
    </xf>
    <xf numFmtId="4" fontId="28" fillId="5" borderId="27" xfId="8" applyNumberFormat="1" applyFont="1" applyFill="1" applyBorder="1" applyAlignment="1">
      <alignment vertical="center" wrapText="1"/>
    </xf>
    <xf numFmtId="4" fontId="4" fillId="0" borderId="5" xfId="33" applyNumberFormat="1" applyFont="1" applyFill="1" applyBorder="1" applyAlignment="1">
      <alignment horizontal="center" vertical="center"/>
    </xf>
    <xf numFmtId="4" fontId="4" fillId="0" borderId="27" xfId="33" applyNumberFormat="1" applyFont="1" applyFill="1" applyBorder="1" applyAlignment="1">
      <alignment horizontal="center" vertical="center"/>
    </xf>
    <xf numFmtId="4" fontId="4" fillId="16" borderId="26" xfId="9" applyNumberFormat="1" applyFont="1" applyFill="1" applyBorder="1" applyAlignment="1">
      <alignment horizontal="left" vertical="center" wrapText="1"/>
    </xf>
    <xf numFmtId="179" fontId="7" fillId="0" borderId="0" xfId="33" applyNumberFormat="1" applyFill="1" applyBorder="1" applyAlignment="1">
      <alignment vertical="center" wrapText="1"/>
    </xf>
    <xf numFmtId="179" fontId="7" fillId="0" borderId="0" xfId="33" applyNumberFormat="1" applyFill="1" applyBorder="1" applyAlignment="1">
      <alignment horizontal="center" vertical="center" wrapText="1"/>
    </xf>
    <xf numFmtId="179" fontId="7" fillId="0" borderId="0" xfId="33" applyNumberFormat="1" applyFill="1" applyBorder="1" applyAlignment="1">
      <alignment horizontal="left" vertical="center" wrapText="1"/>
    </xf>
    <xf numFmtId="179" fontId="7" fillId="2" borderId="0" xfId="33" applyNumberFormat="1" applyFill="1" applyBorder="1" applyAlignment="1" applyProtection="1">
      <alignment horizontal="center" vertical="center" wrapText="1"/>
    </xf>
    <xf numFmtId="179" fontId="7" fillId="2" borderId="0" xfId="33" applyNumberFormat="1" applyFill="1" applyBorder="1" applyAlignment="1">
      <alignment horizontal="right" vertical="center" wrapText="1"/>
    </xf>
    <xf numFmtId="0" fontId="16" fillId="0" borderId="13" xfId="9" applyFont="1" applyFill="1" applyBorder="1" applyAlignment="1">
      <alignment horizontal="center" vertical="center"/>
    </xf>
    <xf numFmtId="172" fontId="17" fillId="0" borderId="5" xfId="33" applyFont="1" applyFill="1" applyBorder="1" applyAlignment="1">
      <alignment vertical="center"/>
    </xf>
    <xf numFmtId="0" fontId="17" fillId="0" borderId="5" xfId="9" applyFont="1" applyFill="1" applyBorder="1" applyAlignment="1">
      <alignment vertical="center"/>
    </xf>
    <xf numFmtId="0" fontId="17" fillId="4" borderId="5" xfId="9" applyFont="1" applyFill="1" applyBorder="1" applyAlignment="1">
      <alignment vertical="center"/>
    </xf>
    <xf numFmtId="4" fontId="7" fillId="0" borderId="5" xfId="9" applyNumberFormat="1" applyFont="1" applyFill="1" applyBorder="1" applyAlignment="1">
      <alignment vertical="center" wrapText="1"/>
    </xf>
    <xf numFmtId="187" fontId="17" fillId="0" borderId="5" xfId="19" applyNumberFormat="1" applyFont="1" applyFill="1" applyBorder="1" applyAlignment="1">
      <alignment horizontal="center" vertical="center"/>
    </xf>
    <xf numFmtId="0" fontId="2" fillId="0" borderId="0" xfId="12" applyBorder="1"/>
    <xf numFmtId="0" fontId="2" fillId="0" borderId="0" xfId="12"/>
    <xf numFmtId="0" fontId="7" fillId="0" borderId="0" xfId="9" applyBorder="1" applyAlignment="1"/>
    <xf numFmtId="0" fontId="7" fillId="0" borderId="0" xfId="9"/>
    <xf numFmtId="0" fontId="19" fillId="0" borderId="0" xfId="9" applyFont="1" applyBorder="1" applyAlignment="1">
      <alignment vertical="center" wrapText="1"/>
    </xf>
    <xf numFmtId="0" fontId="4" fillId="0" borderId="0" xfId="9" applyFont="1" applyBorder="1" applyAlignment="1">
      <alignment horizontal="center"/>
    </xf>
    <xf numFmtId="0" fontId="7" fillId="0" borderId="0" xfId="9" applyBorder="1"/>
    <xf numFmtId="0" fontId="4" fillId="0" borderId="8" xfId="9" applyFont="1" applyBorder="1" applyAlignment="1">
      <alignment horizontal="left"/>
    </xf>
    <xf numFmtId="0" fontId="7" fillId="0" borderId="0" xfId="9" applyFont="1" applyBorder="1"/>
    <xf numFmtId="0" fontId="7" fillId="7" borderId="33" xfId="9" applyFont="1" applyFill="1" applyBorder="1" applyAlignment="1">
      <alignment horizontal="center"/>
    </xf>
    <xf numFmtId="0" fontId="4" fillId="7" borderId="33" xfId="9" applyFont="1" applyFill="1" applyBorder="1" applyAlignment="1">
      <alignment horizontal="center"/>
    </xf>
    <xf numFmtId="0" fontId="4" fillId="7" borderId="34" xfId="9" applyFont="1" applyFill="1" applyBorder="1" applyAlignment="1">
      <alignment horizontal="center"/>
    </xf>
    <xf numFmtId="0" fontId="4" fillId="7" borderId="35" xfId="9" applyFont="1" applyFill="1" applyBorder="1" applyAlignment="1">
      <alignment horizontal="center"/>
    </xf>
    <xf numFmtId="0" fontId="4" fillId="7" borderId="36" xfId="9" applyFont="1" applyFill="1" applyBorder="1" applyAlignment="1">
      <alignment horizontal="center"/>
    </xf>
    <xf numFmtId="0" fontId="4" fillId="0" borderId="37" xfId="9" applyFont="1" applyBorder="1" applyAlignment="1">
      <alignment horizontal="center" vertical="center"/>
    </xf>
    <xf numFmtId="0" fontId="4" fillId="0" borderId="38" xfId="9" applyFont="1" applyBorder="1"/>
    <xf numFmtId="2" fontId="4" fillId="0" borderId="38" xfId="9" applyNumberFormat="1" applyFont="1" applyBorder="1" applyAlignment="1">
      <alignment horizontal="center" vertical="center"/>
    </xf>
    <xf numFmtId="0" fontId="7" fillId="0" borderId="38" xfId="9" applyFont="1" applyBorder="1" applyAlignment="1">
      <alignment horizontal="center" vertical="center"/>
    </xf>
    <xf numFmtId="4" fontId="4" fillId="0" borderId="39" xfId="9" applyNumberFormat="1" applyFont="1" applyBorder="1" applyAlignment="1">
      <alignment horizontal="center" vertical="center"/>
    </xf>
    <xf numFmtId="0" fontId="20" fillId="0" borderId="0" xfId="9" applyFont="1" applyAlignment="1"/>
    <xf numFmtId="0" fontId="7" fillId="0" borderId="37" xfId="9" applyFont="1" applyBorder="1" applyAlignment="1">
      <alignment horizontal="center" vertical="center"/>
    </xf>
    <xf numFmtId="0" fontId="7" fillId="0" borderId="38" xfId="9" applyFont="1" applyBorder="1" applyAlignment="1">
      <alignment horizontal="left"/>
    </xf>
    <xf numFmtId="2" fontId="7" fillId="0" borderId="38" xfId="9" applyNumberFormat="1" applyFont="1" applyBorder="1" applyAlignment="1">
      <alignment horizontal="center" vertical="center"/>
    </xf>
    <xf numFmtId="4" fontId="7" fillId="0" borderId="38" xfId="9" applyNumberFormat="1" applyFont="1" applyBorder="1" applyAlignment="1">
      <alignment horizontal="center" vertical="center"/>
    </xf>
    <xf numFmtId="4" fontId="7" fillId="0" borderId="39" xfId="9" applyNumberFormat="1" applyFont="1" applyBorder="1" applyAlignment="1">
      <alignment horizontal="center" vertical="center"/>
    </xf>
    <xf numFmtId="2" fontId="2" fillId="0" borderId="0" xfId="12" applyNumberFormat="1"/>
    <xf numFmtId="0" fontId="7" fillId="0" borderId="38" xfId="9" applyFont="1" applyBorder="1"/>
    <xf numFmtId="0" fontId="7" fillId="0" borderId="9" xfId="9" applyFont="1" applyBorder="1" applyAlignment="1">
      <alignment horizontal="center" vertical="center"/>
    </xf>
    <xf numFmtId="0" fontId="20" fillId="0" borderId="0" xfId="9" applyFont="1"/>
    <xf numFmtId="0" fontId="18" fillId="0" borderId="0" xfId="9" applyFont="1" applyAlignment="1"/>
    <xf numFmtId="4" fontId="7" fillId="0" borderId="9" xfId="9" applyNumberFormat="1" applyFont="1" applyBorder="1" applyAlignment="1">
      <alignment horizontal="center" vertical="center"/>
    </xf>
    <xf numFmtId="2" fontId="4" fillId="0" borderId="0" xfId="9" applyNumberFormat="1" applyFont="1" applyBorder="1" applyAlignment="1">
      <alignment horizontal="center" vertical="center"/>
    </xf>
    <xf numFmtId="2" fontId="4" fillId="0" borderId="41" xfId="9" applyNumberFormat="1" applyFont="1" applyBorder="1" applyAlignment="1">
      <alignment horizontal="center" vertical="center"/>
    </xf>
    <xf numFmtId="2" fontId="4" fillId="0" borderId="42" xfId="9" applyNumberFormat="1" applyFont="1" applyBorder="1" applyAlignment="1">
      <alignment horizontal="center" vertical="center"/>
    </xf>
    <xf numFmtId="0" fontId="7" fillId="0" borderId="8" xfId="9" applyBorder="1"/>
    <xf numFmtId="0" fontId="4" fillId="0" borderId="8" xfId="9" applyFont="1" applyBorder="1" applyAlignment="1">
      <alignment horizontal="right"/>
    </xf>
    <xf numFmtId="0" fontId="7" fillId="0" borderId="0" xfId="9" applyFont="1" applyBorder="1" applyAlignment="1">
      <alignment horizontal="center"/>
    </xf>
    <xf numFmtId="0" fontId="7" fillId="0" borderId="9" xfId="9" applyBorder="1"/>
    <xf numFmtId="2" fontId="18" fillId="0" borderId="0" xfId="9" applyNumberFormat="1" applyFont="1" applyBorder="1"/>
    <xf numFmtId="0" fontId="4" fillId="0" borderId="8" xfId="9" applyFont="1" applyBorder="1" applyAlignment="1"/>
    <xf numFmtId="0" fontId="18" fillId="0" borderId="0" xfId="9" applyFont="1" applyBorder="1" applyAlignment="1">
      <alignment horizontal="center"/>
    </xf>
    <xf numFmtId="10" fontId="18" fillId="0" borderId="0" xfId="19" applyNumberFormat="1" applyFont="1" applyBorder="1" applyAlignment="1"/>
    <xf numFmtId="0" fontId="18" fillId="0" borderId="0" xfId="9" applyFont="1" applyBorder="1" applyAlignment="1"/>
    <xf numFmtId="0" fontId="20" fillId="0" borderId="9" xfId="9" applyFont="1" applyBorder="1" applyAlignment="1"/>
    <xf numFmtId="0" fontId="4" fillId="0" borderId="0" xfId="9" applyFont="1" applyBorder="1" applyAlignment="1"/>
    <xf numFmtId="0" fontId="18" fillId="0" borderId="8" xfId="9" applyFont="1" applyBorder="1" applyAlignment="1"/>
    <xf numFmtId="10" fontId="18" fillId="0" borderId="0" xfId="9" applyNumberFormat="1" applyFont="1" applyBorder="1" applyAlignment="1"/>
    <xf numFmtId="0" fontId="20" fillId="0" borderId="9" xfId="9" applyFont="1" applyBorder="1"/>
    <xf numFmtId="0" fontId="18" fillId="0" borderId="9" xfId="9" applyFont="1" applyBorder="1" applyAlignment="1"/>
    <xf numFmtId="0" fontId="16" fillId="0" borderId="0" xfId="0" applyFont="1" applyAlignment="1">
      <alignment horizontal="center"/>
    </xf>
    <xf numFmtId="10" fontId="16" fillId="0" borderId="0" xfId="0" applyNumberFormat="1" applyFont="1" applyAlignment="1"/>
    <xf numFmtId="0" fontId="16" fillId="0" borderId="0" xfId="0" applyFont="1" applyAlignment="1"/>
    <xf numFmtId="0" fontId="17" fillId="0" borderId="0" xfId="0" applyFont="1" applyAlignment="1"/>
    <xf numFmtId="0" fontId="17" fillId="0" borderId="0" xfId="0" applyFont="1"/>
    <xf numFmtId="4" fontId="4" fillId="0" borderId="9" xfId="9" applyNumberFormat="1" applyFont="1" applyBorder="1" applyAlignment="1">
      <alignment horizontal="center" vertical="center"/>
    </xf>
    <xf numFmtId="0" fontId="21" fillId="0" borderId="8" xfId="0" applyFont="1" applyBorder="1"/>
    <xf numFmtId="0" fontId="22" fillId="0" borderId="0" xfId="0" applyFont="1" applyBorder="1" applyAlignment="1">
      <alignment horizontal="center"/>
    </xf>
    <xf numFmtId="0" fontId="17" fillId="0" borderId="0" xfId="0" applyFont="1" applyBorder="1"/>
    <xf numFmtId="0" fontId="17" fillId="0" borderId="9" xfId="0" applyFont="1" applyBorder="1"/>
    <xf numFmtId="2" fontId="21" fillId="0" borderId="0" xfId="0" applyNumberFormat="1" applyFont="1" applyBorder="1"/>
    <xf numFmtId="2" fontId="17" fillId="0" borderId="0" xfId="0" applyNumberFormat="1" applyFont="1"/>
    <xf numFmtId="176" fontId="27" fillId="4" borderId="5" xfId="0" applyNumberFormat="1" applyFont="1" applyFill="1" applyBorder="1" applyAlignment="1">
      <alignment horizontal="center"/>
    </xf>
    <xf numFmtId="176" fontId="28" fillId="4" borderId="5" xfId="33" applyNumberFormat="1" applyFont="1" applyFill="1" applyBorder="1" applyAlignment="1">
      <alignment horizontal="center"/>
    </xf>
    <xf numFmtId="4" fontId="28" fillId="4" borderId="5" xfId="33" applyNumberFormat="1" applyFont="1" applyFill="1" applyBorder="1" applyAlignment="1">
      <alignment horizontal="center"/>
    </xf>
    <xf numFmtId="0" fontId="0" fillId="0" borderId="5" xfId="0" applyFont="1" applyBorder="1" applyAlignment="1">
      <alignment horizontal="center"/>
    </xf>
    <xf numFmtId="176" fontId="0" fillId="4" borderId="4" xfId="33" applyNumberFormat="1" applyFont="1" applyFill="1" applyBorder="1" applyAlignment="1">
      <alignment horizontal="center" wrapText="1"/>
    </xf>
    <xf numFmtId="49" fontId="0" fillId="4" borderId="4" xfId="33" applyNumberFormat="1" applyFont="1" applyFill="1" applyBorder="1" applyAlignment="1">
      <alignment horizontal="center" wrapText="1"/>
    </xf>
    <xf numFmtId="4" fontId="7" fillId="3" borderId="5" xfId="0" applyNumberFormat="1" applyFont="1" applyFill="1" applyBorder="1" applyAlignment="1">
      <alignment horizontal="center"/>
    </xf>
    <xf numFmtId="4" fontId="0" fillId="19" borderId="5" xfId="0" applyNumberFormat="1" applyFill="1" applyBorder="1" applyAlignment="1">
      <alignment horizontal="center"/>
    </xf>
    <xf numFmtId="4" fontId="0" fillId="3" borderId="5" xfId="0" applyNumberFormat="1" applyFont="1" applyFill="1" applyBorder="1" applyAlignment="1">
      <alignment horizontal="center"/>
    </xf>
    <xf numFmtId="176" fontId="7" fillId="4" borderId="5" xfId="0" applyNumberFormat="1" applyFont="1" applyFill="1" applyBorder="1" applyAlignment="1">
      <alignment horizontal="center"/>
    </xf>
    <xf numFmtId="176" fontId="14" fillId="4" borderId="5" xfId="0" applyNumberFormat="1" applyFont="1" applyFill="1" applyBorder="1" applyAlignment="1">
      <alignment vertical="center"/>
    </xf>
    <xf numFmtId="176" fontId="14" fillId="4" borderId="5" xfId="33" applyNumberFormat="1" applyFont="1" applyFill="1" applyBorder="1" applyAlignment="1">
      <alignment horizontal="center" vertical="center" wrapText="1"/>
    </xf>
    <xf numFmtId="176" fontId="0" fillId="3" borderId="5" xfId="0" applyNumberFormat="1" applyFont="1" applyFill="1" applyBorder="1" applyAlignment="1">
      <alignment horizontal="center"/>
    </xf>
    <xf numFmtId="176" fontId="7" fillId="3" borderId="5" xfId="0" applyNumberFormat="1" applyFont="1" applyFill="1" applyBorder="1" applyAlignment="1">
      <alignment horizontal="center"/>
    </xf>
    <xf numFmtId="176" fontId="7" fillId="4" borderId="3" xfId="0" applyNumberFormat="1" applyFont="1" applyFill="1" applyBorder="1" applyAlignment="1">
      <alignment horizontal="center"/>
    </xf>
    <xf numFmtId="176" fontId="0" fillId="4" borderId="14" xfId="0" applyNumberFormat="1" applyFont="1" applyFill="1" applyBorder="1" applyAlignment="1">
      <alignment horizontal="right"/>
    </xf>
    <xf numFmtId="176" fontId="0" fillId="4" borderId="30" xfId="0" applyNumberFormat="1" applyFont="1" applyFill="1" applyBorder="1" applyAlignment="1">
      <alignment horizontal="right"/>
    </xf>
    <xf numFmtId="176" fontId="0" fillId="4" borderId="26" xfId="0" applyNumberFormat="1" applyFont="1" applyFill="1" applyBorder="1" applyAlignment="1">
      <alignment horizontal="right"/>
    </xf>
    <xf numFmtId="176" fontId="0" fillId="3" borderId="5" xfId="0" applyNumberFormat="1" applyFont="1" applyFill="1" applyBorder="1" applyAlignment="1">
      <alignment horizontal="right"/>
    </xf>
    <xf numFmtId="176" fontId="0" fillId="4" borderId="5" xfId="0" applyNumberFormat="1" applyFont="1" applyFill="1" applyBorder="1" applyAlignment="1">
      <alignment horizontal="center"/>
    </xf>
    <xf numFmtId="176" fontId="0" fillId="4" borderId="5" xfId="0" applyNumberFormat="1" applyFont="1" applyFill="1" applyBorder="1" applyAlignment="1">
      <alignment horizontal="right"/>
    </xf>
    <xf numFmtId="176" fontId="0" fillId="4" borderId="5" xfId="0" applyNumberFormat="1" applyFont="1" applyFill="1" applyBorder="1" applyAlignment="1">
      <alignment horizontal="left"/>
    </xf>
    <xf numFmtId="176" fontId="0" fillId="4" borderId="5" xfId="0" applyNumberFormat="1" applyFont="1" applyFill="1" applyBorder="1"/>
    <xf numFmtId="176" fontId="0" fillId="0" borderId="5" xfId="0" applyNumberFormat="1" applyFont="1" applyFill="1" applyBorder="1" applyAlignment="1">
      <alignment horizontal="right"/>
    </xf>
    <xf numFmtId="180" fontId="0" fillId="4" borderId="5" xfId="0" applyNumberFormat="1" applyFont="1" applyFill="1" applyBorder="1" applyAlignment="1">
      <alignment horizontal="right"/>
    </xf>
    <xf numFmtId="176" fontId="0" fillId="4" borderId="5" xfId="33" applyNumberFormat="1" applyFont="1" applyFill="1" applyBorder="1" applyAlignment="1">
      <alignment horizontal="left"/>
    </xf>
    <xf numFmtId="166" fontId="0" fillId="4" borderId="5" xfId="0" applyNumberFormat="1" applyFont="1" applyFill="1" applyBorder="1" applyAlignment="1">
      <alignment horizontal="center"/>
    </xf>
    <xf numFmtId="4" fontId="0" fillId="3" borderId="5" xfId="0" applyNumberFormat="1" applyFont="1" applyFill="1" applyBorder="1" applyAlignment="1">
      <alignment horizontal="right"/>
    </xf>
    <xf numFmtId="176" fontId="0" fillId="4" borderId="5" xfId="33" applyNumberFormat="1" applyFont="1" applyFill="1" applyBorder="1" applyAlignment="1">
      <alignment horizontal="center"/>
    </xf>
    <xf numFmtId="176" fontId="0" fillId="4" borderId="5" xfId="33" quotePrefix="1" applyNumberFormat="1" applyFont="1" applyFill="1" applyBorder="1" applyAlignment="1">
      <alignment horizontal="center"/>
    </xf>
    <xf numFmtId="176" fontId="0" fillId="4" borderId="5" xfId="0" applyNumberFormat="1" applyFont="1" applyFill="1" applyBorder="1" applyAlignment="1">
      <alignment horizontal="centerContinuous"/>
    </xf>
    <xf numFmtId="176" fontId="0" fillId="4" borderId="5" xfId="0" quotePrefix="1" applyNumberFormat="1" applyFont="1" applyFill="1" applyBorder="1" applyAlignment="1">
      <alignment horizontal="center"/>
    </xf>
    <xf numFmtId="165" fontId="0" fillId="4" borderId="5" xfId="0" applyNumberFormat="1" applyFont="1" applyFill="1" applyBorder="1" applyAlignment="1">
      <alignment horizontal="center"/>
    </xf>
    <xf numFmtId="49" fontId="0" fillId="4" borderId="26" xfId="33" applyNumberFormat="1" applyFont="1" applyFill="1" applyBorder="1" applyAlignment="1">
      <alignment horizontal="center" wrapText="1"/>
    </xf>
    <xf numFmtId="176" fontId="7" fillId="16" borderId="5" xfId="0" applyNumberFormat="1" applyFont="1" applyFill="1" applyBorder="1" applyAlignment="1">
      <alignment horizontal="center"/>
    </xf>
    <xf numFmtId="4" fontId="7" fillId="16" borderId="5" xfId="9" applyNumberFormat="1" applyFont="1" applyFill="1" applyBorder="1" applyAlignment="1">
      <alignment horizontal="center" vertical="center" wrapText="1"/>
    </xf>
    <xf numFmtId="4" fontId="0" fillId="0" borderId="0" xfId="9" applyNumberFormat="1" applyFont="1" applyFill="1" applyBorder="1" applyAlignment="1">
      <alignment vertical="center" wrapText="1"/>
    </xf>
    <xf numFmtId="0" fontId="30" fillId="0" borderId="0" xfId="0" applyFont="1"/>
    <xf numFmtId="49" fontId="7" fillId="21" borderId="5" xfId="9" applyNumberFormat="1" applyFont="1" applyFill="1" applyBorder="1" applyAlignment="1">
      <alignment horizontal="center" vertical="center"/>
    </xf>
    <xf numFmtId="49" fontId="7" fillId="21" borderId="5" xfId="9" applyNumberFormat="1" applyFont="1" applyFill="1" applyBorder="1" applyAlignment="1">
      <alignment horizontal="center" vertical="center"/>
    </xf>
    <xf numFmtId="1" fontId="7" fillId="21" borderId="5" xfId="9" applyNumberFormat="1" applyFont="1" applyFill="1" applyBorder="1" applyAlignment="1">
      <alignment horizontal="center" vertical="center" wrapText="1"/>
    </xf>
    <xf numFmtId="4" fontId="28" fillId="2" borderId="5" xfId="18" applyNumberFormat="1" applyFont="1" applyFill="1" applyBorder="1" applyAlignment="1">
      <alignment horizontal="center" vertical="center" wrapText="1"/>
    </xf>
    <xf numFmtId="4" fontId="28" fillId="2" borderId="5" xfId="18" applyNumberFormat="1" applyFont="1" applyFill="1" applyBorder="1" applyAlignment="1">
      <alignment horizontal="left" vertical="center" wrapText="1"/>
    </xf>
    <xf numFmtId="49" fontId="7" fillId="21" borderId="5" xfId="9" applyNumberFormat="1" applyFont="1" applyFill="1" applyBorder="1" applyAlignment="1">
      <alignment horizontal="center" vertical="center"/>
    </xf>
    <xf numFmtId="4" fontId="29" fillId="0" borderId="0" xfId="0" applyNumberFormat="1" applyFont="1"/>
    <xf numFmtId="10" fontId="17" fillId="0" borderId="5" xfId="19" applyNumberFormat="1" applyFont="1" applyFill="1" applyBorder="1" applyAlignment="1">
      <alignment horizontal="center" vertical="center"/>
    </xf>
    <xf numFmtId="1" fontId="7" fillId="16" borderId="5" xfId="9" applyNumberFormat="1" applyFont="1" applyFill="1" applyBorder="1" applyAlignment="1">
      <alignment horizontal="center" vertical="center" wrapText="1"/>
    </xf>
    <xf numFmtId="49" fontId="7" fillId="19" borderId="5" xfId="9" applyNumberFormat="1" applyFont="1" applyFill="1" applyBorder="1" applyAlignment="1">
      <alignment horizontal="center" vertical="center"/>
    </xf>
    <xf numFmtId="1" fontId="7" fillId="19" borderId="5" xfId="9" applyNumberFormat="1" applyFont="1" applyFill="1" applyBorder="1" applyAlignment="1">
      <alignment horizontal="center" vertical="center" wrapText="1"/>
    </xf>
    <xf numFmtId="49" fontId="7" fillId="19" borderId="14" xfId="9" applyNumberFormat="1" applyFont="1" applyFill="1" applyBorder="1" applyAlignment="1">
      <alignment horizontal="center" vertical="center"/>
    </xf>
    <xf numFmtId="0" fontId="7" fillId="19" borderId="5" xfId="31" applyFont="1" applyFill="1" applyBorder="1" applyAlignment="1">
      <alignment horizontal="center" vertical="center"/>
    </xf>
    <xf numFmtId="49" fontId="0" fillId="19" borderId="5" xfId="9" applyNumberFormat="1" applyFont="1" applyFill="1" applyBorder="1" applyAlignment="1">
      <alignment horizontal="center" vertical="center"/>
    </xf>
    <xf numFmtId="49" fontId="0" fillId="21" borderId="5" xfId="9" applyNumberFormat="1" applyFont="1" applyFill="1" applyBorder="1" applyAlignment="1">
      <alignment horizontal="center" vertical="center"/>
    </xf>
    <xf numFmtId="1" fontId="0" fillId="19" borderId="5" xfId="9" applyNumberFormat="1" applyFont="1" applyFill="1" applyBorder="1" applyAlignment="1">
      <alignment horizontal="center" vertical="center" wrapText="1"/>
    </xf>
    <xf numFmtId="1" fontId="0" fillId="16" borderId="5" xfId="9" applyNumberFormat="1" applyFont="1" applyFill="1" applyBorder="1" applyAlignment="1">
      <alignment horizontal="center" vertical="center" wrapText="1"/>
    </xf>
    <xf numFmtId="4" fontId="0" fillId="16" borderId="5" xfId="9" applyNumberFormat="1" applyFont="1" applyFill="1" applyBorder="1" applyAlignment="1">
      <alignment horizontal="center" vertical="center" wrapText="1"/>
    </xf>
    <xf numFmtId="0" fontId="0" fillId="19" borderId="5" xfId="31" applyFont="1" applyFill="1" applyBorder="1" applyAlignment="1">
      <alignment horizontal="center" vertical="center"/>
    </xf>
    <xf numFmtId="4" fontId="34" fillId="0" borderId="0" xfId="0" applyNumberFormat="1" applyFont="1" applyAlignment="1">
      <alignment vertical="center"/>
    </xf>
    <xf numFmtId="4" fontId="34" fillId="2" borderId="86" xfId="18" applyNumberFormat="1" applyFont="1" applyFill="1" applyBorder="1" applyAlignment="1">
      <alignment horizontal="left" vertical="center"/>
    </xf>
    <xf numFmtId="4" fontId="34" fillId="2" borderId="87" xfId="18" applyNumberFormat="1" applyFont="1" applyFill="1" applyBorder="1" applyAlignment="1">
      <alignment horizontal="center" vertical="center"/>
    </xf>
    <xf numFmtId="4" fontId="34" fillId="2" borderId="83" xfId="18" applyNumberFormat="1" applyFont="1" applyFill="1" applyBorder="1" applyAlignment="1">
      <alignment horizontal="center" vertical="center" wrapText="1"/>
    </xf>
    <xf numFmtId="4" fontId="34" fillId="2" borderId="18" xfId="18" applyNumberFormat="1" applyFont="1" applyFill="1" applyBorder="1" applyAlignment="1">
      <alignment horizontal="center" vertical="center" wrapText="1"/>
    </xf>
    <xf numFmtId="4" fontId="34" fillId="2" borderId="88" xfId="18" applyNumberFormat="1" applyFont="1" applyFill="1" applyBorder="1" applyAlignment="1">
      <alignment horizontal="center" vertical="center" wrapText="1"/>
    </xf>
    <xf numFmtId="4" fontId="34" fillId="0" borderId="0" xfId="0" applyNumberFormat="1" applyFont="1"/>
    <xf numFmtId="4" fontId="34" fillId="0" borderId="85" xfId="18" applyNumberFormat="1" applyFont="1" applyBorder="1" applyAlignment="1">
      <alignment horizontal="left" vertical="center"/>
    </xf>
    <xf numFmtId="4" fontId="34" fillId="2" borderId="2" xfId="18" applyNumberFormat="1" applyFont="1" applyFill="1" applyBorder="1" applyAlignment="1">
      <alignment horizontal="center" vertical="center"/>
    </xf>
    <xf numFmtId="4" fontId="34" fillId="2" borderId="18" xfId="18" applyNumberFormat="1" applyFont="1" applyFill="1" applyBorder="1" applyAlignment="1">
      <alignment horizontal="center" vertical="center"/>
    </xf>
    <xf numFmtId="4" fontId="34" fillId="2" borderId="18" xfId="18" applyNumberFormat="1" applyFont="1" applyFill="1" applyBorder="1" applyAlignment="1">
      <alignment horizontal="center"/>
    </xf>
    <xf numFmtId="4" fontId="34" fillId="2" borderId="18" xfId="18" applyNumberFormat="1" applyFont="1" applyFill="1" applyBorder="1" applyAlignment="1">
      <alignment horizontal="right"/>
    </xf>
    <xf numFmtId="4" fontId="34" fillId="2" borderId="88" xfId="18" applyNumberFormat="1" applyFont="1" applyFill="1" applyBorder="1" applyAlignment="1">
      <alignment horizontal="center"/>
    </xf>
    <xf numFmtId="4" fontId="34" fillId="2" borderId="85" xfId="18" applyNumberFormat="1" applyFont="1" applyFill="1" applyBorder="1" applyAlignment="1">
      <alignment horizontal="center" vertical="center"/>
    </xf>
    <xf numFmtId="4" fontId="34" fillId="2" borderId="88" xfId="18" applyNumberFormat="1" applyFont="1" applyFill="1" applyBorder="1" applyAlignment="1">
      <alignment horizontal="center" vertical="center"/>
    </xf>
    <xf numFmtId="4" fontId="34" fillId="2" borderId="90" xfId="18" applyNumberFormat="1" applyFont="1" applyFill="1" applyBorder="1" applyAlignment="1">
      <alignment horizontal="right" vertical="center"/>
    </xf>
    <xf numFmtId="4" fontId="34" fillId="2" borderId="22" xfId="18" applyNumberFormat="1" applyFont="1" applyFill="1" applyBorder="1" applyAlignment="1">
      <alignment horizontal="center" vertical="center"/>
    </xf>
    <xf numFmtId="4" fontId="34" fillId="2" borderId="83" xfId="18" applyNumberFormat="1" applyFont="1" applyFill="1" applyBorder="1" applyAlignment="1">
      <alignment horizontal="right" vertical="center"/>
    </xf>
    <xf numFmtId="4" fontId="34" fillId="2" borderId="5" xfId="18" applyNumberFormat="1" applyFont="1" applyFill="1" applyBorder="1" applyAlignment="1">
      <alignment horizontal="center" vertical="center"/>
    </xf>
    <xf numFmtId="4" fontId="34" fillId="2" borderId="61" xfId="18" applyNumberFormat="1" applyFont="1" applyFill="1" applyBorder="1" applyAlignment="1">
      <alignment horizontal="left" vertical="center"/>
    </xf>
    <xf numFmtId="4" fontId="34" fillId="2" borderId="61" xfId="18" applyNumberFormat="1" applyFont="1" applyFill="1" applyBorder="1" applyAlignment="1">
      <alignment vertical="center"/>
    </xf>
    <xf numFmtId="4" fontId="34" fillId="2" borderId="28" xfId="18" applyNumberFormat="1" applyFont="1" applyFill="1" applyBorder="1" applyAlignment="1">
      <alignment vertical="center"/>
    </xf>
    <xf numFmtId="4" fontId="34" fillId="0" borderId="18" xfId="18" applyNumberFormat="1" applyFont="1" applyFill="1" applyBorder="1" applyAlignment="1">
      <alignment horizontal="right" vertical="center"/>
    </xf>
    <xf numFmtId="4" fontId="35" fillId="0" borderId="0" xfId="0" applyNumberFormat="1" applyFont="1"/>
    <xf numFmtId="4" fontId="34" fillId="2" borderId="97" xfId="18" applyNumberFormat="1" applyFont="1" applyFill="1" applyBorder="1" applyAlignment="1">
      <alignment horizontal="center" vertical="center"/>
    </xf>
    <xf numFmtId="4" fontId="34" fillId="2" borderId="18" xfId="5" applyNumberFormat="1" applyFont="1" applyFill="1" applyBorder="1" applyAlignment="1">
      <alignment horizontal="center" vertical="center"/>
    </xf>
    <xf numFmtId="4" fontId="34" fillId="2" borderId="2" xfId="18" applyNumberFormat="1" applyFont="1" applyFill="1" applyBorder="1" applyAlignment="1">
      <alignment horizontal="center"/>
    </xf>
    <xf numFmtId="4" fontId="34" fillId="2" borderId="2" xfId="5" applyNumberFormat="1" applyFont="1" applyFill="1" applyBorder="1" applyAlignment="1">
      <alignment horizontal="center"/>
    </xf>
    <xf numFmtId="4" fontId="34" fillId="0" borderId="0" xfId="0" applyNumberFormat="1" applyFont="1" applyAlignment="1">
      <alignment horizontal="center"/>
    </xf>
    <xf numFmtId="4" fontId="34" fillId="0" borderId="2" xfId="18" applyNumberFormat="1" applyFont="1" applyFill="1" applyBorder="1" applyAlignment="1">
      <alignment horizontal="center" vertical="center"/>
    </xf>
    <xf numFmtId="4" fontId="34" fillId="0" borderId="2" xfId="5" applyNumberFormat="1" applyFont="1" applyFill="1" applyBorder="1" applyAlignment="1">
      <alignment horizontal="center" vertical="center"/>
    </xf>
    <xf numFmtId="4" fontId="34" fillId="2" borderId="22" xfId="5" applyNumberFormat="1" applyFont="1" applyFill="1" applyBorder="1" applyAlignment="1">
      <alignment horizontal="center"/>
    </xf>
    <xf numFmtId="4" fontId="34" fillId="2" borderId="18" xfId="5" applyNumberFormat="1" applyFont="1" applyFill="1" applyBorder="1" applyAlignment="1">
      <alignment horizontal="center" vertical="center" wrapText="1"/>
    </xf>
    <xf numFmtId="4" fontId="34" fillId="0" borderId="0" xfId="0" applyNumberFormat="1" applyFont="1" applyAlignment="1">
      <alignment wrapText="1"/>
    </xf>
    <xf numFmtId="4" fontId="34" fillId="0" borderId="85" xfId="18" applyNumberFormat="1" applyFont="1" applyFill="1" applyBorder="1" applyAlignment="1">
      <alignment horizontal="left" vertical="center" wrapText="1"/>
    </xf>
    <xf numFmtId="4" fontId="34" fillId="2" borderId="98" xfId="18" applyNumberFormat="1" applyFont="1" applyFill="1" applyBorder="1" applyAlignment="1">
      <alignment horizontal="center" vertical="center"/>
    </xf>
    <xf numFmtId="4" fontId="34" fillId="2" borderId="22" xfId="5" applyNumberFormat="1" applyFont="1" applyFill="1" applyBorder="1" applyAlignment="1">
      <alignment horizontal="center" vertical="center"/>
    </xf>
    <xf numFmtId="4" fontId="34" fillId="0" borderId="85" xfId="18" applyNumberFormat="1" applyFont="1" applyBorder="1" applyAlignment="1">
      <alignment horizontal="left" vertical="center" wrapText="1"/>
    </xf>
    <xf numFmtId="4" fontId="34" fillId="2" borderId="22" xfId="18" applyNumberFormat="1" applyFont="1" applyFill="1" applyBorder="1" applyAlignment="1">
      <alignment horizontal="center"/>
    </xf>
    <xf numFmtId="4" fontId="34" fillId="0" borderId="5" xfId="18" applyNumberFormat="1" applyFont="1" applyFill="1" applyBorder="1" applyAlignment="1">
      <alignment horizontal="justify" vertical="center" wrapText="1"/>
    </xf>
    <xf numFmtId="4" fontId="34" fillId="0" borderId="5" xfId="5" applyNumberFormat="1" applyFont="1" applyFill="1" applyBorder="1" applyAlignment="1">
      <alignment horizontal="center" vertical="center"/>
    </xf>
    <xf numFmtId="4" fontId="34" fillId="0" borderId="85" xfId="18" applyNumberFormat="1" applyFont="1" applyBorder="1" applyAlignment="1">
      <alignment horizontal="justify" vertical="center" wrapText="1"/>
    </xf>
    <xf numFmtId="4" fontId="34" fillId="2" borderId="22" xfId="18" applyNumberFormat="1" applyFont="1" applyFill="1" applyBorder="1" applyAlignment="1">
      <alignment horizontal="right" vertical="center"/>
    </xf>
    <xf numFmtId="4" fontId="34" fillId="2" borderId="5" xfId="5" applyNumberFormat="1" applyFont="1" applyFill="1" applyBorder="1" applyAlignment="1">
      <alignment horizontal="center" vertical="center"/>
    </xf>
    <xf numFmtId="3" fontId="34" fillId="0" borderId="0" xfId="0" applyNumberFormat="1" applyFont="1"/>
    <xf numFmtId="4" fontId="34" fillId="2" borderId="21" xfId="18" applyNumberFormat="1" applyFont="1" applyFill="1" applyBorder="1" applyAlignment="1">
      <alignment horizontal="center"/>
    </xf>
    <xf numFmtId="4" fontId="34" fillId="2" borderId="4" xfId="18" applyNumberFormat="1" applyFont="1" applyFill="1" applyBorder="1" applyAlignment="1">
      <alignment horizontal="center" vertical="center"/>
    </xf>
    <xf numFmtId="4" fontId="34" fillId="2" borderId="5" xfId="5" applyNumberFormat="1" applyFont="1" applyFill="1" applyBorder="1" applyAlignment="1">
      <alignment horizontal="center"/>
    </xf>
    <xf numFmtId="4" fontId="34" fillId="2" borderId="3" xfId="18" applyNumberFormat="1" applyFont="1" applyFill="1" applyBorder="1" applyAlignment="1">
      <alignment horizontal="center"/>
    </xf>
    <xf numFmtId="4" fontId="34" fillId="2" borderId="63" xfId="18" applyNumberFormat="1" applyFont="1" applyFill="1" applyBorder="1" applyAlignment="1">
      <alignment horizontal="center"/>
    </xf>
    <xf numFmtId="3" fontId="34" fillId="0" borderId="18" xfId="0" applyNumberFormat="1" applyFont="1" applyFill="1" applyBorder="1" applyAlignment="1">
      <alignment horizontal="center" vertical="center"/>
    </xf>
    <xf numFmtId="4" fontId="34" fillId="0" borderId="21" xfId="0" applyNumberFormat="1" applyFont="1" applyFill="1" applyBorder="1" applyAlignment="1">
      <alignment horizontal="center" vertical="center"/>
    </xf>
    <xf numFmtId="3" fontId="34" fillId="0" borderId="19" xfId="0" applyNumberFormat="1" applyFont="1" applyFill="1" applyBorder="1" applyAlignment="1">
      <alignment horizontal="center" vertical="center"/>
    </xf>
    <xf numFmtId="0" fontId="34" fillId="0" borderId="0" xfId="0" applyFont="1"/>
    <xf numFmtId="3" fontId="34" fillId="0" borderId="0" xfId="0" applyNumberFormat="1" applyFont="1" applyFill="1" applyAlignment="1">
      <alignment horizontal="center"/>
    </xf>
    <xf numFmtId="3" fontId="34" fillId="0" borderId="0" xfId="0" applyNumberFormat="1" applyFont="1" applyAlignment="1">
      <alignment horizontal="justify"/>
    </xf>
    <xf numFmtId="3" fontId="34" fillId="0" borderId="0" xfId="0" applyNumberFormat="1" applyFont="1" applyAlignment="1">
      <alignment horizontal="center"/>
    </xf>
    <xf numFmtId="2" fontId="34" fillId="0" borderId="0" xfId="0" applyNumberFormat="1" applyFont="1" applyFill="1" applyAlignment="1">
      <alignment horizontal="center"/>
    </xf>
    <xf numFmtId="0" fontId="36" fillId="2" borderId="0" xfId="0" applyFont="1" applyFill="1"/>
    <xf numFmtId="0" fontId="36" fillId="2" borderId="0" xfId="0" applyFont="1" applyFill="1" applyAlignment="1">
      <alignment vertical="center"/>
    </xf>
    <xf numFmtId="0" fontId="36" fillId="0" borderId="0" xfId="0" applyFont="1" applyFill="1" applyBorder="1"/>
    <xf numFmtId="0" fontId="36" fillId="0" borderId="0" xfId="0" applyFont="1" applyFill="1" applyBorder="1" applyAlignment="1">
      <alignment vertical="center"/>
    </xf>
    <xf numFmtId="4" fontId="34" fillId="6" borderId="86" xfId="0" applyNumberFormat="1" applyFont="1" applyFill="1" applyBorder="1" applyAlignment="1">
      <alignment horizontal="center"/>
    </xf>
    <xf numFmtId="4" fontId="50" fillId="6" borderId="29" xfId="0" applyNumberFormat="1" applyFont="1" applyFill="1" applyBorder="1" applyAlignment="1">
      <alignment horizontal="justify" vertical="center"/>
    </xf>
    <xf numFmtId="3" fontId="34" fillId="0" borderId="0" xfId="0" applyNumberFormat="1" applyFont="1" applyBorder="1"/>
    <xf numFmtId="3" fontId="34" fillId="2" borderId="0" xfId="0" applyNumberFormat="1" applyFont="1" applyFill="1" applyAlignment="1">
      <alignment horizontal="justify"/>
    </xf>
    <xf numFmtId="3" fontId="34" fillId="2" borderId="0" xfId="0" applyNumberFormat="1" applyFont="1" applyFill="1" applyAlignment="1">
      <alignment horizontal="center"/>
    </xf>
    <xf numFmtId="3" fontId="51" fillId="6" borderId="5" xfId="0" applyNumberFormat="1" applyFont="1" applyFill="1" applyBorder="1" applyAlignment="1">
      <alignment horizontal="center"/>
    </xf>
    <xf numFmtId="3" fontId="51" fillId="6" borderId="119" xfId="0" applyNumberFormat="1" applyFont="1" applyFill="1" applyBorder="1" applyAlignment="1">
      <alignment horizontal="justify"/>
    </xf>
    <xf numFmtId="3" fontId="51" fillId="6" borderId="120" xfId="0" applyNumberFormat="1" applyFont="1" applyFill="1" applyBorder="1" applyAlignment="1">
      <alignment horizontal="center"/>
    </xf>
    <xf numFmtId="2" fontId="51" fillId="6" borderId="120" xfId="0" applyNumberFormat="1" applyFont="1" applyFill="1" applyBorder="1" applyAlignment="1">
      <alignment horizontal="center"/>
    </xf>
    <xf numFmtId="3" fontId="51" fillId="6" borderId="121" xfId="0" applyNumberFormat="1" applyFont="1" applyFill="1" applyBorder="1" applyAlignment="1">
      <alignment horizontal="center"/>
    </xf>
    <xf numFmtId="0" fontId="34" fillId="0" borderId="5" xfId="0" applyFont="1" applyBorder="1" applyAlignment="1">
      <alignment horizontal="center" vertical="center"/>
    </xf>
    <xf numFmtId="3" fontId="34" fillId="0" borderId="5" xfId="0" applyNumberFormat="1" applyFont="1" applyFill="1" applyBorder="1" applyAlignment="1">
      <alignment horizontal="justify" vertical="center" wrapText="1"/>
    </xf>
    <xf numFmtId="3" fontId="34" fillId="0" borderId="5" xfId="0" applyNumberFormat="1" applyFont="1" applyFill="1" applyBorder="1" applyAlignment="1">
      <alignment horizontal="center" vertical="center"/>
    </xf>
    <xf numFmtId="2" fontId="34" fillId="0" borderId="5" xfId="0" applyNumberFormat="1" applyFont="1" applyFill="1" applyBorder="1" applyAlignment="1" applyProtection="1">
      <alignment horizontal="center" vertical="center"/>
      <protection locked="0"/>
    </xf>
    <xf numFmtId="177" fontId="34" fillId="0" borderId="5" xfId="0" applyNumberFormat="1" applyFont="1" applyFill="1" applyBorder="1" applyAlignment="1">
      <alignment horizontal="center" vertical="center"/>
    </xf>
    <xf numFmtId="0" fontId="34" fillId="0" borderId="0" xfId="0" applyFont="1" applyAlignment="1">
      <alignment vertical="center"/>
    </xf>
    <xf numFmtId="3" fontId="34" fillId="0" borderId="5" xfId="0" applyNumberFormat="1" applyFont="1" applyFill="1" applyBorder="1" applyAlignment="1">
      <alignment horizontal="justify" vertical="center"/>
    </xf>
    <xf numFmtId="0" fontId="34" fillId="0" borderId="0" xfId="0" applyFont="1" applyFill="1" applyAlignment="1">
      <alignment vertical="center"/>
    </xf>
    <xf numFmtId="0" fontId="34" fillId="0" borderId="5" xfId="0" applyFont="1" applyFill="1" applyBorder="1" applyAlignment="1">
      <alignment horizontal="center" vertical="center"/>
    </xf>
    <xf numFmtId="4" fontId="34" fillId="0" borderId="5" xfId="18" applyNumberFormat="1" applyFont="1" applyFill="1" applyBorder="1" applyAlignment="1">
      <alignment horizontal="justify" vertical="center"/>
    </xf>
    <xf numFmtId="0" fontId="34" fillId="0" borderId="5" xfId="0" applyFont="1" applyFill="1" applyBorder="1" applyAlignment="1">
      <alignment horizontal="justify" vertical="center"/>
    </xf>
    <xf numFmtId="4" fontId="33" fillId="0" borderId="5" xfId="18" applyNumberFormat="1" applyFont="1" applyFill="1" applyBorder="1" applyAlignment="1">
      <alignment horizontal="justify" vertical="center"/>
    </xf>
    <xf numFmtId="1" fontId="34" fillId="16" borderId="5" xfId="0" applyNumberFormat="1" applyFont="1" applyFill="1" applyBorder="1" applyAlignment="1">
      <alignment horizontal="center" vertical="center"/>
    </xf>
    <xf numFmtId="3" fontId="34" fillId="16" borderId="5" xfId="0" applyNumberFormat="1" applyFont="1" applyFill="1" applyBorder="1" applyAlignment="1">
      <alignment horizontal="justify" vertical="center"/>
    </xf>
    <xf numFmtId="3" fontId="34" fillId="16" borderId="5" xfId="0" applyNumberFormat="1" applyFont="1" applyFill="1" applyBorder="1" applyAlignment="1">
      <alignment horizontal="center" vertical="center"/>
    </xf>
    <xf numFmtId="0" fontId="34" fillId="41" borderId="0" xfId="0" applyFont="1" applyFill="1" applyAlignment="1">
      <alignment vertical="center"/>
    </xf>
    <xf numFmtId="0" fontId="34" fillId="16" borderId="5" xfId="0" applyFont="1" applyFill="1" applyBorder="1" applyAlignment="1">
      <alignment horizontal="center" vertical="center"/>
    </xf>
    <xf numFmtId="0" fontId="52" fillId="0" borderId="0" xfId="0" applyFont="1" applyAlignment="1">
      <alignment vertical="center"/>
    </xf>
    <xf numFmtId="4" fontId="34" fillId="16" borderId="5" xfId="18" applyNumberFormat="1" applyFont="1" applyFill="1" applyBorder="1" applyAlignment="1">
      <alignment horizontal="justify" vertical="center" wrapText="1"/>
    </xf>
    <xf numFmtId="0" fontId="34" fillId="0" borderId="5" xfId="0" applyFont="1" applyBorder="1" applyAlignment="1">
      <alignment horizontal="justify" vertical="center"/>
    </xf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justify"/>
    </xf>
    <xf numFmtId="49" fontId="0" fillId="21" borderId="14" xfId="9" applyNumberFormat="1" applyFont="1" applyFill="1" applyBorder="1" applyAlignment="1">
      <alignment horizontal="center" vertical="center"/>
    </xf>
    <xf numFmtId="0" fontId="0" fillId="0" borderId="38" xfId="9" applyFont="1" applyBorder="1"/>
    <xf numFmtId="4" fontId="7" fillId="0" borderId="5" xfId="9" applyNumberFormat="1" applyFont="1" applyFill="1" applyBorder="1" applyAlignment="1">
      <alignment horizontal="center" vertical="center" wrapText="1"/>
    </xf>
    <xf numFmtId="4" fontId="29" fillId="0" borderId="5" xfId="18" applyNumberFormat="1" applyFont="1" applyFill="1" applyBorder="1" applyAlignment="1">
      <alignment horizontal="center" vertical="center"/>
    </xf>
    <xf numFmtId="189" fontId="0" fillId="0" borderId="0" xfId="0" applyNumberFormat="1"/>
    <xf numFmtId="0" fontId="0" fillId="0" borderId="99" xfId="0" applyBorder="1" applyAlignment="1">
      <alignment horizontal="center"/>
    </xf>
    <xf numFmtId="0" fontId="4" fillId="0" borderId="38" xfId="0" applyFont="1" applyBorder="1"/>
    <xf numFmtId="172" fontId="7" fillId="0" borderId="22" xfId="33" applyFill="1" applyBorder="1" applyAlignment="1" applyProtection="1"/>
    <xf numFmtId="172" fontId="7" fillId="0" borderId="38" xfId="33" applyFill="1" applyBorder="1" applyAlignment="1" applyProtection="1"/>
    <xf numFmtId="190" fontId="0" fillId="0" borderId="0" xfId="0" applyNumberFormat="1"/>
    <xf numFmtId="0" fontId="0" fillId="0" borderId="38" xfId="0" applyFont="1" applyBorder="1"/>
    <xf numFmtId="172" fontId="0" fillId="0" borderId="38" xfId="33" applyFont="1" applyFill="1" applyBorder="1" applyAlignment="1" applyProtection="1"/>
    <xf numFmtId="9" fontId="7" fillId="0" borderId="38" xfId="33" applyNumberFormat="1" applyFill="1" applyBorder="1" applyAlignment="1" applyProtection="1"/>
    <xf numFmtId="171" fontId="0" fillId="0" borderId="0" xfId="0" applyNumberFormat="1"/>
    <xf numFmtId="172" fontId="0" fillId="0" borderId="38" xfId="0" applyNumberFormat="1" applyBorder="1"/>
    <xf numFmtId="0" fontId="0" fillId="0" borderId="38" xfId="0" applyBorder="1"/>
    <xf numFmtId="191" fontId="0" fillId="0" borderId="0" xfId="33" applyNumberFormat="1" applyFont="1" applyFill="1" applyBorder="1" applyAlignment="1" applyProtection="1"/>
    <xf numFmtId="172" fontId="4" fillId="0" borderId="38" xfId="33" applyFont="1" applyFill="1" applyBorder="1" applyAlignment="1" applyProtection="1"/>
    <xf numFmtId="172" fontId="0" fillId="0" borderId="0" xfId="0" applyNumberFormat="1" applyFont="1"/>
    <xf numFmtId="0" fontId="0" fillId="0" borderId="38" xfId="0" applyFont="1" applyBorder="1" applyAlignment="1">
      <alignment horizontal="center"/>
    </xf>
    <xf numFmtId="0" fontId="4" fillId="0" borderId="0" xfId="0" applyFont="1" applyBorder="1"/>
    <xf numFmtId="172" fontId="0" fillId="0" borderId="38" xfId="0" applyNumberFormat="1" applyFont="1" applyBorder="1"/>
    <xf numFmtId="0" fontId="0" fillId="0" borderId="0" xfId="0" applyBorder="1"/>
    <xf numFmtId="0" fontId="0" fillId="0" borderId="49" xfId="0" applyFont="1" applyBorder="1" applyAlignment="1">
      <alignment horizontal="center"/>
    </xf>
    <xf numFmtId="0" fontId="0" fillId="0" borderId="29" xfId="0" applyFont="1" applyBorder="1"/>
    <xf numFmtId="172" fontId="0" fillId="0" borderId="122" xfId="0" applyNumberFormat="1" applyFont="1" applyBorder="1"/>
    <xf numFmtId="4" fontId="7" fillId="0" borderId="0" xfId="9" applyNumberFormat="1" applyFont="1" applyFill="1" applyBorder="1" applyAlignment="1">
      <alignment vertical="center"/>
    </xf>
    <xf numFmtId="2" fontId="7" fillId="0" borderId="38" xfId="9" applyNumberFormat="1" applyFont="1" applyFill="1" applyBorder="1" applyAlignment="1">
      <alignment horizontal="center" vertical="center"/>
    </xf>
    <xf numFmtId="2" fontId="4" fillId="0" borderId="38" xfId="9" applyNumberFormat="1" applyFont="1" applyFill="1" applyBorder="1" applyAlignment="1">
      <alignment horizontal="center" vertical="center"/>
    </xf>
    <xf numFmtId="170" fontId="7" fillId="0" borderId="43" xfId="7" applyBorder="1" applyAlignment="1">
      <alignment horizontal="center" vertical="center"/>
    </xf>
    <xf numFmtId="0" fontId="0" fillId="8" borderId="44" xfId="0" applyFont="1" applyFill="1" applyBorder="1" applyAlignment="1">
      <alignment horizontal="center"/>
    </xf>
    <xf numFmtId="0" fontId="4" fillId="8" borderId="44" xfId="0" applyFont="1" applyFill="1" applyBorder="1" applyAlignment="1">
      <alignment horizontal="center"/>
    </xf>
    <xf numFmtId="0" fontId="4" fillId="8" borderId="17" xfId="0" applyFont="1" applyFill="1" applyBorder="1" applyAlignment="1">
      <alignment horizontal="center"/>
    </xf>
    <xf numFmtId="0" fontId="4" fillId="8" borderId="12" xfId="0" applyFont="1" applyFill="1" applyBorder="1" applyAlignment="1">
      <alignment horizontal="center"/>
    </xf>
    <xf numFmtId="0" fontId="4" fillId="8" borderId="11" xfId="0" applyFont="1" applyFill="1" applyBorder="1" applyAlignment="1">
      <alignment horizontal="center"/>
    </xf>
    <xf numFmtId="0" fontId="4" fillId="0" borderId="45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4" fillId="0" borderId="40" xfId="0" applyFont="1" applyFill="1" applyBorder="1" applyAlignment="1">
      <alignment horizontal="center"/>
    </xf>
    <xf numFmtId="0" fontId="4" fillId="0" borderId="4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45" xfId="0" applyFont="1" applyBorder="1" applyAlignment="1">
      <alignment horizontal="center"/>
    </xf>
    <xf numFmtId="0" fontId="4" fillId="0" borderId="40" xfId="0" applyFont="1" applyBorder="1"/>
    <xf numFmtId="2" fontId="4" fillId="0" borderId="40" xfId="0" applyNumberFormat="1" applyFont="1" applyBorder="1" applyAlignment="1">
      <alignment horizontal="center" vertical="center"/>
    </xf>
    <xf numFmtId="0" fontId="0" fillId="0" borderId="45" xfId="0" applyFont="1" applyBorder="1" applyAlignment="1">
      <alignment horizontal="center"/>
    </xf>
    <xf numFmtId="0" fontId="0" fillId="0" borderId="40" xfId="0" applyFont="1" applyBorder="1"/>
    <xf numFmtId="2" fontId="0" fillId="0" borderId="40" xfId="0" applyNumberFormat="1" applyFont="1" applyBorder="1" applyAlignment="1">
      <alignment horizontal="center" vertical="center"/>
    </xf>
    <xf numFmtId="4" fontId="0" fillId="0" borderId="40" xfId="0" applyNumberFormat="1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4" fontId="4" fillId="0" borderId="40" xfId="0" applyNumberFormat="1" applyFont="1" applyBorder="1" applyAlignment="1">
      <alignment horizontal="center" vertical="center"/>
    </xf>
    <xf numFmtId="0" fontId="0" fillId="0" borderId="40" xfId="0" applyFont="1" applyBorder="1" applyAlignment="1">
      <alignment horizontal="left"/>
    </xf>
    <xf numFmtId="4" fontId="0" fillId="0" borderId="40" xfId="9" applyNumberFormat="1" applyFont="1" applyBorder="1" applyAlignment="1">
      <alignment horizontal="center" vertical="center"/>
    </xf>
    <xf numFmtId="4" fontId="0" fillId="0" borderId="9" xfId="9" applyNumberFormat="1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4" fontId="0" fillId="0" borderId="39" xfId="9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2" fontId="4" fillId="0" borderId="43" xfId="0" applyNumberFormat="1" applyFont="1" applyBorder="1" applyAlignment="1">
      <alignment horizontal="center" vertical="center"/>
    </xf>
    <xf numFmtId="2" fontId="4" fillId="0" borderId="46" xfId="0" applyNumberFormat="1" applyFont="1" applyBorder="1" applyAlignment="1">
      <alignment vertical="center"/>
    </xf>
    <xf numFmtId="0" fontId="0" fillId="0" borderId="25" xfId="0" applyFont="1" applyBorder="1"/>
    <xf numFmtId="0" fontId="0" fillId="0" borderId="16" xfId="0" applyFont="1" applyBorder="1"/>
    <xf numFmtId="0" fontId="5" fillId="0" borderId="8" xfId="0" applyFont="1" applyBorder="1"/>
    <xf numFmtId="0" fontId="6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9" xfId="0" applyFont="1" applyBorder="1"/>
    <xf numFmtId="2" fontId="5" fillId="0" borderId="0" xfId="0" applyNumberFormat="1" applyFont="1" applyBorder="1"/>
    <xf numFmtId="39" fontId="7" fillId="0" borderId="43" xfId="33" applyNumberFormat="1" applyFont="1" applyBorder="1" applyAlignment="1">
      <alignment horizontal="right"/>
    </xf>
    <xf numFmtId="4" fontId="28" fillId="0" borderId="5" xfId="5" applyNumberFormat="1" applyFont="1" applyFill="1" applyBorder="1" applyAlignment="1">
      <alignment horizontal="center" vertical="center"/>
    </xf>
    <xf numFmtId="0" fontId="28" fillId="0" borderId="5" xfId="0" applyFont="1" applyFill="1" applyBorder="1"/>
    <xf numFmtId="4" fontId="29" fillId="0" borderId="14" xfId="18" applyNumberFormat="1" applyFont="1" applyFill="1" applyBorder="1" applyAlignment="1">
      <alignment vertical="center"/>
    </xf>
    <xf numFmtId="4" fontId="29" fillId="0" borderId="30" xfId="18" applyNumberFormat="1" applyFont="1" applyFill="1" applyBorder="1" applyAlignment="1">
      <alignment vertical="center"/>
    </xf>
    <xf numFmtId="4" fontId="29" fillId="0" borderId="5" xfId="18" applyNumberFormat="1" applyFont="1" applyFill="1" applyBorder="1" applyAlignment="1">
      <alignment horizontal="center" vertical="center"/>
    </xf>
    <xf numFmtId="4" fontId="5" fillId="0" borderId="5" xfId="9" applyNumberFormat="1" applyFont="1" applyFill="1" applyBorder="1" applyAlignment="1">
      <alignment horizontal="right" vertical="center" wrapText="1"/>
    </xf>
    <xf numFmtId="4" fontId="7" fillId="0" borderId="5" xfId="9" applyNumberFormat="1" applyFont="1" applyFill="1" applyBorder="1" applyAlignment="1">
      <alignment horizontal="right" vertical="center" wrapText="1"/>
    </xf>
    <xf numFmtId="4" fontId="4" fillId="0" borderId="5" xfId="9" applyNumberFormat="1" applyFont="1" applyFill="1" applyBorder="1" applyAlignment="1">
      <alignment horizontal="right" vertical="center" wrapText="1"/>
    </xf>
    <xf numFmtId="4" fontId="28" fillId="0" borderId="5" xfId="18" applyNumberFormat="1" applyFont="1" applyFill="1" applyBorder="1" applyAlignment="1">
      <alignment horizontal="center" vertical="center" wrapText="1"/>
    </xf>
    <xf numFmtId="4" fontId="28" fillId="0" borderId="21" xfId="18" applyNumberFormat="1" applyFont="1" applyFill="1" applyBorder="1" applyAlignment="1">
      <alignment horizontal="center" vertical="center"/>
    </xf>
    <xf numFmtId="173" fontId="28" fillId="0" borderId="2" xfId="18" applyNumberFormat="1" applyFont="1" applyFill="1" applyBorder="1" applyAlignment="1">
      <alignment horizontal="center" vertical="center" wrapText="1"/>
    </xf>
    <xf numFmtId="2" fontId="28" fillId="0" borderId="18" xfId="0" applyNumberFormat="1" applyFont="1" applyFill="1" applyBorder="1" applyAlignment="1">
      <alignment horizontal="center" vertical="center"/>
    </xf>
    <xf numFmtId="4" fontId="34" fillId="0" borderId="18" xfId="18" applyNumberFormat="1" applyFont="1" applyFill="1" applyBorder="1" applyAlignment="1">
      <alignment horizontal="center" vertical="center"/>
    </xf>
    <xf numFmtId="4" fontId="34" fillId="0" borderId="88" xfId="18" applyNumberFormat="1" applyFont="1" applyFill="1" applyBorder="1" applyAlignment="1">
      <alignment horizontal="center" vertical="center"/>
    </xf>
    <xf numFmtId="4" fontId="34" fillId="0" borderId="89" xfId="18" applyNumberFormat="1" applyFont="1" applyFill="1" applyBorder="1" applyAlignment="1">
      <alignment horizontal="center" vertical="center"/>
    </xf>
    <xf numFmtId="4" fontId="34" fillId="0" borderId="106" xfId="0" applyNumberFormat="1" applyFont="1" applyFill="1" applyBorder="1" applyAlignment="1">
      <alignment horizontal="center" vertical="center"/>
    </xf>
    <xf numFmtId="4" fontId="34" fillId="0" borderId="18" xfId="5" applyNumberFormat="1" applyFont="1" applyFill="1" applyBorder="1" applyAlignment="1">
      <alignment horizontal="center" vertical="center"/>
    </xf>
    <xf numFmtId="1" fontId="7" fillId="16" borderId="26" xfId="9" applyNumberFormat="1" applyFont="1" applyFill="1" applyBorder="1" applyAlignment="1">
      <alignment horizontal="justify" vertical="center" wrapText="1"/>
    </xf>
    <xf numFmtId="1" fontId="0" fillId="16" borderId="14" xfId="9" applyNumberFormat="1" applyFont="1" applyFill="1" applyBorder="1" applyAlignment="1">
      <alignment horizontal="justify" vertical="center" wrapText="1"/>
    </xf>
    <xf numFmtId="4" fontId="34" fillId="2" borderId="5" xfId="18" applyNumberFormat="1" applyFont="1" applyFill="1" applyBorder="1" applyAlignment="1">
      <alignment horizontal="right" vertical="center"/>
    </xf>
    <xf numFmtId="4" fontId="34" fillId="2" borderId="2" xfId="5" applyNumberFormat="1" applyFont="1" applyFill="1" applyBorder="1" applyAlignment="1">
      <alignment horizontal="center" vertical="center"/>
    </xf>
    <xf numFmtId="4" fontId="34" fillId="2" borderId="18" xfId="18" applyNumberFormat="1" applyFont="1" applyFill="1" applyBorder="1" applyAlignment="1">
      <alignment horizontal="right" vertical="center"/>
    </xf>
    <xf numFmtId="3" fontId="34" fillId="0" borderId="18" xfId="0" applyNumberFormat="1" applyFont="1" applyFill="1" applyBorder="1" applyAlignment="1">
      <alignment horizontal="right" vertical="center"/>
    </xf>
    <xf numFmtId="0" fontId="0" fillId="0" borderId="5" xfId="0" applyNumberFormat="1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4" fontId="0" fillId="0" borderId="5" xfId="33" applyNumberFormat="1" applyFont="1" applyFill="1" applyBorder="1" applyAlignment="1" applyProtection="1">
      <alignment horizontal="center" vertical="center" wrapText="1"/>
    </xf>
    <xf numFmtId="2" fontId="34" fillId="19" borderId="5" xfId="0" applyNumberFormat="1" applyFont="1" applyFill="1" applyBorder="1" applyAlignment="1" applyProtection="1">
      <alignment horizontal="center" vertical="center"/>
      <protection locked="0"/>
    </xf>
    <xf numFmtId="0" fontId="34" fillId="0" borderId="99" xfId="0" applyFont="1" applyBorder="1" applyAlignment="1">
      <alignment horizontal="center" vertical="center"/>
    </xf>
    <xf numFmtId="2" fontId="34" fillId="41" borderId="5" xfId="0" applyNumberFormat="1" applyFont="1" applyFill="1" applyBorder="1" applyAlignment="1" applyProtection="1">
      <alignment horizontal="center" vertical="center"/>
      <protection locked="0"/>
    </xf>
    <xf numFmtId="0" fontId="34" fillId="16" borderId="5" xfId="0" quotePrefix="1" applyFont="1" applyFill="1" applyBorder="1" applyAlignment="1">
      <alignment horizontal="center" vertical="center"/>
    </xf>
    <xf numFmtId="2" fontId="34" fillId="42" borderId="5" xfId="0" applyNumberFormat="1" applyFont="1" applyFill="1" applyBorder="1" applyAlignment="1" applyProtection="1">
      <alignment horizontal="center" vertical="center"/>
      <protection locked="0"/>
    </xf>
    <xf numFmtId="3" fontId="33" fillId="6" borderId="48" xfId="0" applyNumberFormat="1" applyFont="1" applyFill="1" applyBorder="1" applyAlignment="1">
      <alignment horizontal="left" vertical="center"/>
    </xf>
    <xf numFmtId="2" fontId="33" fillId="6" borderId="29" xfId="0" applyNumberFormat="1" applyFont="1" applyFill="1" applyBorder="1" applyAlignment="1" applyProtection="1">
      <alignment horizontal="right" vertical="center"/>
      <protection locked="0"/>
    </xf>
    <xf numFmtId="4" fontId="33" fillId="6" borderId="29" xfId="0" applyNumberFormat="1" applyFont="1" applyFill="1" applyBorder="1" applyAlignment="1">
      <alignment horizontal="right" vertical="center"/>
    </xf>
    <xf numFmtId="4" fontId="36" fillId="19" borderId="94" xfId="18" applyNumberFormat="1" applyFont="1" applyFill="1" applyBorder="1" applyAlignment="1">
      <alignment horizontal="center" vertical="center"/>
    </xf>
    <xf numFmtId="4" fontId="34" fillId="2" borderId="89" xfId="18" applyNumberFormat="1" applyFont="1" applyFill="1" applyBorder="1" applyAlignment="1">
      <alignment horizontal="center" vertical="center"/>
    </xf>
    <xf numFmtId="4" fontId="34" fillId="43" borderId="18" xfId="18" applyNumberFormat="1" applyFont="1" applyFill="1" applyBorder="1" applyAlignment="1">
      <alignment horizontal="center" vertical="center"/>
    </xf>
    <xf numFmtId="4" fontId="34" fillId="2" borderId="83" xfId="18" applyNumberFormat="1" applyFont="1" applyFill="1" applyBorder="1" applyAlignment="1">
      <alignment horizontal="left" vertical="center"/>
    </xf>
    <xf numFmtId="4" fontId="34" fillId="2" borderId="85" xfId="18" applyNumberFormat="1" applyFont="1" applyFill="1" applyBorder="1" applyAlignment="1">
      <alignment horizontal="left" vertical="center"/>
    </xf>
    <xf numFmtId="4" fontId="34" fillId="2" borderId="98" xfId="18" applyNumberFormat="1" applyFont="1" applyFill="1" applyBorder="1" applyAlignment="1">
      <alignment horizontal="center"/>
    </xf>
    <xf numFmtId="4" fontId="34" fillId="2" borderId="18" xfId="5" applyNumberFormat="1" applyFont="1" applyFill="1" applyBorder="1" applyAlignment="1">
      <alignment horizontal="center"/>
    </xf>
    <xf numFmtId="4" fontId="32" fillId="43" borderId="81" xfId="18" applyNumberFormat="1" applyFont="1" applyFill="1" applyBorder="1" applyAlignment="1">
      <alignment horizontal="center" vertical="center"/>
    </xf>
    <xf numFmtId="4" fontId="32" fillId="43" borderId="95" xfId="18" applyNumberFormat="1" applyFont="1" applyFill="1" applyBorder="1" applyAlignment="1">
      <alignment horizontal="center" vertical="center"/>
    </xf>
    <xf numFmtId="4" fontId="34" fillId="2" borderId="89" xfId="18" applyNumberFormat="1" applyFont="1" applyFill="1" applyBorder="1" applyAlignment="1">
      <alignment horizontal="center"/>
    </xf>
    <xf numFmtId="4" fontId="34" fillId="2" borderId="124" xfId="18" applyNumberFormat="1" applyFont="1" applyFill="1" applyBorder="1" applyAlignment="1">
      <alignment horizontal="right" vertical="center"/>
    </xf>
    <xf numFmtId="4" fontId="34" fillId="2" borderId="85" xfId="5" applyNumberFormat="1" applyFont="1" applyFill="1" applyBorder="1" applyAlignment="1">
      <alignment horizontal="left" vertical="center"/>
    </xf>
    <xf numFmtId="4" fontId="34" fillId="43" borderId="28" xfId="18" applyNumberFormat="1" applyFont="1" applyFill="1" applyBorder="1" applyAlignment="1">
      <alignment horizontal="center" vertical="center"/>
    </xf>
    <xf numFmtId="4" fontId="34" fillId="2" borderId="28" xfId="18" applyNumberFormat="1" applyFont="1" applyFill="1" applyBorder="1" applyAlignment="1">
      <alignment horizontal="right" vertical="center"/>
    </xf>
    <xf numFmtId="4" fontId="34" fillId="0" borderId="0" xfId="0" applyNumberFormat="1" applyFont="1" applyAlignment="1">
      <alignment horizontal="center" vertical="center"/>
    </xf>
    <xf numFmtId="4" fontId="34" fillId="43" borderId="18" xfId="18" applyNumberFormat="1" applyFont="1" applyFill="1" applyBorder="1" applyAlignment="1">
      <alignment horizontal="center"/>
    </xf>
    <xf numFmtId="4" fontId="34" fillId="0" borderId="85" xfId="18" applyNumberFormat="1" applyFont="1" applyFill="1" applyBorder="1" applyAlignment="1">
      <alignment horizontal="left" vertical="center"/>
    </xf>
    <xf numFmtId="4" fontId="34" fillId="18" borderId="18" xfId="18" applyNumberFormat="1" applyFont="1" applyFill="1" applyBorder="1" applyAlignment="1">
      <alignment horizontal="center" vertical="center"/>
    </xf>
    <xf numFmtId="4" fontId="34" fillId="0" borderId="88" xfId="18" applyNumberFormat="1" applyFont="1" applyFill="1" applyBorder="1" applyAlignment="1">
      <alignment horizontal="center"/>
    </xf>
    <xf numFmtId="4" fontId="34" fillId="2" borderId="83" xfId="18" applyNumberFormat="1" applyFont="1" applyFill="1" applyBorder="1" applyAlignment="1">
      <alignment horizontal="center" vertical="center"/>
    </xf>
    <xf numFmtId="4" fontId="34" fillId="0" borderId="85" xfId="18" applyNumberFormat="1" applyFont="1" applyFill="1" applyBorder="1" applyAlignment="1">
      <alignment wrapText="1"/>
    </xf>
    <xf numFmtId="4" fontId="34" fillId="43" borderId="102" xfId="18" applyNumberFormat="1" applyFont="1" applyFill="1" applyBorder="1" applyAlignment="1">
      <alignment horizontal="center"/>
    </xf>
    <xf numFmtId="4" fontId="34" fillId="2" borderId="102" xfId="18" applyNumberFormat="1" applyFont="1" applyFill="1" applyBorder="1" applyAlignment="1">
      <alignment horizontal="right"/>
    </xf>
    <xf numFmtId="4" fontId="34" fillId="2" borderId="5" xfId="18" applyNumberFormat="1" applyFont="1" applyFill="1" applyBorder="1" applyAlignment="1">
      <alignment horizontal="right"/>
    </xf>
    <xf numFmtId="4" fontId="34" fillId="2" borderId="5" xfId="18" applyNumberFormat="1" applyFont="1" applyFill="1" applyBorder="1" applyAlignment="1">
      <alignment horizontal="center"/>
    </xf>
    <xf numFmtId="4" fontId="34" fillId="2" borderId="124" xfId="18" applyNumberFormat="1" applyFont="1" applyFill="1" applyBorder="1" applyAlignment="1">
      <alignment horizontal="justify" vertical="center" wrapText="1"/>
    </xf>
    <xf numFmtId="4" fontId="34" fillId="43" borderId="28" xfId="18" applyNumberFormat="1" applyFont="1" applyFill="1" applyBorder="1" applyAlignment="1">
      <alignment horizontal="center"/>
    </xf>
    <xf numFmtId="4" fontId="34" fillId="2" borderId="28" xfId="18" applyNumberFormat="1" applyFont="1" applyFill="1" applyBorder="1" applyAlignment="1">
      <alignment horizontal="right"/>
    </xf>
    <xf numFmtId="4" fontId="34" fillId="2" borderId="125" xfId="18" applyNumberFormat="1" applyFont="1" applyFill="1" applyBorder="1" applyAlignment="1">
      <alignment horizontal="right"/>
    </xf>
    <xf numFmtId="4" fontId="34" fillId="2" borderId="125" xfId="18" applyNumberFormat="1" applyFont="1" applyFill="1" applyBorder="1" applyAlignment="1">
      <alignment horizontal="center"/>
    </xf>
    <xf numFmtId="4" fontId="34" fillId="2" borderId="27" xfId="18" applyNumberFormat="1" applyFont="1" applyFill="1" applyBorder="1" applyAlignment="1">
      <alignment horizontal="center"/>
    </xf>
    <xf numFmtId="4" fontId="34" fillId="2" borderId="83" xfId="18" applyNumberFormat="1" applyFont="1" applyFill="1" applyBorder="1" applyAlignment="1">
      <alignment horizontal="justify" vertical="center" wrapText="1"/>
    </xf>
    <xf numFmtId="4" fontId="34" fillId="2" borderId="83" xfId="18" applyNumberFormat="1" applyFont="1" applyFill="1" applyBorder="1" applyAlignment="1">
      <alignment horizontal="left" vertical="center" wrapText="1"/>
    </xf>
    <xf numFmtId="176" fontId="34" fillId="2" borderId="18" xfId="18" applyNumberFormat="1" applyFont="1" applyFill="1" applyBorder="1" applyAlignment="1">
      <alignment horizontal="center"/>
    </xf>
    <xf numFmtId="4" fontId="34" fillId="2" borderId="83" xfId="18" applyNumberFormat="1" applyFont="1" applyFill="1" applyBorder="1" applyAlignment="1">
      <alignment horizontal="center"/>
    </xf>
    <xf numFmtId="4" fontId="34" fillId="0" borderId="18" xfId="18" applyNumberFormat="1" applyFont="1" applyFill="1" applyBorder="1" applyAlignment="1">
      <alignment horizontal="center"/>
    </xf>
    <xf numFmtId="176" fontId="34" fillId="0" borderId="2" xfId="5" applyNumberFormat="1" applyFont="1" applyFill="1" applyBorder="1" applyAlignment="1">
      <alignment horizontal="center" vertical="center"/>
    </xf>
    <xf numFmtId="4" fontId="34" fillId="18" borderId="0" xfId="0" applyNumberFormat="1" applyFont="1" applyFill="1"/>
    <xf numFmtId="4" fontId="34" fillId="44" borderId="18" xfId="18" applyNumberFormat="1" applyFont="1" applyFill="1" applyBorder="1" applyAlignment="1">
      <alignment horizontal="right" vertical="center"/>
    </xf>
    <xf numFmtId="4" fontId="34" fillId="44" borderId="18" xfId="18" applyNumberFormat="1" applyFont="1" applyFill="1" applyBorder="1" applyAlignment="1">
      <alignment horizontal="center" vertical="center"/>
    </xf>
    <xf numFmtId="4" fontId="34" fillId="44" borderId="18" xfId="5" applyNumberFormat="1" applyFont="1" applyFill="1" applyBorder="1" applyAlignment="1">
      <alignment horizontal="center" vertical="center"/>
    </xf>
    <xf numFmtId="4" fontId="34" fillId="44" borderId="83" xfId="18" applyNumberFormat="1" applyFont="1" applyFill="1" applyBorder="1" applyAlignment="1">
      <alignment horizontal="left" vertical="center"/>
    </xf>
    <xf numFmtId="4" fontId="34" fillId="18" borderId="18" xfId="18" applyNumberFormat="1" applyFont="1" applyFill="1" applyBorder="1" applyAlignment="1">
      <alignment horizontal="right" vertical="center"/>
    </xf>
    <xf numFmtId="4" fontId="34" fillId="18" borderId="18" xfId="5" applyNumberFormat="1" applyFont="1" applyFill="1" applyBorder="1" applyAlignment="1">
      <alignment horizontal="center" vertical="center"/>
    </xf>
    <xf numFmtId="4" fontId="34" fillId="18" borderId="85" xfId="18" applyNumberFormat="1" applyFont="1" applyFill="1" applyBorder="1" applyAlignment="1">
      <alignment horizontal="left" vertical="center"/>
    </xf>
    <xf numFmtId="4" fontId="34" fillId="0" borderId="83" xfId="18" applyNumberFormat="1" applyFont="1" applyBorder="1" applyAlignment="1">
      <alignment horizontal="left" vertical="center" wrapText="1"/>
    </xf>
    <xf numFmtId="4" fontId="34" fillId="2" borderId="130" xfId="5" applyNumberFormat="1" applyFont="1" applyFill="1" applyBorder="1" applyAlignment="1">
      <alignment horizontal="center" vertical="center"/>
    </xf>
    <xf numFmtId="4" fontId="34" fillId="2" borderId="130" xfId="18" applyNumberFormat="1" applyFont="1" applyFill="1" applyBorder="1" applyAlignment="1">
      <alignment horizontal="center" vertical="center"/>
    </xf>
    <xf numFmtId="4" fontId="34" fillId="0" borderId="86" xfId="18" applyNumberFormat="1" applyFont="1" applyFill="1" applyBorder="1" applyAlignment="1">
      <alignment horizontal="left" vertical="center"/>
    </xf>
    <xf numFmtId="4" fontId="34" fillId="0" borderId="18" xfId="18" applyNumberFormat="1" applyFont="1" applyFill="1" applyBorder="1" applyAlignment="1">
      <alignment horizontal="right"/>
    </xf>
    <xf numFmtId="3" fontId="34" fillId="0" borderId="0" xfId="0" applyNumberFormat="1" applyFont="1" applyAlignment="1">
      <alignment vertical="center"/>
    </xf>
    <xf numFmtId="176" fontId="34" fillId="2" borderId="2" xfId="5" applyNumberFormat="1" applyFont="1" applyFill="1" applyBorder="1" applyAlignment="1">
      <alignment horizontal="center" vertical="center"/>
    </xf>
    <xf numFmtId="4" fontId="34" fillId="0" borderId="28" xfId="18" applyNumberFormat="1" applyFont="1" applyFill="1" applyBorder="1" applyAlignment="1">
      <alignment horizontal="right" vertical="center"/>
    </xf>
    <xf numFmtId="4" fontId="34" fillId="0" borderId="5" xfId="18" applyNumberFormat="1" applyFont="1" applyFill="1" applyBorder="1" applyAlignment="1">
      <alignment horizontal="center" vertical="center" wrapText="1"/>
    </xf>
    <xf numFmtId="4" fontId="34" fillId="0" borderId="130" xfId="5" applyNumberFormat="1" applyFont="1" applyFill="1" applyBorder="1" applyAlignment="1">
      <alignment horizontal="center" vertical="center"/>
    </xf>
    <xf numFmtId="4" fontId="34" fillId="0" borderId="130" xfId="18" applyNumberFormat="1" applyFont="1" applyFill="1" applyBorder="1" applyAlignment="1">
      <alignment horizontal="center" vertical="center"/>
    </xf>
    <xf numFmtId="4" fontId="34" fillId="0" borderId="105" xfId="18" applyNumberFormat="1" applyFont="1" applyFill="1" applyBorder="1" applyAlignment="1">
      <alignment horizontal="justify" vertical="center" wrapText="1"/>
    </xf>
    <xf numFmtId="4" fontId="34" fillId="0" borderId="2" xfId="5" applyNumberFormat="1" applyFont="1" applyFill="1" applyBorder="1" applyAlignment="1">
      <alignment horizontal="center"/>
    </xf>
    <xf numFmtId="4" fontId="34" fillId="0" borderId="2" xfId="18" applyNumberFormat="1" applyFont="1" applyFill="1" applyBorder="1" applyAlignment="1">
      <alignment horizontal="center"/>
    </xf>
    <xf numFmtId="4" fontId="34" fillId="0" borderId="0" xfId="0" applyNumberFormat="1" applyFont="1" applyFill="1"/>
    <xf numFmtId="4" fontId="34" fillId="2" borderId="89" xfId="5" applyNumberFormat="1" applyFont="1" applyFill="1" applyBorder="1" applyAlignment="1">
      <alignment horizontal="center" vertical="center"/>
    </xf>
    <xf numFmtId="4" fontId="34" fillId="0" borderId="88" xfId="5" applyNumberFormat="1" applyFont="1" applyFill="1" applyBorder="1" applyAlignment="1">
      <alignment horizontal="center" vertical="center"/>
    </xf>
    <xf numFmtId="4" fontId="34" fillId="43" borderId="18" xfId="5" applyNumberFormat="1" applyFont="1" applyFill="1" applyBorder="1" applyAlignment="1">
      <alignment horizontal="center" vertical="center"/>
    </xf>
    <xf numFmtId="4" fontId="34" fillId="2" borderId="18" xfId="5" applyNumberFormat="1" applyFont="1" applyFill="1" applyBorder="1" applyAlignment="1">
      <alignment horizontal="right" vertical="center"/>
    </xf>
    <xf numFmtId="4" fontId="34" fillId="2" borderId="88" xfId="5" applyNumberFormat="1" applyFont="1" applyFill="1" applyBorder="1" applyAlignment="1">
      <alignment horizontal="center" vertical="center"/>
    </xf>
    <xf numFmtId="4" fontId="34" fillId="2" borderId="83" xfId="5" applyNumberFormat="1" applyFont="1" applyFill="1" applyBorder="1" applyAlignment="1">
      <alignment horizontal="center" vertical="center"/>
    </xf>
    <xf numFmtId="4" fontId="33" fillId="2" borderId="88" xfId="5" applyNumberFormat="1" applyFont="1" applyFill="1" applyBorder="1" applyAlignment="1">
      <alignment horizontal="center"/>
    </xf>
    <xf numFmtId="4" fontId="34" fillId="2" borderId="88" xfId="5" applyNumberFormat="1" applyFont="1" applyFill="1" applyBorder="1" applyAlignment="1">
      <alignment horizontal="center"/>
    </xf>
    <xf numFmtId="4" fontId="34" fillId="2" borderId="49" xfId="5" applyNumberFormat="1" applyFont="1" applyFill="1" applyBorder="1" applyAlignment="1">
      <alignment horizontal="center"/>
    </xf>
    <xf numFmtId="4" fontId="34" fillId="2" borderId="85" xfId="5" applyNumberFormat="1" applyFont="1" applyFill="1" applyBorder="1" applyAlignment="1">
      <alignment horizontal="left" vertical="center" wrapText="1"/>
    </xf>
    <xf numFmtId="4" fontId="34" fillId="2" borderId="85" xfId="5" applyNumberFormat="1" applyFont="1" applyFill="1" applyBorder="1" applyAlignment="1">
      <alignment horizontal="center" vertical="center"/>
    </xf>
    <xf numFmtId="4" fontId="33" fillId="2" borderId="89" xfId="5" applyNumberFormat="1" applyFont="1" applyFill="1" applyBorder="1" applyAlignment="1">
      <alignment horizontal="center"/>
    </xf>
    <xf numFmtId="4" fontId="34" fillId="0" borderId="88" xfId="5" applyNumberFormat="1" applyFont="1" applyFill="1" applyBorder="1" applyAlignment="1">
      <alignment horizontal="center"/>
    </xf>
    <xf numFmtId="4" fontId="34" fillId="2" borderId="18" xfId="5" applyNumberFormat="1" applyFont="1" applyFill="1" applyBorder="1" applyAlignment="1">
      <alignment horizontal="right"/>
    </xf>
    <xf numFmtId="4" fontId="34" fillId="2" borderId="85" xfId="5" applyNumberFormat="1" applyFont="1" applyFill="1" applyBorder="1"/>
    <xf numFmtId="4" fontId="34" fillId="2" borderId="103" xfId="5" applyNumberFormat="1" applyFont="1" applyFill="1" applyBorder="1" applyAlignment="1">
      <alignment horizontal="center"/>
    </xf>
    <xf numFmtId="4" fontId="34" fillId="2" borderId="22" xfId="5" applyNumberFormat="1" applyFont="1" applyFill="1" applyBorder="1" applyAlignment="1">
      <alignment horizontal="right"/>
    </xf>
    <xf numFmtId="4" fontId="34" fillId="2" borderId="98" xfId="5" applyNumberFormat="1" applyFont="1" applyFill="1" applyBorder="1" applyAlignment="1">
      <alignment horizontal="center"/>
    </xf>
    <xf numFmtId="4" fontId="34" fillId="2" borderId="131" xfId="18" applyNumberFormat="1" applyFont="1" applyFill="1" applyBorder="1" applyAlignment="1">
      <alignment horizontal="center"/>
    </xf>
    <xf numFmtId="4" fontId="34" fillId="2" borderId="87" xfId="5" applyNumberFormat="1" applyFont="1" applyFill="1" applyBorder="1" applyAlignment="1">
      <alignment horizontal="center" vertical="center"/>
    </xf>
    <xf numFmtId="4" fontId="34" fillId="2" borderId="86" xfId="5" applyNumberFormat="1" applyFont="1" applyFill="1" applyBorder="1" applyAlignment="1">
      <alignment horizontal="left" vertical="center"/>
    </xf>
    <xf numFmtId="4" fontId="53" fillId="43" borderId="95" xfId="5" applyNumberFormat="1" applyFont="1" applyFill="1" applyBorder="1" applyAlignment="1">
      <alignment horizontal="center" vertical="center"/>
    </xf>
    <xf numFmtId="4" fontId="36" fillId="19" borderId="126" xfId="18" applyNumberFormat="1" applyFont="1" applyFill="1" applyBorder="1" applyAlignment="1">
      <alignment horizontal="center" vertical="center"/>
    </xf>
    <xf numFmtId="4" fontId="34" fillId="0" borderId="85" xfId="18" applyNumberFormat="1" applyFont="1" applyFill="1" applyBorder="1" applyAlignment="1">
      <alignment horizontal="justify" vertical="center" wrapText="1"/>
    </xf>
    <xf numFmtId="4" fontId="34" fillId="0" borderId="123" xfId="0" applyNumberFormat="1" applyFont="1" applyBorder="1" applyAlignment="1">
      <alignment horizontal="center"/>
    </xf>
    <xf numFmtId="4" fontId="34" fillId="0" borderId="123" xfId="0" applyNumberFormat="1" applyFont="1" applyBorder="1"/>
    <xf numFmtId="179" fontId="7" fillId="0" borderId="0" xfId="33" applyNumberFormat="1" applyFont="1" applyFill="1" applyBorder="1" applyAlignment="1">
      <alignment vertical="center" wrapText="1"/>
    </xf>
    <xf numFmtId="4" fontId="34" fillId="0" borderId="85" xfId="18" applyNumberFormat="1" applyFont="1" applyBorder="1" applyAlignment="1">
      <alignment horizontal="center" vertical="center" wrapText="1"/>
    </xf>
    <xf numFmtId="1" fontId="7" fillId="16" borderId="14" xfId="9" applyNumberFormat="1" applyFont="1" applyFill="1" applyBorder="1" applyAlignment="1">
      <alignment horizontal="justify" vertical="center" wrapText="1"/>
    </xf>
    <xf numFmtId="1" fontId="7" fillId="16" borderId="26" xfId="9" applyNumberFormat="1" applyFont="1" applyFill="1" applyBorder="1" applyAlignment="1">
      <alignment horizontal="justify" vertical="center" wrapText="1"/>
    </xf>
    <xf numFmtId="0" fontId="16" fillId="0" borderId="5" xfId="9" applyFont="1" applyFill="1" applyBorder="1" applyAlignment="1">
      <alignment horizontal="center" vertical="center"/>
    </xf>
    <xf numFmtId="1" fontId="4" fillId="16" borderId="14" xfId="9" applyNumberFormat="1" applyFont="1" applyFill="1" applyBorder="1" applyAlignment="1">
      <alignment horizontal="left" vertical="center" wrapText="1"/>
    </xf>
    <xf numFmtId="1" fontId="4" fillId="16" borderId="30" xfId="9" applyNumberFormat="1" applyFont="1" applyFill="1" applyBorder="1" applyAlignment="1">
      <alignment horizontal="left" vertical="center" wrapText="1"/>
    </xf>
    <xf numFmtId="1" fontId="4" fillId="16" borderId="26" xfId="9" applyNumberFormat="1" applyFont="1" applyFill="1" applyBorder="1" applyAlignment="1">
      <alignment horizontal="left" vertical="center" wrapText="1"/>
    </xf>
    <xf numFmtId="1" fontId="0" fillId="16" borderId="14" xfId="9" applyNumberFormat="1" applyFont="1" applyFill="1" applyBorder="1" applyAlignment="1">
      <alignment horizontal="justify" vertical="center" wrapText="1"/>
    </xf>
    <xf numFmtId="4" fontId="5" fillId="10" borderId="5" xfId="9" applyNumberFormat="1" applyFont="1" applyFill="1" applyBorder="1" applyAlignment="1">
      <alignment horizontal="right" vertical="center" wrapText="1"/>
    </xf>
    <xf numFmtId="1" fontId="0" fillId="0" borderId="14" xfId="9" applyNumberFormat="1" applyFont="1" applyFill="1" applyBorder="1" applyAlignment="1">
      <alignment horizontal="justify" vertical="center" wrapText="1"/>
    </xf>
    <xf numFmtId="1" fontId="7" fillId="0" borderId="26" xfId="9" applyNumberFormat="1" applyFont="1" applyFill="1" applyBorder="1" applyAlignment="1">
      <alignment horizontal="justify" vertical="center" wrapText="1"/>
    </xf>
    <xf numFmtId="3" fontId="7" fillId="0" borderId="14" xfId="0" applyNumberFormat="1" applyFont="1" applyFill="1" applyBorder="1" applyAlignment="1">
      <alignment horizontal="justify" vertical="center" wrapText="1"/>
    </xf>
    <xf numFmtId="3" fontId="7" fillId="0" borderId="26" xfId="0" applyNumberFormat="1" applyFont="1" applyFill="1" applyBorder="1" applyAlignment="1">
      <alignment horizontal="justify" vertical="center" wrapText="1"/>
    </xf>
    <xf numFmtId="1" fontId="5" fillId="17" borderId="14" xfId="9" applyNumberFormat="1" applyFont="1" applyFill="1" applyBorder="1" applyAlignment="1">
      <alignment horizontal="left" vertical="center" wrapText="1"/>
    </xf>
    <xf numFmtId="1" fontId="5" fillId="17" borderId="30" xfId="9" applyNumberFormat="1" applyFont="1" applyFill="1" applyBorder="1" applyAlignment="1">
      <alignment horizontal="left" vertical="center" wrapText="1"/>
    </xf>
    <xf numFmtId="1" fontId="5" fillId="17" borderId="26" xfId="9" applyNumberFormat="1" applyFont="1" applyFill="1" applyBorder="1" applyAlignment="1">
      <alignment horizontal="left" vertical="center" wrapText="1"/>
    </xf>
    <xf numFmtId="1" fontId="5" fillId="17" borderId="14" xfId="9" applyNumberFormat="1" applyFont="1" applyFill="1" applyBorder="1" applyAlignment="1">
      <alignment horizontal="center" vertical="center" wrapText="1"/>
    </xf>
    <xf numFmtId="1" fontId="5" fillId="17" borderId="26" xfId="9" applyNumberFormat="1" applyFont="1" applyFill="1" applyBorder="1" applyAlignment="1">
      <alignment horizontal="center" vertical="center" wrapText="1"/>
    </xf>
    <xf numFmtId="1" fontId="0" fillId="16" borderId="14" xfId="9" applyNumberFormat="1" applyFont="1" applyFill="1" applyBorder="1" applyAlignment="1">
      <alignment horizontal="left" vertical="center" wrapText="1"/>
    </xf>
    <xf numFmtId="1" fontId="7" fillId="16" borderId="26" xfId="9" applyNumberFormat="1" applyFont="1" applyFill="1" applyBorder="1" applyAlignment="1">
      <alignment horizontal="left" vertical="center" wrapText="1"/>
    </xf>
    <xf numFmtId="4" fontId="7" fillId="0" borderId="5" xfId="9" applyNumberFormat="1" applyFont="1" applyFill="1" applyBorder="1" applyAlignment="1">
      <alignment horizontal="center" vertical="center" wrapText="1"/>
    </xf>
    <xf numFmtId="4" fontId="5" fillId="0" borderId="5" xfId="9" applyNumberFormat="1" applyFont="1" applyFill="1" applyBorder="1" applyAlignment="1">
      <alignment horizontal="center" vertical="center" wrapText="1"/>
    </xf>
    <xf numFmtId="0" fontId="4" fillId="0" borderId="27" xfId="9" applyFont="1" applyFill="1" applyBorder="1" applyAlignment="1">
      <alignment horizontal="center" vertical="center"/>
    </xf>
    <xf numFmtId="0" fontId="4" fillId="0" borderId="13" xfId="9" applyFont="1" applyFill="1" applyBorder="1" applyAlignment="1">
      <alignment horizontal="center" vertical="center"/>
    </xf>
    <xf numFmtId="172" fontId="4" fillId="0" borderId="5" xfId="33" applyFont="1" applyFill="1" applyBorder="1" applyAlignment="1">
      <alignment horizontal="center" vertical="center"/>
    </xf>
    <xf numFmtId="4" fontId="5" fillId="0" borderId="14" xfId="9" quotePrefix="1" applyNumberFormat="1" applyFont="1" applyFill="1" applyBorder="1" applyAlignment="1">
      <alignment horizontal="center" vertical="center" wrapText="1"/>
    </xf>
    <xf numFmtId="4" fontId="5" fillId="0" borderId="30" xfId="9" applyNumberFormat="1" applyFont="1" applyFill="1" applyBorder="1" applyAlignment="1">
      <alignment horizontal="center" vertical="center" wrapText="1"/>
    </xf>
    <xf numFmtId="4" fontId="5" fillId="0" borderId="26" xfId="9" applyNumberFormat="1" applyFont="1" applyFill="1" applyBorder="1" applyAlignment="1">
      <alignment horizontal="center" vertical="center" wrapText="1"/>
    </xf>
    <xf numFmtId="4" fontId="5" fillId="0" borderId="14" xfId="9" applyNumberFormat="1" applyFont="1" applyFill="1" applyBorder="1" applyAlignment="1">
      <alignment horizontal="center" vertical="center" wrapText="1"/>
    </xf>
    <xf numFmtId="0" fontId="4" fillId="0" borderId="5" xfId="9" applyFont="1" applyFill="1" applyBorder="1" applyAlignment="1">
      <alignment horizontal="center" vertical="center"/>
    </xf>
    <xf numFmtId="4" fontId="4" fillId="0" borderId="5" xfId="33" applyNumberFormat="1" applyFont="1" applyFill="1" applyBorder="1" applyAlignment="1" applyProtection="1">
      <alignment horizontal="center" vertical="center"/>
      <protection locked="0"/>
    </xf>
    <xf numFmtId="4" fontId="4" fillId="0" borderId="27" xfId="33" applyNumberFormat="1" applyFont="1" applyFill="1" applyBorder="1" applyAlignment="1" applyProtection="1">
      <alignment horizontal="center" vertical="center"/>
      <protection locked="0"/>
    </xf>
    <xf numFmtId="0" fontId="4" fillId="0" borderId="40" xfId="9" applyFont="1" applyFill="1" applyBorder="1" applyAlignment="1">
      <alignment horizontal="center" vertical="center"/>
    </xf>
    <xf numFmtId="0" fontId="4" fillId="0" borderId="58" xfId="9" applyFont="1" applyFill="1" applyBorder="1" applyAlignment="1">
      <alignment horizontal="center" vertical="center" wrapText="1"/>
    </xf>
    <xf numFmtId="0" fontId="4" fillId="0" borderId="54" xfId="9" applyFont="1" applyFill="1" applyBorder="1" applyAlignment="1">
      <alignment horizontal="center" vertical="center" wrapText="1"/>
    </xf>
    <xf numFmtId="0" fontId="4" fillId="0" borderId="50" xfId="9" applyFont="1" applyFill="1" applyBorder="1" applyAlignment="1">
      <alignment horizontal="center" vertical="center" wrapText="1"/>
    </xf>
    <xf numFmtId="0" fontId="4" fillId="0" borderId="51" xfId="9" applyFont="1" applyFill="1" applyBorder="1" applyAlignment="1">
      <alignment horizontal="center" vertical="center" wrapText="1"/>
    </xf>
    <xf numFmtId="1" fontId="7" fillId="0" borderId="14" xfId="9" applyNumberFormat="1" applyFont="1" applyFill="1" applyBorder="1" applyAlignment="1">
      <alignment horizontal="justify" vertical="center" wrapText="1"/>
    </xf>
    <xf numFmtId="4" fontId="4" fillId="20" borderId="14" xfId="9" applyNumberFormat="1" applyFont="1" applyFill="1" applyBorder="1" applyAlignment="1">
      <alignment horizontal="left" vertical="center" wrapText="1"/>
    </xf>
    <xf numFmtId="4" fontId="4" fillId="20" borderId="30" xfId="9" applyNumberFormat="1" applyFont="1" applyFill="1" applyBorder="1" applyAlignment="1">
      <alignment horizontal="left" vertical="center" wrapText="1"/>
    </xf>
    <xf numFmtId="4" fontId="4" fillId="20" borderId="26" xfId="9" applyNumberFormat="1" applyFont="1" applyFill="1" applyBorder="1" applyAlignment="1">
      <alignment horizontal="left" vertical="center" wrapText="1"/>
    </xf>
    <xf numFmtId="1" fontId="0" fillId="16" borderId="26" xfId="9" applyNumberFormat="1" applyFont="1" applyFill="1" applyBorder="1" applyAlignment="1">
      <alignment horizontal="left" vertical="center" wrapText="1"/>
    </xf>
    <xf numFmtId="1" fontId="0" fillId="0" borderId="14" xfId="9" applyNumberFormat="1" applyFont="1" applyFill="1" applyBorder="1" applyAlignment="1">
      <alignment horizontal="left" vertical="center" wrapText="1"/>
    </xf>
    <xf numFmtId="1" fontId="7" fillId="0" borderId="26" xfId="9" applyNumberFormat="1" applyFont="1" applyFill="1" applyBorder="1" applyAlignment="1">
      <alignment horizontal="left" vertical="center" wrapText="1"/>
    </xf>
    <xf numFmtId="3" fontId="28" fillId="4" borderId="5" xfId="18" applyFont="1" applyFill="1" applyBorder="1" applyAlignment="1">
      <alignment horizontal="center" vertical="center" wrapText="1"/>
    </xf>
    <xf numFmtId="4" fontId="28" fillId="2" borderId="5" xfId="18" applyNumberFormat="1" applyFont="1" applyFill="1" applyBorder="1" applyAlignment="1">
      <alignment horizontal="right" vertical="center" wrapText="1"/>
    </xf>
    <xf numFmtId="4" fontId="28" fillId="2" borderId="5" xfId="18" applyNumberFormat="1" applyFont="1" applyFill="1" applyBorder="1" applyAlignment="1">
      <alignment horizontal="right" vertical="center"/>
    </xf>
    <xf numFmtId="3" fontId="29" fillId="9" borderId="5" xfId="18" applyFont="1" applyFill="1" applyBorder="1" applyAlignment="1">
      <alignment horizontal="center" vertical="center"/>
    </xf>
    <xf numFmtId="4" fontId="29" fillId="6" borderId="5" xfId="0" applyNumberFormat="1" applyFont="1" applyFill="1" applyBorder="1" applyAlignment="1">
      <alignment horizontal="center" vertical="center" wrapText="1"/>
    </xf>
    <xf numFmtId="4" fontId="28" fillId="2" borderId="5" xfId="18" applyNumberFormat="1" applyFont="1" applyFill="1" applyBorder="1" applyAlignment="1">
      <alignment horizontal="center" vertical="center" wrapText="1"/>
    </xf>
    <xf numFmtId="4" fontId="29" fillId="0" borderId="5" xfId="18" applyNumberFormat="1" applyFont="1" applyFill="1" applyBorder="1" applyAlignment="1">
      <alignment horizontal="center" vertical="center"/>
    </xf>
    <xf numFmtId="3" fontId="28" fillId="4" borderId="5" xfId="18" applyFont="1" applyFill="1" applyBorder="1" applyAlignment="1">
      <alignment horizontal="left" vertical="center" wrapText="1"/>
    </xf>
    <xf numFmtId="4" fontId="29" fillId="2" borderId="5" xfId="18" applyNumberFormat="1" applyFont="1" applyFill="1" applyBorder="1" applyAlignment="1">
      <alignment horizontal="left" vertical="center"/>
    </xf>
    <xf numFmtId="3" fontId="28" fillId="4" borderId="14" xfId="18" applyFont="1" applyFill="1" applyBorder="1" applyAlignment="1">
      <alignment horizontal="left" vertical="center" wrapText="1"/>
    </xf>
    <xf numFmtId="3" fontId="28" fillId="4" borderId="30" xfId="18" applyFont="1" applyFill="1" applyBorder="1" applyAlignment="1">
      <alignment horizontal="left" vertical="center" wrapText="1"/>
    </xf>
    <xf numFmtId="3" fontId="28" fillId="4" borderId="26" xfId="18" applyFont="1" applyFill="1" applyBorder="1" applyAlignment="1">
      <alignment horizontal="left" vertical="center" wrapText="1"/>
    </xf>
    <xf numFmtId="4" fontId="28" fillId="2" borderId="5" xfId="18" applyNumberFormat="1" applyFont="1" applyFill="1" applyBorder="1" applyAlignment="1">
      <alignment horizontal="left" vertical="center" wrapText="1"/>
    </xf>
    <xf numFmtId="4" fontId="29" fillId="2" borderId="14" xfId="18" applyNumberFormat="1" applyFont="1" applyFill="1" applyBorder="1" applyAlignment="1">
      <alignment horizontal="left" vertical="center"/>
    </xf>
    <xf numFmtId="4" fontId="29" fillId="2" borderId="30" xfId="18" applyNumberFormat="1" applyFont="1" applyFill="1" applyBorder="1" applyAlignment="1">
      <alignment horizontal="left" vertical="center"/>
    </xf>
    <xf numFmtId="4" fontId="29" fillId="2" borderId="26" xfId="18" applyNumberFormat="1" applyFont="1" applyFill="1" applyBorder="1" applyAlignment="1">
      <alignment horizontal="left" vertical="center"/>
    </xf>
    <xf numFmtId="4" fontId="29" fillId="6" borderId="14" xfId="0" applyNumberFormat="1" applyFont="1" applyFill="1" applyBorder="1" applyAlignment="1">
      <alignment horizontal="center" vertical="center" wrapText="1"/>
    </xf>
    <xf numFmtId="4" fontId="29" fillId="6" borderId="30" xfId="0" applyNumberFormat="1" applyFont="1" applyFill="1" applyBorder="1" applyAlignment="1">
      <alignment horizontal="center" vertical="center" wrapText="1"/>
    </xf>
    <xf numFmtId="4" fontId="29" fillId="6" borderId="26" xfId="0" applyNumberFormat="1" applyFont="1" applyFill="1" applyBorder="1" applyAlignment="1">
      <alignment horizontal="center" vertical="center" wrapText="1"/>
    </xf>
    <xf numFmtId="3" fontId="29" fillId="9" borderId="14" xfId="18" applyFont="1" applyFill="1" applyBorder="1" applyAlignment="1">
      <alignment horizontal="center" vertical="center"/>
    </xf>
    <xf numFmtId="3" fontId="29" fillId="9" borderId="30" xfId="18" applyFont="1" applyFill="1" applyBorder="1" applyAlignment="1">
      <alignment horizontal="center" vertical="center"/>
    </xf>
    <xf numFmtId="3" fontId="29" fillId="9" borderId="26" xfId="18" applyFont="1" applyFill="1" applyBorder="1" applyAlignment="1">
      <alignment horizontal="center" vertical="center"/>
    </xf>
    <xf numFmtId="4" fontId="29" fillId="0" borderId="30" xfId="18" applyNumberFormat="1" applyFont="1" applyFill="1" applyBorder="1" applyAlignment="1">
      <alignment horizontal="center" vertical="center"/>
    </xf>
    <xf numFmtId="4" fontId="29" fillId="0" borderId="26" xfId="18" applyNumberFormat="1" applyFont="1" applyFill="1" applyBorder="1" applyAlignment="1">
      <alignment horizontal="center" vertical="center"/>
    </xf>
    <xf numFmtId="4" fontId="34" fillId="20" borderId="2" xfId="5" applyNumberFormat="1" applyFont="1" applyFill="1" applyBorder="1" applyAlignment="1">
      <alignment horizontal="center" vertical="center"/>
    </xf>
    <xf numFmtId="4" fontId="34" fillId="2" borderId="84" xfId="5" applyNumberFormat="1" applyFont="1" applyFill="1" applyBorder="1" applyAlignment="1">
      <alignment horizontal="center" vertical="center"/>
    </xf>
    <xf numFmtId="4" fontId="33" fillId="0" borderId="129" xfId="5" applyNumberFormat="1" applyFont="1" applyFill="1" applyBorder="1" applyAlignment="1">
      <alignment horizontal="center" vertical="center"/>
    </xf>
    <xf numFmtId="4" fontId="34" fillId="2" borderId="83" xfId="5" applyNumberFormat="1" applyFont="1" applyFill="1" applyBorder="1" applyAlignment="1">
      <alignment horizontal="left" vertical="center"/>
    </xf>
    <xf numFmtId="4" fontId="34" fillId="2" borderId="61" xfId="5" applyNumberFormat="1" applyFont="1" applyFill="1" applyBorder="1" applyAlignment="1">
      <alignment horizontal="left" vertical="center"/>
    </xf>
    <xf numFmtId="4" fontId="34" fillId="2" borderId="28" xfId="5" applyNumberFormat="1" applyFont="1" applyFill="1" applyBorder="1" applyAlignment="1">
      <alignment horizontal="left" vertical="center"/>
    </xf>
    <xf numFmtId="4" fontId="33" fillId="0" borderId="129" xfId="18" applyNumberFormat="1" applyFont="1" applyFill="1" applyBorder="1" applyAlignment="1">
      <alignment horizontal="center" vertical="center"/>
    </xf>
    <xf numFmtId="4" fontId="34" fillId="2" borderId="128" xfId="18" applyNumberFormat="1" applyFont="1" applyFill="1" applyBorder="1" applyAlignment="1">
      <alignment horizontal="right" vertical="center"/>
    </xf>
    <xf numFmtId="4" fontId="33" fillId="2" borderId="93" xfId="18" applyNumberFormat="1" applyFont="1" applyFill="1" applyBorder="1" applyAlignment="1">
      <alignment horizontal="left" vertical="center"/>
    </xf>
    <xf numFmtId="4" fontId="33" fillId="43" borderId="82" xfId="0" applyNumberFormat="1" applyFont="1" applyFill="1" applyBorder="1" applyAlignment="1">
      <alignment horizontal="center" vertical="center" wrapText="1"/>
    </xf>
    <xf numFmtId="4" fontId="34" fillId="2" borderId="100" xfId="18" applyNumberFormat="1" applyFont="1" applyFill="1" applyBorder="1" applyAlignment="1">
      <alignment horizontal="right" vertical="center"/>
    </xf>
    <xf numFmtId="4" fontId="34" fillId="2" borderId="101" xfId="18" applyNumberFormat="1" applyFont="1" applyFill="1" applyBorder="1" applyAlignment="1">
      <alignment horizontal="right" vertical="center"/>
    </xf>
    <xf numFmtId="4" fontId="34" fillId="2" borderId="102" xfId="18" applyNumberFormat="1" applyFont="1" applyFill="1" applyBorder="1" applyAlignment="1">
      <alignment horizontal="right" vertical="center"/>
    </xf>
    <xf numFmtId="4" fontId="34" fillId="2" borderId="85" xfId="18" applyNumberFormat="1" applyFont="1" applyFill="1" applyBorder="1" applyAlignment="1">
      <alignment horizontal="left" vertical="center"/>
    </xf>
    <xf numFmtId="4" fontId="34" fillId="2" borderId="85" xfId="5" applyNumberFormat="1" applyFont="1" applyFill="1" applyBorder="1" applyAlignment="1">
      <alignment horizontal="right" vertical="center"/>
    </xf>
    <xf numFmtId="4" fontId="34" fillId="2" borderId="85" xfId="18" applyNumberFormat="1" applyFont="1" applyFill="1" applyBorder="1" applyAlignment="1">
      <alignment horizontal="right" vertical="center"/>
    </xf>
    <xf numFmtId="4" fontId="34" fillId="2" borderId="96" xfId="5" applyNumberFormat="1" applyFont="1" applyFill="1" applyBorder="1" applyAlignment="1">
      <alignment horizontal="right" vertical="center"/>
    </xf>
    <xf numFmtId="4" fontId="34" fillId="2" borderId="85" xfId="18" applyNumberFormat="1" applyFont="1" applyFill="1" applyBorder="1" applyAlignment="1">
      <alignment horizontal="left" vertical="center" wrapText="1"/>
    </xf>
    <xf numFmtId="4" fontId="33" fillId="2" borderId="93" xfId="5" applyNumberFormat="1" applyFont="1" applyFill="1" applyBorder="1" applyAlignment="1">
      <alignment horizontal="left" vertical="center"/>
    </xf>
    <xf numFmtId="4" fontId="34" fillId="2" borderId="127" xfId="18" applyNumberFormat="1" applyFont="1" applyFill="1" applyBorder="1" applyAlignment="1">
      <alignment horizontal="right" vertical="center"/>
    </xf>
    <xf numFmtId="4" fontId="34" fillId="2" borderId="91" xfId="18" applyNumberFormat="1" applyFont="1" applyFill="1" applyBorder="1" applyAlignment="1">
      <alignment horizontal="center" vertical="center"/>
    </xf>
    <xf numFmtId="4" fontId="34" fillId="2" borderId="54" xfId="18" applyNumberFormat="1" applyFont="1" applyFill="1" applyBorder="1" applyAlignment="1">
      <alignment horizontal="center" vertical="center"/>
    </xf>
    <xf numFmtId="4" fontId="34" fillId="2" borderId="92" xfId="18" applyNumberFormat="1" applyFont="1" applyFill="1" applyBorder="1" applyAlignment="1">
      <alignment horizontal="center" vertical="center"/>
    </xf>
    <xf numFmtId="4" fontId="33" fillId="43" borderId="82" xfId="5" applyNumberFormat="1" applyFont="1" applyFill="1" applyBorder="1" applyAlignment="1">
      <alignment horizontal="center" vertical="center" wrapText="1"/>
    </xf>
    <xf numFmtId="4" fontId="33" fillId="0" borderId="104" xfId="18" applyNumberFormat="1" applyFont="1" applyFill="1" applyBorder="1" applyAlignment="1">
      <alignment horizontal="center" vertical="center"/>
    </xf>
    <xf numFmtId="4" fontId="34" fillId="2" borderId="85" xfId="5" applyNumberFormat="1" applyFont="1" applyFill="1" applyBorder="1" applyAlignment="1">
      <alignment horizontal="left" vertical="center" wrapText="1"/>
    </xf>
    <xf numFmtId="4" fontId="34" fillId="0" borderId="85" xfId="18" applyNumberFormat="1" applyFont="1" applyFill="1" applyBorder="1" applyAlignment="1">
      <alignment horizontal="left" vertical="center" wrapText="1"/>
    </xf>
    <xf numFmtId="4" fontId="34" fillId="0" borderId="83" xfId="5" applyNumberFormat="1" applyFont="1" applyFill="1" applyBorder="1" applyAlignment="1">
      <alignment horizontal="left" vertical="center"/>
    </xf>
    <xf numFmtId="4" fontId="34" fillId="0" borderId="61" xfId="5" applyNumberFormat="1" applyFont="1" applyFill="1" applyBorder="1" applyAlignment="1">
      <alignment horizontal="left" vertical="center"/>
    </xf>
    <xf numFmtId="4" fontId="34" fillId="0" borderId="28" xfId="5" applyNumberFormat="1" applyFont="1" applyFill="1" applyBorder="1" applyAlignment="1">
      <alignment horizontal="left" vertical="center"/>
    </xf>
    <xf numFmtId="4" fontId="34" fillId="20" borderId="18" xfId="18" applyNumberFormat="1" applyFont="1" applyFill="1" applyBorder="1" applyAlignment="1">
      <alignment horizontal="right" vertical="center"/>
    </xf>
    <xf numFmtId="4" fontId="34" fillId="0" borderId="83" xfId="18" applyNumberFormat="1" applyFont="1" applyFill="1" applyBorder="1" applyAlignment="1">
      <alignment horizontal="justify" vertical="center" wrapText="1"/>
    </xf>
    <xf numFmtId="4" fontId="34" fillId="0" borderId="61" xfId="18" applyNumberFormat="1" applyFont="1" applyFill="1" applyBorder="1" applyAlignment="1">
      <alignment horizontal="justify" vertical="center" wrapText="1"/>
    </xf>
    <xf numFmtId="4" fontId="34" fillId="0" borderId="28" xfId="18" applyNumberFormat="1" applyFont="1" applyFill="1" applyBorder="1" applyAlignment="1">
      <alignment horizontal="justify" vertical="center" wrapText="1"/>
    </xf>
    <xf numFmtId="4" fontId="33" fillId="0" borderId="83" xfId="18" applyNumberFormat="1" applyFont="1" applyFill="1" applyBorder="1" applyAlignment="1">
      <alignment horizontal="center" vertical="center"/>
    </xf>
    <xf numFmtId="4" fontId="33" fillId="0" borderId="61" xfId="18" applyNumberFormat="1" applyFont="1" applyFill="1" applyBorder="1" applyAlignment="1">
      <alignment horizontal="center" vertical="center"/>
    </xf>
    <xf numFmtId="4" fontId="33" fillId="0" borderId="84" xfId="18" applyNumberFormat="1" applyFont="1" applyFill="1" applyBorder="1" applyAlignment="1">
      <alignment horizontal="center" vertical="center"/>
    </xf>
    <xf numFmtId="4" fontId="34" fillId="2" borderId="96" xfId="18" applyNumberFormat="1" applyFont="1" applyFill="1" applyBorder="1" applyAlignment="1">
      <alignment horizontal="right" vertical="center"/>
    </xf>
    <xf numFmtId="4" fontId="34" fillId="2" borderId="83" xfId="18" applyNumberFormat="1" applyFont="1" applyFill="1" applyBorder="1" applyAlignment="1">
      <alignment horizontal="left" vertical="center" wrapText="1"/>
    </xf>
    <xf numFmtId="4" fontId="34" fillId="2" borderId="61" xfId="18" applyNumberFormat="1" applyFont="1" applyFill="1" applyBorder="1" applyAlignment="1">
      <alignment horizontal="left" vertical="center" wrapText="1"/>
    </xf>
    <xf numFmtId="4" fontId="34" fillId="2" borderId="28" xfId="18" applyNumberFormat="1" applyFont="1" applyFill="1" applyBorder="1" applyAlignment="1">
      <alignment horizontal="left" vertical="center" wrapText="1"/>
    </xf>
    <xf numFmtId="4" fontId="34" fillId="2" borderId="83" xfId="18" applyNumberFormat="1" applyFont="1" applyFill="1" applyBorder="1" applyAlignment="1">
      <alignment horizontal="justify" vertical="center" wrapText="1"/>
    </xf>
    <xf numFmtId="4" fontId="34" fillId="2" borderId="61" xfId="18" applyNumberFormat="1" applyFont="1" applyFill="1" applyBorder="1" applyAlignment="1">
      <alignment horizontal="justify" vertical="center" wrapText="1"/>
    </xf>
    <xf numFmtId="4" fontId="34" fillId="2" borderId="28" xfId="18" applyNumberFormat="1" applyFont="1" applyFill="1" applyBorder="1" applyAlignment="1">
      <alignment horizontal="justify" vertical="center" wrapText="1"/>
    </xf>
    <xf numFmtId="4" fontId="34" fillId="44" borderId="83" xfId="18" applyNumberFormat="1" applyFont="1" applyFill="1" applyBorder="1" applyAlignment="1">
      <alignment horizontal="left" vertical="center"/>
    </xf>
    <xf numFmtId="4" fontId="34" fillId="44" borderId="61" xfId="18" applyNumberFormat="1" applyFont="1" applyFill="1" applyBorder="1" applyAlignment="1">
      <alignment horizontal="left" vertical="center"/>
    </xf>
    <xf numFmtId="4" fontId="34" fillId="44" borderId="28" xfId="18" applyNumberFormat="1" applyFont="1" applyFill="1" applyBorder="1" applyAlignment="1">
      <alignment horizontal="left" vertical="center"/>
    </xf>
    <xf numFmtId="3" fontId="34" fillId="0" borderId="37" xfId="0" applyNumberFormat="1" applyFont="1" applyFill="1" applyBorder="1" applyAlignment="1">
      <alignment horizontal="right" vertical="center"/>
    </xf>
    <xf numFmtId="3" fontId="34" fillId="0" borderId="38" xfId="0" applyNumberFormat="1" applyFont="1" applyFill="1" applyBorder="1" applyAlignment="1">
      <alignment horizontal="right" vertical="center"/>
    </xf>
    <xf numFmtId="4" fontId="33" fillId="6" borderId="116" xfId="0" applyNumberFormat="1" applyFont="1" applyFill="1" applyBorder="1" applyAlignment="1">
      <alignment horizontal="center" vertical="center"/>
    </xf>
    <xf numFmtId="4" fontId="33" fillId="6" borderId="117" xfId="0" applyNumberFormat="1" applyFont="1" applyFill="1" applyBorder="1" applyAlignment="1">
      <alignment horizontal="center" vertical="center"/>
    </xf>
    <xf numFmtId="4" fontId="33" fillId="6" borderId="118" xfId="0" applyNumberFormat="1" applyFont="1" applyFill="1" applyBorder="1" applyAlignment="1">
      <alignment horizontal="center" vertical="center"/>
    </xf>
    <xf numFmtId="4" fontId="34" fillId="6" borderId="58" xfId="0" applyNumberFormat="1" applyFont="1" applyFill="1" applyBorder="1" applyAlignment="1">
      <alignment horizontal="center"/>
    </xf>
    <xf numFmtId="4" fontId="34" fillId="6" borderId="54" xfId="0" applyNumberFormat="1" applyFont="1" applyFill="1" applyBorder="1" applyAlignment="1">
      <alignment horizontal="center"/>
    </xf>
    <xf numFmtId="4" fontId="34" fillId="6" borderId="31" xfId="0" applyNumberFormat="1" applyFont="1" applyFill="1" applyBorder="1" applyAlignment="1">
      <alignment horizontal="center"/>
    </xf>
    <xf numFmtId="4" fontId="34" fillId="6" borderId="115" xfId="0" applyNumberFormat="1" applyFont="1" applyFill="1" applyBorder="1" applyAlignment="1">
      <alignment horizontal="center"/>
    </xf>
    <xf numFmtId="4" fontId="34" fillId="6" borderId="0" xfId="0" applyNumberFormat="1" applyFont="1" applyFill="1" applyBorder="1" applyAlignment="1">
      <alignment horizontal="center"/>
    </xf>
    <xf numFmtId="4" fontId="34" fillId="6" borderId="76" xfId="0" applyNumberFormat="1" applyFont="1" applyFill="1" applyBorder="1" applyAlignment="1">
      <alignment horizontal="center"/>
    </xf>
    <xf numFmtId="4" fontId="34" fillId="6" borderId="50" xfId="0" applyNumberFormat="1" applyFont="1" applyFill="1" applyBorder="1" applyAlignment="1">
      <alignment horizontal="center"/>
    </xf>
    <xf numFmtId="4" fontId="34" fillId="6" borderId="51" xfId="0" applyNumberFormat="1" applyFont="1" applyFill="1" applyBorder="1" applyAlignment="1">
      <alignment horizontal="center"/>
    </xf>
    <xf numFmtId="4" fontId="34" fillId="6" borderId="52" xfId="0" applyNumberFormat="1" applyFont="1" applyFill="1" applyBorder="1" applyAlignment="1">
      <alignment horizontal="center"/>
    </xf>
    <xf numFmtId="0" fontId="16" fillId="0" borderId="0" xfId="0" applyFont="1" applyAlignment="1"/>
    <xf numFmtId="0" fontId="17" fillId="0" borderId="0" xfId="0" applyFont="1" applyAlignment="1"/>
    <xf numFmtId="0" fontId="5" fillId="0" borderId="72" xfId="0" applyFont="1" applyBorder="1" applyAlignment="1">
      <alignment horizontal="center" vertical="center"/>
    </xf>
    <xf numFmtId="0" fontId="5" fillId="0" borderId="73" xfId="0" applyFont="1" applyBorder="1" applyAlignment="1">
      <alignment horizontal="center" vertical="center"/>
    </xf>
    <xf numFmtId="0" fontId="4" fillId="0" borderId="16" xfId="0" applyFont="1" applyBorder="1" applyAlignment="1">
      <alignment horizontal="right"/>
    </xf>
    <xf numFmtId="0" fontId="0" fillId="0" borderId="16" xfId="0" applyFont="1" applyBorder="1" applyAlignment="1">
      <alignment horizontal="right"/>
    </xf>
    <xf numFmtId="0" fontId="5" fillId="0" borderId="8" xfId="9" applyFont="1" applyBorder="1" applyAlignment="1">
      <alignment horizontal="center" vertical="center"/>
    </xf>
    <xf numFmtId="0" fontId="5" fillId="0" borderId="0" xfId="9" applyFont="1" applyBorder="1" applyAlignment="1">
      <alignment horizontal="center" vertical="center"/>
    </xf>
    <xf numFmtId="0" fontId="5" fillId="0" borderId="9" xfId="9" applyFont="1" applyBorder="1" applyAlignment="1">
      <alignment horizontal="center" vertical="center"/>
    </xf>
    <xf numFmtId="0" fontId="6" fillId="0" borderId="55" xfId="9" applyFont="1" applyFill="1" applyBorder="1" applyAlignment="1">
      <alignment horizontal="center" vertical="center"/>
    </xf>
    <xf numFmtId="0" fontId="6" fillId="0" borderId="10" xfId="9" applyFont="1" applyFill="1" applyBorder="1" applyAlignment="1">
      <alignment horizontal="center" vertical="center"/>
    </xf>
    <xf numFmtId="0" fontId="6" fillId="0" borderId="11" xfId="9" applyFont="1" applyFill="1" applyBorder="1" applyAlignment="1">
      <alignment horizontal="center" vertical="center"/>
    </xf>
    <xf numFmtId="0" fontId="19" fillId="0" borderId="63" xfId="9" applyFont="1" applyBorder="1" applyAlignment="1">
      <alignment horizontal="justify" vertical="center" wrapText="1"/>
    </xf>
    <xf numFmtId="0" fontId="19" fillId="0" borderId="64" xfId="9" applyFont="1" applyBorder="1" applyAlignment="1">
      <alignment horizontal="justify" vertical="center" wrapText="1"/>
    </xf>
    <xf numFmtId="0" fontId="19" fillId="0" borderId="65" xfId="9" applyFont="1" applyBorder="1" applyAlignment="1">
      <alignment horizontal="justify" vertical="center" wrapText="1"/>
    </xf>
    <xf numFmtId="0" fontId="19" fillId="0" borderId="59" xfId="9" applyFont="1" applyBorder="1" applyAlignment="1">
      <alignment horizontal="justify" vertical="center" wrapText="1"/>
    </xf>
    <xf numFmtId="0" fontId="19" fillId="0" borderId="29" xfId="9" applyFont="1" applyBorder="1" applyAlignment="1">
      <alignment horizontal="justify" vertical="center" wrapText="1"/>
    </xf>
    <xf numFmtId="0" fontId="19" fillId="0" borderId="20" xfId="9" applyFont="1" applyBorder="1" applyAlignment="1">
      <alignment horizontal="justify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169" fontId="4" fillId="0" borderId="16" xfId="0" applyNumberFormat="1" applyFont="1" applyBorder="1" applyAlignment="1">
      <alignment horizontal="left" vertical="center"/>
    </xf>
    <xf numFmtId="169" fontId="4" fillId="0" borderId="17" xfId="0" applyNumberFormat="1" applyFont="1" applyBorder="1" applyAlignment="1">
      <alignment horizontal="left" vertical="center"/>
    </xf>
    <xf numFmtId="169" fontId="4" fillId="0" borderId="10" xfId="0" applyNumberFormat="1" applyFont="1" applyBorder="1" applyAlignment="1">
      <alignment horizontal="left" vertical="center"/>
    </xf>
    <xf numFmtId="169" fontId="4" fillId="0" borderId="11" xfId="0" applyNumberFormat="1" applyFont="1" applyBorder="1" applyAlignment="1">
      <alignment horizontal="left" vertical="center"/>
    </xf>
    <xf numFmtId="0" fontId="4" fillId="8" borderId="74" xfId="0" applyFont="1" applyFill="1" applyBorder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0" fontId="4" fillId="8" borderId="44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7" fillId="0" borderId="69" xfId="9" applyFont="1" applyBorder="1" applyAlignment="1">
      <alignment horizontal="center"/>
    </xf>
    <xf numFmtId="0" fontId="7" fillId="0" borderId="70" xfId="9" applyFont="1" applyBorder="1" applyAlignment="1">
      <alignment horizontal="center"/>
    </xf>
    <xf numFmtId="0" fontId="7" fillId="0" borderId="71" xfId="9" applyFont="1" applyBorder="1" applyAlignment="1">
      <alignment horizontal="center"/>
    </xf>
    <xf numFmtId="0" fontId="4" fillId="0" borderId="0" xfId="9" applyFont="1" applyBorder="1" applyAlignment="1">
      <alignment horizontal="right"/>
    </xf>
    <xf numFmtId="49" fontId="31" fillId="0" borderId="25" xfId="0" applyNumberFormat="1" applyFont="1" applyBorder="1" applyAlignment="1">
      <alignment horizontal="center" vertical="top" wrapText="1"/>
    </xf>
    <xf numFmtId="49" fontId="31" fillId="0" borderId="16" xfId="0" applyNumberFormat="1" applyFont="1" applyBorder="1" applyAlignment="1">
      <alignment horizontal="center" vertical="top" wrapText="1"/>
    </xf>
    <xf numFmtId="49" fontId="31" fillId="0" borderId="17" xfId="0" applyNumberFormat="1" applyFont="1" applyBorder="1" applyAlignment="1">
      <alignment horizontal="center" vertical="top" wrapText="1"/>
    </xf>
    <xf numFmtId="49" fontId="31" fillId="0" borderId="8" xfId="0" applyNumberFormat="1" applyFont="1" applyBorder="1" applyAlignment="1">
      <alignment horizontal="center" vertical="top" wrapText="1"/>
    </xf>
    <xf numFmtId="49" fontId="31" fillId="0" borderId="0" xfId="0" applyNumberFormat="1" applyFont="1" applyBorder="1" applyAlignment="1">
      <alignment horizontal="center" vertical="top" wrapText="1"/>
    </xf>
    <xf numFmtId="49" fontId="31" fillId="0" borderId="9" xfId="0" applyNumberFormat="1" applyFont="1" applyBorder="1" applyAlignment="1">
      <alignment horizontal="center" vertical="top" wrapText="1"/>
    </xf>
    <xf numFmtId="49" fontId="31" fillId="0" borderId="55" xfId="0" applyNumberFormat="1" applyFont="1" applyBorder="1" applyAlignment="1">
      <alignment horizontal="center" vertical="top" wrapText="1"/>
    </xf>
    <xf numFmtId="49" fontId="31" fillId="0" borderId="10" xfId="0" applyNumberFormat="1" applyFont="1" applyBorder="1" applyAlignment="1">
      <alignment horizontal="center" vertical="top" wrapText="1"/>
    </xf>
    <xf numFmtId="49" fontId="31" fillId="0" borderId="11" xfId="0" applyNumberFormat="1" applyFont="1" applyBorder="1" applyAlignment="1">
      <alignment horizontal="center" vertical="top" wrapText="1"/>
    </xf>
    <xf numFmtId="0" fontId="18" fillId="19" borderId="60" xfId="9" applyFont="1" applyFill="1" applyBorder="1" applyAlignment="1">
      <alignment horizontal="center" vertical="center"/>
    </xf>
    <xf numFmtId="0" fontId="18" fillId="19" borderId="61" xfId="9" applyFont="1" applyFill="1" applyBorder="1" applyAlignment="1">
      <alignment horizontal="center" vertical="center"/>
    </xf>
    <xf numFmtId="0" fontId="18" fillId="19" borderId="62" xfId="9" applyFont="1" applyFill="1" applyBorder="1" applyAlignment="1">
      <alignment horizontal="center" vertical="center"/>
    </xf>
    <xf numFmtId="0" fontId="5" fillId="0" borderId="8" xfId="9" applyFont="1" applyFill="1" applyBorder="1" applyAlignment="1">
      <alignment horizontal="center" vertical="center"/>
    </xf>
    <xf numFmtId="0" fontId="5" fillId="0" borderId="0" xfId="9" applyFont="1" applyFill="1" applyBorder="1" applyAlignment="1">
      <alignment horizontal="center" vertical="center"/>
    </xf>
    <xf numFmtId="0" fontId="5" fillId="0" borderId="9" xfId="9" applyFont="1" applyFill="1" applyBorder="1" applyAlignment="1">
      <alignment horizontal="center" vertical="center"/>
    </xf>
    <xf numFmtId="0" fontId="7" fillId="0" borderId="25" xfId="9" applyBorder="1" applyAlignment="1">
      <alignment horizontal="center"/>
    </xf>
    <xf numFmtId="0" fontId="7" fillId="0" borderId="16" xfId="9" applyBorder="1" applyAlignment="1">
      <alignment horizontal="center"/>
    </xf>
    <xf numFmtId="0" fontId="7" fillId="0" borderId="17" xfId="9" applyBorder="1" applyAlignment="1">
      <alignment horizontal="center"/>
    </xf>
    <xf numFmtId="0" fontId="7" fillId="0" borderId="8" xfId="9" applyBorder="1" applyAlignment="1">
      <alignment horizontal="center"/>
    </xf>
    <xf numFmtId="0" fontId="7" fillId="0" borderId="0" xfId="9" applyBorder="1" applyAlignment="1">
      <alignment horizontal="center"/>
    </xf>
    <xf numFmtId="0" fontId="7" fillId="0" borderId="9" xfId="9" applyBorder="1" applyAlignment="1">
      <alignment horizontal="center"/>
    </xf>
    <xf numFmtId="0" fontId="7" fillId="0" borderId="59" xfId="9" applyBorder="1" applyAlignment="1">
      <alignment horizontal="center"/>
    </xf>
    <xf numFmtId="0" fontId="7" fillId="0" borderId="29" xfId="9" applyBorder="1" applyAlignment="1">
      <alignment horizontal="center"/>
    </xf>
    <xf numFmtId="0" fontId="7" fillId="0" borderId="20" xfId="9" applyBorder="1" applyAlignment="1">
      <alignment horizontal="center"/>
    </xf>
    <xf numFmtId="4" fontId="4" fillId="0" borderId="66" xfId="9" applyNumberFormat="1" applyFont="1" applyBorder="1" applyAlignment="1">
      <alignment horizontal="left" vertical="center"/>
    </xf>
    <xf numFmtId="0" fontId="4" fillId="0" borderId="66" xfId="9" applyFont="1" applyBorder="1" applyAlignment="1">
      <alignment horizontal="left" vertical="center"/>
    </xf>
    <xf numFmtId="0" fontId="4" fillId="0" borderId="67" xfId="9" applyFont="1" applyBorder="1" applyAlignment="1">
      <alignment horizontal="left" vertical="center"/>
    </xf>
    <xf numFmtId="0" fontId="4" fillId="7" borderId="68" xfId="9" applyFont="1" applyFill="1" applyBorder="1" applyAlignment="1">
      <alignment horizontal="center" vertical="center"/>
    </xf>
    <xf numFmtId="0" fontId="4" fillId="7" borderId="41" xfId="9" applyFont="1" applyFill="1" applyBorder="1" applyAlignment="1">
      <alignment horizontal="center" vertical="center"/>
    </xf>
    <xf numFmtId="0" fontId="4" fillId="0" borderId="56" xfId="4" applyFont="1" applyBorder="1" applyAlignment="1">
      <alignment horizontal="center" vertical="center"/>
    </xf>
    <xf numFmtId="0" fontId="4" fillId="0" borderId="30" xfId="4" applyFont="1" applyBorder="1" applyAlignment="1">
      <alignment horizontal="center" vertical="center"/>
    </xf>
    <xf numFmtId="0" fontId="4" fillId="0" borderId="57" xfId="4" applyFont="1" applyBorder="1" applyAlignment="1">
      <alignment horizontal="center" vertical="center"/>
    </xf>
    <xf numFmtId="0" fontId="7" fillId="0" borderId="14" xfId="4" applyBorder="1" applyAlignment="1">
      <alignment horizontal="left" vertical="center"/>
    </xf>
    <xf numFmtId="0" fontId="7" fillId="0" borderId="30" xfId="4" applyBorder="1" applyAlignment="1">
      <alignment horizontal="left" vertical="center"/>
    </xf>
    <xf numFmtId="0" fontId="7" fillId="0" borderId="57" xfId="4" applyBorder="1" applyAlignment="1">
      <alignment horizontal="left" vertical="center"/>
    </xf>
    <xf numFmtId="0" fontId="7" fillId="0" borderId="56" xfId="4" applyBorder="1" applyAlignment="1">
      <alignment horizontal="center" vertical="center"/>
    </xf>
    <xf numFmtId="0" fontId="7" fillId="0" borderId="30" xfId="4" applyBorder="1" applyAlignment="1">
      <alignment horizontal="center" vertical="center"/>
    </xf>
    <xf numFmtId="0" fontId="7" fillId="0" borderId="57" xfId="4" applyBorder="1" applyAlignment="1">
      <alignment horizontal="center" vertical="center"/>
    </xf>
    <xf numFmtId="0" fontId="4" fillId="0" borderId="14" xfId="4" applyFont="1" applyBorder="1" applyAlignment="1">
      <alignment horizontal="left" vertical="center"/>
    </xf>
    <xf numFmtId="0" fontId="4" fillId="0" borderId="30" xfId="4" applyFont="1" applyBorder="1" applyAlignment="1">
      <alignment horizontal="left" vertical="center"/>
    </xf>
    <xf numFmtId="0" fontId="4" fillId="0" borderId="57" xfId="4" applyFont="1" applyBorder="1" applyAlignment="1">
      <alignment horizontal="left" vertical="center"/>
    </xf>
    <xf numFmtId="0" fontId="4" fillId="0" borderId="78" xfId="4" applyFont="1" applyBorder="1" applyAlignment="1">
      <alignment horizontal="left" vertical="center"/>
    </xf>
    <xf numFmtId="0" fontId="4" fillId="0" borderId="79" xfId="4" applyFont="1" applyBorder="1" applyAlignment="1">
      <alignment horizontal="left" vertical="center"/>
    </xf>
    <xf numFmtId="0" fontId="4" fillId="0" borderId="80" xfId="4" applyFont="1" applyBorder="1" applyAlignment="1">
      <alignment horizontal="left" vertical="center"/>
    </xf>
    <xf numFmtId="0" fontId="7" fillId="0" borderId="14" xfId="4" applyBorder="1" applyAlignment="1">
      <alignment horizontal="center" vertical="center"/>
    </xf>
    <xf numFmtId="0" fontId="7" fillId="0" borderId="14" xfId="4" applyFill="1" applyBorder="1" applyAlignment="1">
      <alignment horizontal="left" vertical="center"/>
    </xf>
    <xf numFmtId="0" fontId="7" fillId="0" borderId="30" xfId="4" applyFill="1" applyBorder="1" applyAlignment="1">
      <alignment horizontal="left" vertical="center"/>
    </xf>
    <xf numFmtId="0" fontId="7" fillId="0" borderId="57" xfId="4" applyFill="1" applyBorder="1" applyAlignment="1">
      <alignment horizontal="left" vertical="center"/>
    </xf>
    <xf numFmtId="0" fontId="0" fillId="0" borderId="56" xfId="4" applyFont="1" applyBorder="1" applyAlignment="1">
      <alignment horizontal="left" vertical="center"/>
    </xf>
    <xf numFmtId="0" fontId="0" fillId="0" borderId="30" xfId="4" applyFont="1" applyBorder="1" applyAlignment="1">
      <alignment horizontal="left" vertical="center"/>
    </xf>
    <xf numFmtId="0" fontId="0" fillId="0" borderId="57" xfId="4" applyFont="1" applyBorder="1" applyAlignment="1">
      <alignment horizontal="left" vertical="center"/>
    </xf>
    <xf numFmtId="0" fontId="0" fillId="0" borderId="26" xfId="4" applyFont="1" applyBorder="1" applyAlignment="1">
      <alignment horizontal="left" vertical="center"/>
    </xf>
    <xf numFmtId="0" fontId="0" fillId="0" borderId="14" xfId="4" applyFont="1" applyBorder="1" applyAlignment="1">
      <alignment horizontal="left" vertical="center"/>
    </xf>
    <xf numFmtId="0" fontId="7" fillId="0" borderId="26" xfId="4" applyFill="1" applyBorder="1" applyAlignment="1">
      <alignment horizontal="left" vertical="center"/>
    </xf>
    <xf numFmtId="0" fontId="4" fillId="0" borderId="56" xfId="4" applyFont="1" applyFill="1" applyBorder="1" applyAlignment="1">
      <alignment horizontal="center" vertical="center"/>
    </xf>
    <xf numFmtId="0" fontId="4" fillId="0" borderId="30" xfId="4" applyFont="1" applyFill="1" applyBorder="1" applyAlignment="1">
      <alignment horizontal="center" vertical="center"/>
    </xf>
    <xf numFmtId="0" fontId="4" fillId="0" borderId="57" xfId="4" applyFont="1" applyFill="1" applyBorder="1" applyAlignment="1">
      <alignment horizontal="center" vertical="center"/>
    </xf>
    <xf numFmtId="0" fontId="7" fillId="0" borderId="56" xfId="4" applyBorder="1" applyAlignment="1">
      <alignment horizontal="left" vertical="center"/>
    </xf>
    <xf numFmtId="0" fontId="7" fillId="0" borderId="26" xfId="4" applyBorder="1" applyAlignment="1">
      <alignment horizontal="left" vertical="center"/>
    </xf>
    <xf numFmtId="0" fontId="0" fillId="0" borderId="56" xfId="4" applyFont="1" applyBorder="1" applyAlignment="1">
      <alignment horizontal="center" vertical="center"/>
    </xf>
    <xf numFmtId="0" fontId="0" fillId="0" borderId="30" xfId="4" applyFont="1" applyBorder="1" applyAlignment="1">
      <alignment horizontal="center" vertical="center"/>
    </xf>
    <xf numFmtId="0" fontId="0" fillId="0" borderId="57" xfId="4" applyFont="1" applyBorder="1" applyAlignment="1">
      <alignment horizontal="center" vertical="center"/>
    </xf>
    <xf numFmtId="0" fontId="4" fillId="0" borderId="26" xfId="4" applyFont="1" applyFill="1" applyBorder="1" applyAlignment="1">
      <alignment horizontal="center" vertical="center"/>
    </xf>
    <xf numFmtId="0" fontId="7" fillId="0" borderId="56" xfId="4" applyFill="1" applyBorder="1" applyAlignment="1">
      <alignment horizontal="center" vertical="center"/>
    </xf>
    <xf numFmtId="0" fontId="7" fillId="0" borderId="30" xfId="4" applyFill="1" applyBorder="1" applyAlignment="1">
      <alignment horizontal="center" vertical="center"/>
    </xf>
    <xf numFmtId="0" fontId="7" fillId="0" borderId="26" xfId="4" applyFill="1" applyBorder="1" applyAlignment="1">
      <alignment horizontal="center" vertical="center"/>
    </xf>
    <xf numFmtId="0" fontId="7" fillId="0" borderId="26" xfId="4" applyBorder="1" applyAlignment="1">
      <alignment horizontal="center" vertical="center"/>
    </xf>
    <xf numFmtId="0" fontId="4" fillId="4" borderId="14" xfId="4" applyFont="1" applyFill="1" applyBorder="1" applyAlignment="1">
      <alignment horizontal="center" vertical="center"/>
    </xf>
    <xf numFmtId="0" fontId="4" fillId="4" borderId="30" xfId="4" applyFont="1" applyFill="1" applyBorder="1" applyAlignment="1">
      <alignment horizontal="center" vertical="center"/>
    </xf>
    <xf numFmtId="0" fontId="4" fillId="4" borderId="26" xfId="4" applyFont="1" applyFill="1" applyBorder="1" applyAlignment="1">
      <alignment horizontal="center" vertical="center"/>
    </xf>
    <xf numFmtId="0" fontId="4" fillId="0" borderId="56" xfId="4" applyFont="1" applyBorder="1" applyAlignment="1">
      <alignment horizontal="left" vertical="center"/>
    </xf>
    <xf numFmtId="0" fontId="4" fillId="0" borderId="26" xfId="4" applyFont="1" applyBorder="1" applyAlignment="1">
      <alignment horizontal="left" vertical="center"/>
    </xf>
    <xf numFmtId="0" fontId="7" fillId="0" borderId="53" xfId="4" applyBorder="1" applyAlignment="1">
      <alignment horizontal="center" vertical="center"/>
    </xf>
    <xf numFmtId="0" fontId="7" fillId="0" borderId="31" xfId="4" applyBorder="1" applyAlignment="1">
      <alignment horizontal="center" vertical="center"/>
    </xf>
    <xf numFmtId="0" fontId="7" fillId="0" borderId="8" xfId="4" applyBorder="1" applyAlignment="1">
      <alignment horizontal="center" vertical="center"/>
    </xf>
    <xf numFmtId="0" fontId="7" fillId="0" borderId="76" xfId="4" applyBorder="1" applyAlignment="1">
      <alignment horizontal="center" vertical="center"/>
    </xf>
    <xf numFmtId="0" fontId="7" fillId="0" borderId="77" xfId="4" applyBorder="1" applyAlignment="1">
      <alignment horizontal="center" vertical="center"/>
    </xf>
    <xf numFmtId="0" fontId="7" fillId="0" borderId="52" xfId="4" applyBorder="1" applyAlignment="1">
      <alignment horizontal="center" vertical="center"/>
    </xf>
    <xf numFmtId="0" fontId="0" fillId="0" borderId="53" xfId="4" applyFont="1" applyFill="1" applyBorder="1" applyAlignment="1">
      <alignment horizontal="center" vertical="center"/>
    </xf>
    <xf numFmtId="0" fontId="0" fillId="0" borderId="31" xfId="4" applyFont="1" applyFill="1" applyBorder="1" applyAlignment="1">
      <alignment horizontal="center" vertical="center"/>
    </xf>
    <xf numFmtId="0" fontId="0" fillId="0" borderId="77" xfId="4" applyFont="1" applyFill="1" applyBorder="1" applyAlignment="1">
      <alignment horizontal="center" vertical="center"/>
    </xf>
    <xf numFmtId="0" fontId="0" fillId="0" borderId="52" xfId="4" applyFont="1" applyFill="1" applyBorder="1" applyAlignment="1">
      <alignment horizontal="center" vertical="center"/>
    </xf>
    <xf numFmtId="0" fontId="7" fillId="0" borderId="57" xfId="4" applyFill="1" applyBorder="1" applyAlignment="1">
      <alignment horizontal="center" vertical="center"/>
    </xf>
    <xf numFmtId="0" fontId="7" fillId="0" borderId="23" xfId="4" applyBorder="1" applyAlignment="1">
      <alignment horizontal="center" vertical="center"/>
    </xf>
    <xf numFmtId="0" fontId="7" fillId="0" borderId="15" xfId="4" applyBorder="1" applyAlignment="1">
      <alignment horizontal="center" vertical="center"/>
    </xf>
    <xf numFmtId="0" fontId="7" fillId="0" borderId="24" xfId="4" applyBorder="1" applyAlignment="1">
      <alignment horizontal="center" vertical="center"/>
    </xf>
    <xf numFmtId="0" fontId="7" fillId="0" borderId="4" xfId="4" applyBorder="1" applyAlignment="1">
      <alignment horizontal="center" vertical="center"/>
    </xf>
    <xf numFmtId="0" fontId="7" fillId="0" borderId="5" xfId="4" applyBorder="1" applyAlignment="1">
      <alignment horizontal="center" vertical="center"/>
    </xf>
    <xf numFmtId="0" fontId="7" fillId="0" borderId="3" xfId="4" applyBorder="1" applyAlignment="1">
      <alignment horizontal="center" vertical="center"/>
    </xf>
    <xf numFmtId="0" fontId="4" fillId="3" borderId="56" xfId="4" applyFont="1" applyFill="1" applyBorder="1" applyAlignment="1">
      <alignment horizontal="justify" vertical="center" wrapText="1"/>
    </xf>
    <xf numFmtId="0" fontId="4" fillId="3" borderId="30" xfId="4" applyFont="1" applyFill="1" applyBorder="1" applyAlignment="1">
      <alignment horizontal="justify" vertical="center" wrapText="1"/>
    </xf>
    <xf numFmtId="0" fontId="4" fillId="3" borderId="57" xfId="4" applyFont="1" applyFill="1" applyBorder="1" applyAlignment="1">
      <alignment horizontal="justify" vertical="center" wrapText="1"/>
    </xf>
    <xf numFmtId="0" fontId="0" fillId="0" borderId="4" xfId="4" applyFont="1" applyBorder="1" applyAlignment="1">
      <alignment horizontal="center" vertical="center"/>
    </xf>
    <xf numFmtId="176" fontId="28" fillId="4" borderId="5" xfId="33" applyNumberFormat="1" applyFont="1" applyFill="1" applyBorder="1" applyAlignment="1">
      <alignment horizontal="center"/>
    </xf>
    <xf numFmtId="176" fontId="27" fillId="4" borderId="5" xfId="0" applyNumberFormat="1" applyFont="1" applyFill="1" applyBorder="1" applyAlignment="1">
      <alignment horizontal="center"/>
    </xf>
    <xf numFmtId="176" fontId="27" fillId="4" borderId="14" xfId="0" applyNumberFormat="1" applyFont="1" applyFill="1" applyBorder="1" applyAlignment="1">
      <alignment horizontal="center"/>
    </xf>
    <xf numFmtId="176" fontId="27" fillId="4" borderId="30" xfId="0" applyNumberFormat="1" applyFont="1" applyFill="1" applyBorder="1" applyAlignment="1">
      <alignment horizontal="center"/>
    </xf>
    <xf numFmtId="176" fontId="27" fillId="4" borderId="26" xfId="0" applyNumberFormat="1" applyFont="1" applyFill="1" applyBorder="1" applyAlignment="1">
      <alignment horizontal="center"/>
    </xf>
    <xf numFmtId="176" fontId="0" fillId="4" borderId="14" xfId="0" applyNumberFormat="1" applyFont="1" applyFill="1" applyBorder="1" applyAlignment="1">
      <alignment horizontal="right"/>
    </xf>
    <xf numFmtId="176" fontId="0" fillId="4" borderId="30" xfId="0" applyNumberFormat="1" applyFont="1" applyFill="1" applyBorder="1" applyAlignment="1">
      <alignment horizontal="right"/>
    </xf>
    <xf numFmtId="176" fontId="0" fillId="4" borderId="26" xfId="0" applyNumberFormat="1" applyFont="1" applyFill="1" applyBorder="1" applyAlignment="1">
      <alignment horizontal="right"/>
    </xf>
    <xf numFmtId="176" fontId="0" fillId="4" borderId="14" xfId="0" applyNumberFormat="1" applyFont="1" applyFill="1" applyBorder="1" applyAlignment="1">
      <alignment horizontal="left" vertical="center"/>
    </xf>
    <xf numFmtId="176" fontId="0" fillId="4" borderId="30" xfId="0" applyNumberFormat="1" applyFont="1" applyFill="1" applyBorder="1" applyAlignment="1">
      <alignment horizontal="left" vertical="center"/>
    </xf>
    <xf numFmtId="176" fontId="0" fillId="4" borderId="26" xfId="0" applyNumberFormat="1" applyFont="1" applyFill="1" applyBorder="1" applyAlignment="1">
      <alignment horizontal="left" vertical="center"/>
    </xf>
    <xf numFmtId="176" fontId="27" fillId="4" borderId="30" xfId="0" applyNumberFormat="1" applyFont="1" applyFill="1" applyBorder="1" applyAlignment="1">
      <alignment horizontal="center" vertical="center"/>
    </xf>
    <xf numFmtId="176" fontId="27" fillId="4" borderId="26" xfId="0" applyNumberFormat="1" applyFont="1" applyFill="1" applyBorder="1" applyAlignment="1">
      <alignment horizontal="center" vertical="center"/>
    </xf>
    <xf numFmtId="176" fontId="23" fillId="3" borderId="5" xfId="0" applyNumberFormat="1" applyFont="1" applyFill="1" applyBorder="1" applyAlignment="1">
      <alignment horizontal="right" vertical="center"/>
    </xf>
    <xf numFmtId="176" fontId="0" fillId="4" borderId="5" xfId="0" applyNumberFormat="1" applyFont="1" applyFill="1" applyBorder="1" applyAlignment="1">
      <alignment horizontal="center"/>
    </xf>
    <xf numFmtId="176" fontId="27" fillId="4" borderId="5" xfId="0" applyNumberFormat="1" applyFont="1" applyFill="1" applyBorder="1" applyAlignment="1">
      <alignment horizontal="right" vertical="center"/>
    </xf>
    <xf numFmtId="176" fontId="28" fillId="4" borderId="58" xfId="0" applyNumberFormat="1" applyFont="1" applyFill="1" applyBorder="1" applyAlignment="1">
      <alignment horizontal="center"/>
    </xf>
    <xf numFmtId="176" fontId="28" fillId="4" borderId="54" xfId="0" applyNumberFormat="1" applyFont="1" applyFill="1" applyBorder="1" applyAlignment="1">
      <alignment horizontal="center"/>
    </xf>
    <xf numFmtId="176" fontId="28" fillId="4" borderId="50" xfId="0" applyNumberFormat="1" applyFont="1" applyFill="1" applyBorder="1" applyAlignment="1">
      <alignment horizontal="center"/>
    </xf>
    <xf numFmtId="176" fontId="28" fillId="4" borderId="51" xfId="0" applyNumberFormat="1" applyFont="1" applyFill="1" applyBorder="1" applyAlignment="1">
      <alignment horizontal="center"/>
    </xf>
    <xf numFmtId="176" fontId="29" fillId="4" borderId="54" xfId="0" applyNumberFormat="1" applyFont="1" applyFill="1" applyBorder="1" applyAlignment="1">
      <alignment horizontal="left" vertical="center" wrapText="1"/>
    </xf>
    <xf numFmtId="176" fontId="29" fillId="4" borderId="31" xfId="0" applyNumberFormat="1" applyFont="1" applyFill="1" applyBorder="1" applyAlignment="1">
      <alignment horizontal="left" vertical="center" wrapText="1"/>
    </xf>
    <xf numFmtId="176" fontId="29" fillId="4" borderId="51" xfId="0" applyNumberFormat="1" applyFont="1" applyFill="1" applyBorder="1" applyAlignment="1">
      <alignment horizontal="left" vertical="center" wrapText="1"/>
    </xf>
    <xf numFmtId="176" fontId="29" fillId="4" borderId="52" xfId="0" applyNumberFormat="1" applyFont="1" applyFill="1" applyBorder="1" applyAlignment="1">
      <alignment horizontal="left" vertical="center" wrapText="1"/>
    </xf>
    <xf numFmtId="176" fontId="0" fillId="4" borderId="14" xfId="33" applyNumberFormat="1" applyFont="1" applyFill="1" applyBorder="1" applyAlignment="1">
      <alignment horizontal="right"/>
    </xf>
    <xf numFmtId="176" fontId="0" fillId="4" borderId="30" xfId="33" applyNumberFormat="1" applyFont="1" applyFill="1" applyBorder="1" applyAlignment="1">
      <alignment horizontal="right"/>
    </xf>
    <xf numFmtId="176" fontId="0" fillId="4" borderId="26" xfId="33" applyNumberFormat="1" applyFont="1" applyFill="1" applyBorder="1" applyAlignment="1">
      <alignment horizontal="right"/>
    </xf>
    <xf numFmtId="176" fontId="29" fillId="3" borderId="5" xfId="0" applyNumberFormat="1" applyFont="1" applyFill="1" applyBorder="1" applyAlignment="1">
      <alignment horizontal="center"/>
    </xf>
    <xf numFmtId="176" fontId="0" fillId="4" borderId="5" xfId="0" applyNumberFormat="1" applyFont="1" applyFill="1" applyBorder="1" applyAlignment="1">
      <alignment horizontal="left" wrapText="1"/>
    </xf>
    <xf numFmtId="0" fontId="4" fillId="11" borderId="18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4" fontId="28" fillId="5" borderId="56" xfId="8" applyNumberFormat="1" applyFont="1" applyFill="1" applyBorder="1" applyAlignment="1">
      <alignment horizontal="right" vertical="center" wrapText="1"/>
    </xf>
    <xf numFmtId="4" fontId="28" fillId="5" borderId="30" xfId="8" applyNumberFormat="1" applyFont="1" applyFill="1" applyBorder="1" applyAlignment="1">
      <alignment horizontal="right" vertical="center" wrapText="1"/>
    </xf>
    <xf numFmtId="4" fontId="28" fillId="5" borderId="26" xfId="8" applyNumberFormat="1" applyFont="1" applyFill="1" applyBorder="1" applyAlignment="1">
      <alignment horizontal="right" vertical="center" wrapText="1"/>
    </xf>
    <xf numFmtId="4" fontId="28" fillId="0" borderId="5" xfId="8" applyNumberFormat="1" applyFont="1" applyBorder="1" applyAlignment="1">
      <alignment horizontal="right" vertical="center" wrapText="1"/>
    </xf>
    <xf numFmtId="4" fontId="28" fillId="5" borderId="75" xfId="8" applyNumberFormat="1" applyFont="1" applyFill="1" applyBorder="1" applyAlignment="1">
      <alignment horizontal="right" vertical="center" wrapText="1"/>
    </xf>
    <xf numFmtId="4" fontId="28" fillId="5" borderId="12" xfId="8" applyNumberFormat="1" applyFont="1" applyFill="1" applyBorder="1" applyAlignment="1">
      <alignment horizontal="right" vertical="center" wrapText="1"/>
    </xf>
    <xf numFmtId="4" fontId="28" fillId="5" borderId="4" xfId="8" applyNumberFormat="1" applyFont="1" applyFill="1" applyBorder="1" applyAlignment="1">
      <alignment horizontal="right" vertical="center" wrapText="1"/>
    </xf>
    <xf numFmtId="4" fontId="28" fillId="18" borderId="5" xfId="8" applyNumberFormat="1" applyFont="1" applyFill="1" applyBorder="1" applyAlignment="1">
      <alignment horizontal="right" vertical="center" wrapText="1"/>
    </xf>
    <xf numFmtId="0" fontId="29" fillId="0" borderId="73" xfId="8" applyFont="1" applyBorder="1" applyAlignment="1">
      <alignment horizontal="left" vertical="center" wrapText="1"/>
    </xf>
    <xf numFmtId="0" fontId="29" fillId="0" borderId="73" xfId="8" applyFont="1" applyBorder="1" applyAlignment="1">
      <alignment horizontal="left" vertical="center"/>
    </xf>
    <xf numFmtId="0" fontId="29" fillId="0" borderId="47" xfId="8" applyFont="1" applyBorder="1" applyAlignment="1">
      <alignment horizontal="left" vertical="center"/>
    </xf>
    <xf numFmtId="0" fontId="28" fillId="0" borderId="72" xfId="8" applyFont="1" applyBorder="1" applyAlignment="1">
      <alignment horizontal="center" vertical="center"/>
    </xf>
    <xf numFmtId="0" fontId="28" fillId="0" borderId="73" xfId="8" applyFont="1" applyBorder="1" applyAlignment="1">
      <alignment horizontal="center" vertical="center"/>
    </xf>
    <xf numFmtId="4" fontId="29" fillId="13" borderId="25" xfId="8" applyNumberFormat="1" applyFont="1" applyFill="1" applyBorder="1" applyAlignment="1">
      <alignment horizontal="left" vertical="center" wrapText="1"/>
    </xf>
    <xf numFmtId="4" fontId="29" fillId="13" borderId="16" xfId="8" applyNumberFormat="1" applyFont="1" applyFill="1" applyBorder="1" applyAlignment="1">
      <alignment horizontal="left" vertical="center" wrapText="1"/>
    </xf>
    <xf numFmtId="4" fontId="29" fillId="13" borderId="17" xfId="8" applyNumberFormat="1" applyFont="1" applyFill="1" applyBorder="1" applyAlignment="1">
      <alignment horizontal="left" vertical="center" wrapText="1"/>
    </xf>
    <xf numFmtId="4" fontId="28" fillId="3" borderId="27" xfId="8" applyNumberFormat="1" applyFont="1" applyFill="1" applyBorder="1" applyAlignment="1">
      <alignment horizontal="center" vertical="center" wrapText="1"/>
    </xf>
    <xf numFmtId="4" fontId="28" fillId="3" borderId="13" xfId="8" applyNumberFormat="1" applyFont="1" applyFill="1" applyBorder="1" applyAlignment="1">
      <alignment horizontal="center" vertical="center" wrapText="1"/>
    </xf>
    <xf numFmtId="0" fontId="28" fillId="0" borderId="47" xfId="8" applyFont="1" applyBorder="1" applyAlignment="1">
      <alignment horizontal="center" vertical="center"/>
    </xf>
    <xf numFmtId="0" fontId="28" fillId="0" borderId="5" xfId="8" applyFont="1" applyBorder="1" applyAlignment="1">
      <alignment horizontal="center" vertical="center" wrapText="1"/>
    </xf>
    <xf numFmtId="4" fontId="28" fillId="0" borderId="5" xfId="8" applyNumberFormat="1" applyFont="1" applyBorder="1" applyAlignment="1">
      <alignment horizontal="center" vertical="center" wrapText="1"/>
    </xf>
    <xf numFmtId="4" fontId="28" fillId="5" borderId="53" xfId="8" applyNumberFormat="1" applyFont="1" applyFill="1" applyBorder="1" applyAlignment="1">
      <alignment horizontal="right" vertical="center" wrapText="1"/>
    </xf>
    <xf numFmtId="4" fontId="28" fillId="5" borderId="54" xfId="8" applyNumberFormat="1" applyFont="1" applyFill="1" applyBorder="1" applyAlignment="1">
      <alignment horizontal="right" vertical="center" wrapText="1"/>
    </xf>
    <xf numFmtId="4" fontId="28" fillId="5" borderId="31" xfId="8" applyNumberFormat="1" applyFont="1" applyFill="1" applyBorder="1" applyAlignment="1">
      <alignment horizontal="right" vertical="center" wrapText="1"/>
    </xf>
    <xf numFmtId="4" fontId="28" fillId="5" borderId="23" xfId="8" applyNumberFormat="1" applyFont="1" applyFill="1" applyBorder="1" applyAlignment="1">
      <alignment horizontal="right" vertical="center" wrapText="1"/>
    </xf>
    <xf numFmtId="4" fontId="28" fillId="5" borderId="15" xfId="8" applyNumberFormat="1" applyFont="1" applyFill="1" applyBorder="1" applyAlignment="1">
      <alignment horizontal="right" vertical="center" wrapText="1"/>
    </xf>
    <xf numFmtId="4" fontId="28" fillId="5" borderId="5" xfId="8" applyNumberFormat="1" applyFont="1" applyFill="1" applyBorder="1" applyAlignment="1">
      <alignment horizontal="left" vertical="center" wrapText="1"/>
    </xf>
    <xf numFmtId="4" fontId="29" fillId="14" borderId="72" xfId="8" applyNumberFormat="1" applyFont="1" applyFill="1" applyBorder="1" applyAlignment="1">
      <alignment horizontal="left" vertical="center" wrapText="1"/>
    </xf>
    <xf numFmtId="4" fontId="29" fillId="14" borderId="73" xfId="8" applyNumberFormat="1" applyFont="1" applyFill="1" applyBorder="1" applyAlignment="1">
      <alignment horizontal="left" vertical="center" wrapText="1"/>
    </xf>
    <xf numFmtId="4" fontId="29" fillId="14" borderId="47" xfId="8" applyNumberFormat="1" applyFont="1" applyFill="1" applyBorder="1" applyAlignment="1">
      <alignment horizontal="left" vertical="center" wrapText="1"/>
    </xf>
    <xf numFmtId="4" fontId="28" fillId="5" borderId="6" xfId="8" applyNumberFormat="1" applyFont="1" applyFill="1" applyBorder="1" applyAlignment="1">
      <alignment horizontal="right" vertical="center" wrapText="1"/>
    </xf>
    <xf numFmtId="4" fontId="28" fillId="5" borderId="7" xfId="8" applyNumberFormat="1" applyFont="1" applyFill="1" applyBorder="1" applyAlignment="1">
      <alignment horizontal="right" vertical="center" wrapText="1"/>
    </xf>
    <xf numFmtId="4" fontId="28" fillId="5" borderId="27" xfId="8" applyNumberFormat="1" applyFont="1" applyFill="1" applyBorder="1" applyAlignment="1">
      <alignment horizontal="right" vertical="center" wrapText="1"/>
    </xf>
    <xf numFmtId="4" fontId="28" fillId="5" borderId="13" xfId="8" applyNumberFormat="1" applyFont="1" applyFill="1" applyBorder="1" applyAlignment="1">
      <alignment horizontal="right" vertical="center" wrapText="1"/>
    </xf>
    <xf numFmtId="4" fontId="4" fillId="12" borderId="5" xfId="8" applyNumberFormat="1" applyFont="1" applyFill="1" applyBorder="1" applyAlignment="1">
      <alignment horizontal="left" vertical="center" wrapText="1"/>
    </xf>
    <xf numFmtId="4" fontId="28" fillId="5" borderId="53" xfId="8" applyNumberFormat="1" applyFont="1" applyFill="1" applyBorder="1" applyAlignment="1">
      <alignment horizontal="left" vertical="center" wrapText="1"/>
    </xf>
    <xf numFmtId="4" fontId="28" fillId="5" borderId="54" xfId="8" applyNumberFormat="1" applyFont="1" applyFill="1" applyBorder="1" applyAlignment="1">
      <alignment horizontal="left" vertical="center" wrapText="1"/>
    </xf>
    <xf numFmtId="4" fontId="28" fillId="5" borderId="31" xfId="8" applyNumberFormat="1" applyFont="1" applyFill="1" applyBorder="1" applyAlignment="1">
      <alignment horizontal="left" vertical="center" wrapText="1"/>
    </xf>
    <xf numFmtId="4" fontId="28" fillId="5" borderId="32" xfId="8" applyNumberFormat="1" applyFont="1" applyFill="1" applyBorder="1" applyAlignment="1">
      <alignment horizontal="right" vertical="center" wrapText="1"/>
    </xf>
    <xf numFmtId="4" fontId="28" fillId="18" borderId="27" xfId="8" applyNumberFormat="1" applyFont="1" applyFill="1" applyBorder="1" applyAlignment="1">
      <alignment horizontal="right" vertical="center" wrapText="1"/>
    </xf>
    <xf numFmtId="4" fontId="28" fillId="5" borderId="27" xfId="8" applyNumberFormat="1" applyFont="1" applyFill="1" applyBorder="1" applyAlignment="1">
      <alignment horizontal="left" vertical="center" wrapText="1"/>
    </xf>
  </cellXfs>
  <cellStyles count="78">
    <cellStyle name="20% - Ênfase1 2" xfId="34"/>
    <cellStyle name="20% - Ênfase2 2" xfId="35"/>
    <cellStyle name="20% - Ênfase3 2" xfId="36"/>
    <cellStyle name="20% - Ênfase4 2" xfId="37"/>
    <cellStyle name="20% - Ênfase5 2" xfId="38"/>
    <cellStyle name="20% - Ênfase6 2" xfId="39"/>
    <cellStyle name="40% - Ênfase1 2" xfId="40"/>
    <cellStyle name="40% - Ênfase2 2" xfId="41"/>
    <cellStyle name="40% - Ênfase3 2" xfId="42"/>
    <cellStyle name="40% - Ênfase4 2" xfId="43"/>
    <cellStyle name="40% - Ênfase5 2" xfId="44"/>
    <cellStyle name="40% - Ênfase6 2" xfId="45"/>
    <cellStyle name="60% - Ênfase1 2" xfId="46"/>
    <cellStyle name="60% - Ênfase2 2" xfId="47"/>
    <cellStyle name="60% - Ênfase3 2" xfId="48"/>
    <cellStyle name="60% - Ênfase4 2" xfId="49"/>
    <cellStyle name="60% - Ênfase5 2" xfId="50"/>
    <cellStyle name="60% - Ênfase6 2" xfId="51"/>
    <cellStyle name="Bom 2" xfId="52"/>
    <cellStyle name="Cálculo 2" xfId="53"/>
    <cellStyle name="Célula de Verificação 2" xfId="54"/>
    <cellStyle name="Célula Vinculada 2" xfId="55"/>
    <cellStyle name="Comma 2" xfId="1"/>
    <cellStyle name="Ênfase1 2" xfId="56"/>
    <cellStyle name="Ênfase2 2" xfId="57"/>
    <cellStyle name="Ênfase3 2" xfId="58"/>
    <cellStyle name="Ênfase4 2" xfId="59"/>
    <cellStyle name="Ênfase5 2" xfId="60"/>
    <cellStyle name="Ênfase6 2" xfId="61"/>
    <cellStyle name="Entrada 2" xfId="62"/>
    <cellStyle name="Euro" xfId="2"/>
    <cellStyle name="Excel Built-in Comma" xfId="3"/>
    <cellStyle name="Excel Built-in Normal" xfId="4"/>
    <cellStyle name="Excel_BuiltIn_Normal 2" xfId="5"/>
    <cellStyle name="Incorreto 2" xfId="63"/>
    <cellStyle name="Indefinido" xfId="6"/>
    <cellStyle name="Moeda" xfId="7" builtinId="4"/>
    <cellStyle name="Moeda 2" xfId="64"/>
    <cellStyle name="Moeda 2 2" xfId="76"/>
    <cellStyle name="Moeda 3" xfId="77"/>
    <cellStyle name="Neutra 2" xfId="65"/>
    <cellStyle name="Normal" xfId="0" builtinId="0"/>
    <cellStyle name="Normal 2" xfId="8"/>
    <cellStyle name="Normal 2 2" xfId="9"/>
    <cellStyle name="Normal 2 3" xfId="10"/>
    <cellStyle name="Normal 2_Material" xfId="11"/>
    <cellStyle name="Normal 3" xfId="12"/>
    <cellStyle name="Normal 3 2" xfId="13"/>
    <cellStyle name="Normal 3_Material" xfId="14"/>
    <cellStyle name="Normal 4" xfId="15"/>
    <cellStyle name="Normal 5" xfId="16"/>
    <cellStyle name="Normal 6" xfId="17"/>
    <cellStyle name="Normal_Estrutura_de_preço_-_CODEVASF_versão8" xfId="18"/>
    <cellStyle name="Nota 2" xfId="66"/>
    <cellStyle name="Porcentagem" xfId="19" builtinId="5"/>
    <cellStyle name="Porcentagem 2" xfId="20"/>
    <cellStyle name="Saída 2" xfId="67"/>
    <cellStyle name="Separador de milhares [0] 2" xfId="21"/>
    <cellStyle name="Separador de milhares [0] 3" xfId="22"/>
    <cellStyle name="Separador de milhares 2" xfId="23"/>
    <cellStyle name="Separador de milhares 2 2" xfId="24"/>
    <cellStyle name="Separador de milhares 3" xfId="25"/>
    <cellStyle name="Separador de milhares 3 2" xfId="26"/>
    <cellStyle name="Separador de milhares 4" xfId="27"/>
    <cellStyle name="Separador de milhares 4 2" xfId="28"/>
    <cellStyle name="Separador de milhares 5" xfId="29"/>
    <cellStyle name="Separador de milhares 6" xfId="30"/>
    <cellStyle name="TableStyleLight1" xfId="31"/>
    <cellStyle name="Texto de Aviso 2" xfId="68"/>
    <cellStyle name="Texto Explicativo 2" xfId="69"/>
    <cellStyle name="Título 1 1" xfId="32"/>
    <cellStyle name="Título 1 2" xfId="70"/>
    <cellStyle name="Título 2 2" xfId="71"/>
    <cellStyle name="Título 3 2" xfId="72"/>
    <cellStyle name="Título 4 2" xfId="73"/>
    <cellStyle name="Total 2" xfId="74"/>
    <cellStyle name="Vírgula" xfId="33" builtinId="3"/>
    <cellStyle name="Vírgula 2" xfId="75"/>
  </cellStyles>
  <dxfs count="1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33CC"/>
      <rgbColor rgb="0033CCCC"/>
      <rgbColor rgb="0099CC00"/>
      <rgbColor rgb="00FFCC00"/>
      <rgbColor rgb="00FF9900"/>
      <rgbColor rgb="00FF6600"/>
      <rgbColor rgb="00996666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419100</xdr:colOff>
      <xdr:row>0</xdr:row>
      <xdr:rowOff>114300</xdr:rowOff>
    </xdr:from>
    <xdr:to>
      <xdr:col>3</xdr:col>
      <xdr:colOff>1571625</xdr:colOff>
      <xdr:row>4</xdr:row>
      <xdr:rowOff>28575</xdr:rowOff>
    </xdr:to>
    <xdr:pic>
      <xdr:nvPicPr>
        <xdr:cNvPr id="1219303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" y="114300"/>
          <a:ext cx="27622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1804457</xdr:colOff>
      <xdr:row>0</xdr:row>
      <xdr:rowOff>104776</xdr:rowOff>
    </xdr:from>
    <xdr:to>
      <xdr:col>8</xdr:col>
      <xdr:colOff>1043827</xdr:colOff>
      <xdr:row>4</xdr:row>
      <xdr:rowOff>28576</xdr:rowOff>
    </xdr:to>
    <xdr:sp macro="" textlink="" fLocksText="0">
      <xdr:nvSpPr>
        <xdr:cNvPr id="5" name="CaixaDeTexto 6"/>
        <xdr:cNvSpPr txBox="1">
          <a:spLocks noChangeArrowheads="1"/>
        </xdr:cNvSpPr>
      </xdr:nvSpPr>
      <xdr:spPr bwMode="auto">
        <a:xfrm>
          <a:off x="3557057" y="104776"/>
          <a:ext cx="4849595" cy="571500"/>
        </a:xfrm>
        <a:prstGeom prst="rect">
          <a:avLst/>
        </a:prstGeom>
        <a:noFill/>
        <a:ln w="9525">
          <a:noFill/>
          <a:round/>
          <a:headEnd/>
          <a:tailEnd/>
        </a:ln>
      </xdr:spPr>
      <xdr:txBody>
        <a:bodyPr vertOverflow="clip" wrap="square" lIns="90000" tIns="46800" rIns="90000" bIns="46800" anchor="ctr" upright="1"/>
        <a:lstStyle/>
        <a:p>
          <a:pPr algn="l" rtl="1">
            <a:lnSpc>
              <a:spcPts val="1000"/>
            </a:lnSpc>
            <a:defRPr sz="1000"/>
          </a:pPr>
          <a:r>
            <a:rPr lang="pt-BR" sz="1100" b="1" i="0" strike="noStrike">
              <a:solidFill>
                <a:srgbClr val="000000"/>
              </a:solidFill>
              <a:latin typeface="+mn-lt"/>
              <a:cs typeface="Times New Roman"/>
            </a:rPr>
            <a:t>Ministério da Integração Nacional – MI</a:t>
          </a:r>
        </a:p>
        <a:p>
          <a:pPr algn="l" rtl="1">
            <a:lnSpc>
              <a:spcPts val="1000"/>
            </a:lnSpc>
            <a:defRPr sz="1000"/>
          </a:pPr>
          <a:r>
            <a:rPr lang="pt-BR" sz="1100" b="1" i="0" strike="noStrike">
              <a:solidFill>
                <a:srgbClr val="000000"/>
              </a:solidFill>
              <a:latin typeface="+mn-lt"/>
              <a:cs typeface="Times New Roman"/>
            </a:rPr>
            <a:t>Companhia de Desenvolvimento dos Vales do São Francisco e do Parnaíba</a:t>
          </a:r>
        </a:p>
        <a:p>
          <a:pPr algn="l" rtl="1">
            <a:lnSpc>
              <a:spcPts val="1000"/>
            </a:lnSpc>
            <a:defRPr sz="1000"/>
          </a:pPr>
          <a:r>
            <a:rPr lang="pt-BR" sz="1100" b="1" i="0" strike="noStrike">
              <a:solidFill>
                <a:srgbClr val="000000"/>
              </a:solidFill>
              <a:latin typeface="+mn-lt"/>
              <a:cs typeface="Times New Roman"/>
            </a:rPr>
            <a:t>3ª Superintendência Regional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813955</xdr:colOff>
      <xdr:row>1</xdr:row>
      <xdr:rowOff>43295</xdr:rowOff>
    </xdr:from>
    <xdr:to>
      <xdr:col>6</xdr:col>
      <xdr:colOff>0</xdr:colOff>
      <xdr:row>4</xdr:row>
      <xdr:rowOff>127288</xdr:rowOff>
    </xdr:to>
    <xdr:sp macro="" textlink="" fLocksText="0">
      <xdr:nvSpPr>
        <xdr:cNvPr id="2" name="Text Box 5"/>
        <xdr:cNvSpPr txBox="1">
          <a:spLocks noChangeArrowheads="1"/>
        </xdr:cNvSpPr>
      </xdr:nvSpPr>
      <xdr:spPr bwMode="auto">
        <a:xfrm>
          <a:off x="1833130" y="205220"/>
          <a:ext cx="4914034" cy="684068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Superintendência Regional - 3ª GRD</a:t>
          </a:r>
        </a:p>
      </xdr:txBody>
    </xdr:sp>
    <xdr:clientData/>
  </xdr:twoCellAnchor>
  <xdr:twoCellAnchor>
    <xdr:from>
      <xdr:col>1</xdr:col>
      <xdr:colOff>47625</xdr:colOff>
      <xdr:row>1</xdr:row>
      <xdr:rowOff>47625</xdr:rowOff>
    </xdr:from>
    <xdr:to>
      <xdr:col>2</xdr:col>
      <xdr:colOff>714375</xdr:colOff>
      <xdr:row>4</xdr:row>
      <xdr:rowOff>104775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209550"/>
          <a:ext cx="117157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19050</xdr:rowOff>
    </xdr:from>
    <xdr:to>
      <xdr:col>2</xdr:col>
      <xdr:colOff>1419225</xdr:colOff>
      <xdr:row>4</xdr:row>
      <xdr:rowOff>104775</xdr:rowOff>
    </xdr:to>
    <xdr:pic>
      <xdr:nvPicPr>
        <xdr:cNvPr id="122309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85750"/>
          <a:ext cx="20193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1428750</xdr:colOff>
      <xdr:row>1</xdr:row>
      <xdr:rowOff>123825</xdr:rowOff>
    </xdr:from>
    <xdr:to>
      <xdr:col>7</xdr:col>
      <xdr:colOff>19050</xdr:colOff>
      <xdr:row>5</xdr:row>
      <xdr:rowOff>68916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2343150" y="323850"/>
          <a:ext cx="4457700" cy="592791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7360" tIns="22680" rIns="0" bIns="0" anchor="t" upright="1"/>
        <a:lstStyle/>
        <a:p>
          <a:pPr algn="l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+mn-lt"/>
              <a:cs typeface="Arial"/>
            </a:rPr>
            <a:t>Ministério da Integração Nacional </a:t>
          </a:r>
        </a:p>
        <a:p>
          <a:pPr algn="l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+mn-lt"/>
              <a:cs typeface="Arial"/>
            </a:rPr>
            <a:t>Companhia de Desenvolvimento dos Vales do São Francisco e e do Parnaíba</a:t>
          </a:r>
        </a:p>
        <a:p>
          <a:pPr algn="l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+mn-lt"/>
              <a:cs typeface="Arial"/>
            </a:rPr>
            <a:t>3ª Superintendência Regional</a:t>
          </a:r>
        </a:p>
      </xdr:txBody>
    </xdr:sp>
    <xdr:clientData/>
  </xdr:twoCellAnchor>
  <xdr:twoCellAnchor>
    <xdr:from>
      <xdr:col>1</xdr:col>
      <xdr:colOff>0</xdr:colOff>
      <xdr:row>48</xdr:row>
      <xdr:rowOff>57150</xdr:rowOff>
    </xdr:from>
    <xdr:to>
      <xdr:col>2</xdr:col>
      <xdr:colOff>1409700</xdr:colOff>
      <xdr:row>50</xdr:row>
      <xdr:rowOff>142875</xdr:rowOff>
    </xdr:to>
    <xdr:pic>
      <xdr:nvPicPr>
        <xdr:cNvPr id="122309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696450"/>
          <a:ext cx="20193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1400174</xdr:colOff>
      <xdr:row>48</xdr:row>
      <xdr:rowOff>9525</xdr:rowOff>
    </xdr:from>
    <xdr:to>
      <xdr:col>6</xdr:col>
      <xdr:colOff>1400174</xdr:colOff>
      <xdr:row>51</xdr:row>
      <xdr:rowOff>107016</xdr:rowOff>
    </xdr:to>
    <xdr:sp macro="" textlink="" fLocksText="0">
      <xdr:nvSpPr>
        <xdr:cNvPr id="5" name="Text Box 2"/>
        <xdr:cNvSpPr txBox="1">
          <a:spLocks noChangeArrowheads="1"/>
        </xdr:cNvSpPr>
      </xdr:nvSpPr>
      <xdr:spPr bwMode="auto">
        <a:xfrm>
          <a:off x="2314574" y="9534525"/>
          <a:ext cx="4191000" cy="592791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7360" tIns="22680" rIns="0" bIns="0" anchor="t" upright="1"/>
        <a:lstStyle/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Ministério da Integração Nacional 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Companhia de Desenvolvimento dos Vales do São Francisco e e do Parnaíba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3ª Superintendência Regional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9525</xdr:rowOff>
    </xdr:from>
    <xdr:to>
      <xdr:col>2</xdr:col>
      <xdr:colOff>361950</xdr:colOff>
      <xdr:row>5</xdr:row>
      <xdr:rowOff>19050</xdr:rowOff>
    </xdr:to>
    <xdr:pic>
      <xdr:nvPicPr>
        <xdr:cNvPr id="122133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333375"/>
          <a:ext cx="2486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319716</xdr:colOff>
      <xdr:row>0</xdr:row>
      <xdr:rowOff>96327</xdr:rowOff>
    </xdr:from>
    <xdr:to>
      <xdr:col>6</xdr:col>
      <xdr:colOff>1905000</xdr:colOff>
      <xdr:row>6</xdr:row>
      <xdr:rowOff>53914</xdr:rowOff>
    </xdr:to>
    <xdr:sp macro="" textlink="" fLocksText="0">
      <xdr:nvSpPr>
        <xdr:cNvPr id="3" name="CaixaDeTexto 6"/>
        <xdr:cNvSpPr txBox="1">
          <a:spLocks noChangeArrowheads="1"/>
        </xdr:cNvSpPr>
      </xdr:nvSpPr>
      <xdr:spPr bwMode="auto">
        <a:xfrm>
          <a:off x="2557192" y="96327"/>
          <a:ext cx="4640473" cy="928059"/>
        </a:xfrm>
        <a:prstGeom prst="rect">
          <a:avLst/>
        </a:prstGeom>
        <a:noFill/>
        <a:ln w="9525">
          <a:noFill/>
          <a:round/>
          <a:headEnd/>
          <a:tailEnd/>
        </a:ln>
      </xdr:spPr>
      <xdr:txBody>
        <a:bodyPr vertOverflow="clip" wrap="square" lIns="90000" tIns="46800" rIns="90000" bIns="46800" anchor="ctr" upright="1"/>
        <a:lstStyle/>
        <a:p>
          <a:pPr algn="l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+mn-lt"/>
              <a:cs typeface="Times New Roman"/>
            </a:rPr>
            <a:t>Ministério da Integração Nacional – MI</a:t>
          </a:r>
        </a:p>
        <a:p>
          <a:pPr algn="l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+mn-lt"/>
              <a:cs typeface="Times New Roman"/>
            </a:rPr>
            <a:t>Companhia de Desenvolvimento dos Vales do São Francisco e do Parnaíba</a:t>
          </a:r>
        </a:p>
        <a:p>
          <a:pPr algn="l" rtl="1">
            <a:defRPr sz="1000"/>
          </a:pPr>
          <a:r>
            <a:rPr lang="pt-BR" sz="1100" b="1" i="0" strike="noStrike" baseline="0">
              <a:solidFill>
                <a:srgbClr val="000000"/>
              </a:solidFill>
              <a:latin typeface="+mn-lt"/>
              <a:cs typeface="Times New Roman"/>
            </a:rPr>
            <a:t>3ª Superintendência Regional</a:t>
          </a:r>
          <a:endParaRPr lang="pt-BR" sz="1100" b="1" i="0" strike="noStrike">
            <a:solidFill>
              <a:srgbClr val="000000"/>
            </a:solidFill>
            <a:latin typeface="+mn-lt"/>
            <a:cs typeface="Times New Roma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161925</xdr:rowOff>
    </xdr:from>
    <xdr:to>
      <xdr:col>2</xdr:col>
      <xdr:colOff>657225</xdr:colOff>
      <xdr:row>1</xdr:row>
      <xdr:rowOff>409575</xdr:rowOff>
    </xdr:to>
    <xdr:pic>
      <xdr:nvPicPr>
        <xdr:cNvPr id="1215374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61925"/>
          <a:ext cx="22669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1</xdr:row>
      <xdr:rowOff>114300</xdr:rowOff>
    </xdr:from>
    <xdr:to>
      <xdr:col>4</xdr:col>
      <xdr:colOff>714375</xdr:colOff>
      <xdr:row>1</xdr:row>
      <xdr:rowOff>609600</xdr:rowOff>
    </xdr:to>
    <xdr:pic>
      <xdr:nvPicPr>
        <xdr:cNvPr id="1216365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171450"/>
          <a:ext cx="24765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PATE/Desktop/CODEVASF%20-%20diversos/Quadra%20Poliesportiva%20-%20Ilha%20de%20Massangano/OR&#199;AMENTO%20-%20QUADRA%20POLIESPORTIVA%20DA%20COMUNIDADE%20ILHA%20MASSANGAN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ctor.martin/Documents/Diversos/PARECER%20DE%20CUSTOS/Aguadas%20-%20Reforma%20e%20Readequa&#231;&#227;o%20Diversos%20Munic&#237;pios/Planilha%20de%20Aguadas%20-%20Parece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PSB/Downloads/Proposta%20Finaceir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GIULIA~1.COD/CONFIG~1/Temp/Rar$DI00.344/Barragens/1%20Barragem%20da%20&#193;gua%20Fria/Or&#231;amento%20Barragem%20da%20&#193;gua%20Fr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CPU"/>
      <sheetName val="Insumos"/>
      <sheetName val="BDI"/>
      <sheetName val="Mem. Cálc."/>
      <sheetName val="Horista"/>
      <sheetName val="Mensalista"/>
      <sheetName val="Veiculo"/>
      <sheetName val="PO - I"/>
    </sheetNames>
    <sheetDataSet>
      <sheetData sheetId="0" refreshError="1"/>
      <sheetData sheetId="1"/>
      <sheetData sheetId="2">
        <row r="81">
          <cell r="D81">
            <v>3.8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 TCU 2369"/>
      <sheetName val="BDI"/>
      <sheetName val="Insumos"/>
      <sheetName val="ORÇAMENTO DE AGUADA TIPO"/>
      <sheetName val="Quadro Comparativo"/>
      <sheetName val="CPU"/>
      <sheetName val="resumo geral"/>
      <sheetName val="Araripe I"/>
      <sheetName val="São Francisco I"/>
      <sheetName val="Resumo São Francisco e Araripe"/>
      <sheetName val="Central II"/>
      <sheetName val="Itaparica II"/>
      <sheetName val="Resumo Central e Itaparica"/>
      <sheetName val="Moxotó III"/>
      <sheetName val="Pajeú III"/>
      <sheetName val="Resumo Pajeú e Moxotó"/>
      <sheetName val="VEICULO POPULAR"/>
      <sheetName val="VEICULO FISCALIZAÇÃO"/>
      <sheetName val="Bacia Hidráulica"/>
      <sheetName val="Dimensionamento"/>
      <sheetName val="Corpo"/>
      <sheetName val="Locações"/>
      <sheetName val="Sangradouro"/>
      <sheetName val="PO - 1- lote 1"/>
      <sheetName val="PO - 1- lote 2"/>
      <sheetName val="PO -1- lote 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rmo da Proposta"/>
      <sheetName val="Planilha Orçamento"/>
      <sheetName val="Distâncias"/>
      <sheetName val="Composicão de custos"/>
      <sheetName val="CUSTOS UNITÁRIOS"/>
      <sheetName val="Composição auxiliar"/>
      <sheetName val="Instalação do Canteiro"/>
      <sheetName val="Administração Local"/>
      <sheetName val="Cronograma Fisico Financeiro"/>
      <sheetName val="Composição Encargos Sociais"/>
      <sheetName val="Detalhamento do BDI"/>
      <sheetName val="Dados da Licitante"/>
      <sheetName val="Relação das Despesas Indiretas"/>
      <sheetName val="MONTAGEM DA PROPOS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4">
          <cell r="C4" t="str">
            <v>Código</v>
          </cell>
          <cell r="D4" t="str">
            <v>MATERIAL</v>
          </cell>
          <cell r="E4" t="str">
            <v>UND</v>
          </cell>
          <cell r="F4" t="str">
            <v>VALOR</v>
          </cell>
        </row>
        <row r="6">
          <cell r="C6" t="str">
            <v>AM01</v>
          </cell>
          <cell r="D6" t="str">
            <v>Aço D=4,2 mm CA 25</v>
          </cell>
          <cell r="E6" t="str">
            <v>kg</v>
          </cell>
          <cell r="F6">
            <v>2.77</v>
          </cell>
          <cell r="G6">
            <v>2.77</v>
          </cell>
        </row>
        <row r="7">
          <cell r="C7" t="str">
            <v>AM02</v>
          </cell>
          <cell r="D7" t="str">
            <v>Aço D=6,3 mm CA 25</v>
          </cell>
          <cell r="E7" t="str">
            <v>kg</v>
          </cell>
          <cell r="F7">
            <v>2.93</v>
          </cell>
          <cell r="G7">
            <v>2.93</v>
          </cell>
        </row>
        <row r="8">
          <cell r="C8" t="str">
            <v>AM03</v>
          </cell>
          <cell r="D8" t="str">
            <v>Aço D=10 mm CA 25</v>
          </cell>
          <cell r="E8" t="str">
            <v>kg</v>
          </cell>
          <cell r="F8">
            <v>2.73</v>
          </cell>
          <cell r="G8">
            <v>2.73</v>
          </cell>
        </row>
        <row r="9">
          <cell r="C9" t="str">
            <v>AM04</v>
          </cell>
          <cell r="D9" t="str">
            <v>Aço D=6,3 mm CA 50</v>
          </cell>
          <cell r="E9" t="str">
            <v>kg</v>
          </cell>
          <cell r="F9">
            <v>2.93</v>
          </cell>
          <cell r="G9">
            <v>2.93</v>
          </cell>
        </row>
        <row r="10">
          <cell r="C10" t="str">
            <v>AM05</v>
          </cell>
          <cell r="D10" t="str">
            <v>Aço D=10 mm CA 50</v>
          </cell>
          <cell r="E10" t="str">
            <v>kg</v>
          </cell>
          <cell r="F10">
            <v>2.73</v>
          </cell>
          <cell r="G10">
            <v>2.73</v>
          </cell>
        </row>
        <row r="11">
          <cell r="C11" t="str">
            <v>AM06</v>
          </cell>
          <cell r="D11" t="str">
            <v>Aço D=4,2 mm CA 60</v>
          </cell>
          <cell r="E11" t="str">
            <v>kg</v>
          </cell>
          <cell r="F11">
            <v>2.77</v>
          </cell>
          <cell r="G11">
            <v>2.77</v>
          </cell>
        </row>
        <row r="12">
          <cell r="C12" t="str">
            <v>AM07</v>
          </cell>
          <cell r="D12" t="str">
            <v>Aço D=5,0 mm CA 60</v>
          </cell>
          <cell r="E12" t="str">
            <v>kg</v>
          </cell>
          <cell r="F12">
            <v>2.77</v>
          </cell>
          <cell r="G12">
            <v>2.77</v>
          </cell>
        </row>
        <row r="13">
          <cell r="C13" t="str">
            <v>AM08</v>
          </cell>
          <cell r="D13" t="str">
            <v>Aço D=6,0 mm CA 60</v>
          </cell>
          <cell r="E13" t="str">
            <v>kg</v>
          </cell>
          <cell r="F13">
            <v>3.4</v>
          </cell>
          <cell r="G13">
            <v>3.4</v>
          </cell>
        </row>
        <row r="14">
          <cell r="C14" t="str">
            <v>AM09</v>
          </cell>
          <cell r="D14" t="str">
            <v>Mandíbula móvel p/ britador 6240C</v>
          </cell>
          <cell r="E14" t="str">
            <v>u/h</v>
          </cell>
          <cell r="F14">
            <v>15.42</v>
          </cell>
          <cell r="G14">
            <v>15.42</v>
          </cell>
        </row>
        <row r="15">
          <cell r="C15" t="str">
            <v>AM10</v>
          </cell>
          <cell r="D15" t="str">
            <v>Mandíbula fixa p/ britador 6240C</v>
          </cell>
          <cell r="E15" t="str">
            <v>u/h</v>
          </cell>
          <cell r="F15">
            <v>28.2</v>
          </cell>
          <cell r="G15">
            <v>28.2</v>
          </cell>
        </row>
        <row r="16">
          <cell r="C16" t="str">
            <v>AM11</v>
          </cell>
          <cell r="D16" t="str">
            <v>Revestimento móvel p/ britador 60TS</v>
          </cell>
          <cell r="E16" t="str">
            <v>u/h</v>
          </cell>
          <cell r="F16">
            <v>7.61</v>
          </cell>
          <cell r="G16">
            <v>7.61</v>
          </cell>
        </row>
        <row r="17">
          <cell r="C17" t="str">
            <v>AM12</v>
          </cell>
          <cell r="D17" t="str">
            <v>Revestimento fixo p/ britador 60TS</v>
          </cell>
          <cell r="E17" t="str">
            <v>u/h</v>
          </cell>
          <cell r="F17">
            <v>9.7200000000000006</v>
          </cell>
          <cell r="G17">
            <v>9.7200000000000006</v>
          </cell>
        </row>
        <row r="18">
          <cell r="C18" t="str">
            <v>AM19</v>
          </cell>
          <cell r="D18" t="str">
            <v>Mandíbula fixa p/ britador 4230</v>
          </cell>
          <cell r="E18" t="str">
            <v>u/h</v>
          </cell>
          <cell r="F18">
            <v>23.51</v>
          </cell>
          <cell r="G18">
            <v>23.51</v>
          </cell>
        </row>
        <row r="19">
          <cell r="C19" t="str">
            <v>AM20</v>
          </cell>
          <cell r="D19" t="str">
            <v>Mandíbula móvel p/ britador 4230</v>
          </cell>
          <cell r="E19" t="str">
            <v>u/h</v>
          </cell>
          <cell r="F19">
            <v>13.51</v>
          </cell>
          <cell r="G19">
            <v>13.51</v>
          </cell>
        </row>
        <row r="20">
          <cell r="C20" t="str">
            <v>AM25</v>
          </cell>
          <cell r="D20" t="str">
            <v>Mandíbula móvel para britador 80x50</v>
          </cell>
          <cell r="E20" t="str">
            <v>u/h</v>
          </cell>
          <cell r="F20">
            <v>27.04</v>
          </cell>
          <cell r="G20">
            <v>27.04</v>
          </cell>
        </row>
        <row r="21">
          <cell r="C21" t="str">
            <v>AM26</v>
          </cell>
          <cell r="D21" t="str">
            <v>Mandíbula fixa para britador 80x50</v>
          </cell>
          <cell r="E21" t="str">
            <v>u/h</v>
          </cell>
          <cell r="F21">
            <v>15.56</v>
          </cell>
          <cell r="G21">
            <v>15.56</v>
          </cell>
        </row>
        <row r="22">
          <cell r="C22" t="str">
            <v>AM27</v>
          </cell>
          <cell r="D22" t="str">
            <v>Revestimento móvel p/ britador 90TS</v>
          </cell>
          <cell r="E22" t="str">
            <v>u/h</v>
          </cell>
          <cell r="F22">
            <v>12.93</v>
          </cell>
          <cell r="G22">
            <v>12.93</v>
          </cell>
        </row>
        <row r="23">
          <cell r="C23" t="str">
            <v>AM28</v>
          </cell>
          <cell r="D23" t="str">
            <v>Revestimento fixo p/ britador 90TS</v>
          </cell>
          <cell r="E23" t="str">
            <v>u/h</v>
          </cell>
          <cell r="F23">
            <v>24.38</v>
          </cell>
          <cell r="G23">
            <v>24.38</v>
          </cell>
        </row>
        <row r="24">
          <cell r="C24" t="str">
            <v>AM29</v>
          </cell>
          <cell r="D24" t="str">
            <v>Revestimento móvel p/ britador 90TF</v>
          </cell>
          <cell r="E24" t="str">
            <v>u/h</v>
          </cell>
          <cell r="F24">
            <v>44.68</v>
          </cell>
          <cell r="G24">
            <v>44.68</v>
          </cell>
        </row>
        <row r="25">
          <cell r="C25" t="str">
            <v>AM30</v>
          </cell>
          <cell r="D25" t="str">
            <v>Revestimento fixo p/ britador 90TF</v>
          </cell>
          <cell r="E25" t="str">
            <v>u/h</v>
          </cell>
          <cell r="F25">
            <v>24.38</v>
          </cell>
          <cell r="G25">
            <v>24.38</v>
          </cell>
        </row>
        <row r="26">
          <cell r="C26" t="str">
            <v>AM35</v>
          </cell>
          <cell r="D26" t="str">
            <v>Brita 1 (Comercial) com DMT até 50 km 19mm</v>
          </cell>
          <cell r="E26" t="str">
            <v>m3</v>
          </cell>
          <cell r="F26">
            <v>72.8</v>
          </cell>
          <cell r="G26">
            <v>72.8</v>
          </cell>
        </row>
        <row r="27">
          <cell r="C27" t="str">
            <v>AM36</v>
          </cell>
          <cell r="D27" t="str">
            <v>Brita 2 (Comercial) com DMT até 50 km 25mm</v>
          </cell>
          <cell r="E27" t="str">
            <v>m3</v>
          </cell>
          <cell r="F27">
            <v>72.8</v>
          </cell>
          <cell r="G27">
            <v>72.8</v>
          </cell>
        </row>
        <row r="28">
          <cell r="C28" t="str">
            <v>AM37</v>
          </cell>
          <cell r="D28" t="str">
            <v>Brita 3 (Comercial) com DMT até 50 km 38mm</v>
          </cell>
          <cell r="E28" t="str">
            <v>m3</v>
          </cell>
          <cell r="F28">
            <v>72.8</v>
          </cell>
          <cell r="G28">
            <v>72.8</v>
          </cell>
        </row>
        <row r="29">
          <cell r="C29" t="str">
            <v>F801</v>
          </cell>
          <cell r="D29" t="str">
            <v>Bomba hidráulica alta pressão MAC</v>
          </cell>
          <cell r="E29" t="str">
            <v>h</v>
          </cell>
          <cell r="F29">
            <v>33.25</v>
          </cell>
          <cell r="G29">
            <v>33.25</v>
          </cell>
        </row>
        <row r="30">
          <cell r="C30" t="str">
            <v>F802</v>
          </cell>
          <cell r="D30" t="str">
            <v>Bomba eletr p/ injeção de nata MAC</v>
          </cell>
          <cell r="E30" t="str">
            <v>h</v>
          </cell>
          <cell r="F30">
            <v>24.63</v>
          </cell>
          <cell r="G30">
            <v>24.63</v>
          </cell>
        </row>
        <row r="31">
          <cell r="C31" t="str">
            <v>F803</v>
          </cell>
          <cell r="D31" t="str">
            <v>Macaco p/ protensão MAC 7</v>
          </cell>
          <cell r="E31" t="str">
            <v>h</v>
          </cell>
          <cell r="F31">
            <v>34.130000000000003</v>
          </cell>
          <cell r="G31">
            <v>34.130000000000003</v>
          </cell>
        </row>
        <row r="32">
          <cell r="C32" t="str">
            <v>F804</v>
          </cell>
          <cell r="D32" t="str">
            <v>Macaco p/ protensão MAC 12</v>
          </cell>
          <cell r="E32" t="str">
            <v>h</v>
          </cell>
          <cell r="F32">
            <v>36</v>
          </cell>
          <cell r="G32">
            <v>36</v>
          </cell>
        </row>
        <row r="33">
          <cell r="C33" t="str">
            <v>F805</v>
          </cell>
          <cell r="D33" t="str">
            <v>Macaco p/ protensão MAC 4</v>
          </cell>
          <cell r="E33" t="str">
            <v>h</v>
          </cell>
          <cell r="F33">
            <v>31.63</v>
          </cell>
          <cell r="G33">
            <v>31.63</v>
          </cell>
        </row>
        <row r="34">
          <cell r="C34" t="str">
            <v>F807</v>
          </cell>
          <cell r="D34" t="str">
            <v>Bomba hidr. alta pressão STUP</v>
          </cell>
          <cell r="E34" t="str">
            <v>h</v>
          </cell>
          <cell r="F34">
            <v>58.13</v>
          </cell>
          <cell r="G34">
            <v>58.13</v>
          </cell>
        </row>
        <row r="35">
          <cell r="C35" t="str">
            <v>F808</v>
          </cell>
          <cell r="D35" t="str">
            <v>Bomba eletr. injeção de nata STUP</v>
          </cell>
          <cell r="E35" t="str">
            <v>h</v>
          </cell>
          <cell r="F35">
            <v>60.13</v>
          </cell>
          <cell r="G35">
            <v>60.13</v>
          </cell>
        </row>
        <row r="36">
          <cell r="C36" t="str">
            <v>F809</v>
          </cell>
          <cell r="D36" t="str">
            <v>Macaco p/ protensão STUP</v>
          </cell>
          <cell r="E36" t="str">
            <v>h</v>
          </cell>
          <cell r="F36">
            <v>57.38</v>
          </cell>
          <cell r="G36">
            <v>57.38</v>
          </cell>
        </row>
        <row r="37">
          <cell r="C37" t="str">
            <v>F810</v>
          </cell>
          <cell r="D37" t="str">
            <v>Macaco p/ protensão STUP</v>
          </cell>
          <cell r="E37" t="str">
            <v>h</v>
          </cell>
          <cell r="F37">
            <v>66.13</v>
          </cell>
          <cell r="G37">
            <v>66.13</v>
          </cell>
        </row>
        <row r="38">
          <cell r="C38" t="str">
            <v>F811</v>
          </cell>
          <cell r="D38" t="str">
            <v>Macaco p/ protensão STUP</v>
          </cell>
          <cell r="E38" t="str">
            <v>h</v>
          </cell>
          <cell r="F38">
            <v>62.75</v>
          </cell>
          <cell r="G38">
            <v>62.75</v>
          </cell>
        </row>
        <row r="39">
          <cell r="C39" t="str">
            <v>F812</v>
          </cell>
          <cell r="D39" t="str">
            <v>Macaco p/ protensão STUP</v>
          </cell>
          <cell r="E39" t="str">
            <v>h</v>
          </cell>
          <cell r="F39">
            <v>55.38</v>
          </cell>
          <cell r="G39">
            <v>55.38</v>
          </cell>
        </row>
        <row r="40">
          <cell r="C40" t="str">
            <v>F813</v>
          </cell>
          <cell r="D40" t="str">
            <v>Macaco p/ prot. de tirante D=32mm</v>
          </cell>
          <cell r="E40" t="str">
            <v>h</v>
          </cell>
          <cell r="F40">
            <v>27.5</v>
          </cell>
          <cell r="G40">
            <v>27.5</v>
          </cell>
        </row>
        <row r="41">
          <cell r="C41" t="str">
            <v>F814</v>
          </cell>
          <cell r="D41" t="str">
            <v>Injeção de nata de cimento</v>
          </cell>
          <cell r="E41" t="str">
            <v>m</v>
          </cell>
          <cell r="F41">
            <v>12.1</v>
          </cell>
          <cell r="G41">
            <v>12.1</v>
          </cell>
        </row>
        <row r="42">
          <cell r="C42" t="str">
            <v>F943</v>
          </cell>
          <cell r="D42" t="str">
            <v>Terra Armada - moldes metálicos</v>
          </cell>
          <cell r="E42" t="str">
            <v>m3</v>
          </cell>
          <cell r="F42">
            <v>9.8000000000000007</v>
          </cell>
          <cell r="G42">
            <v>9.8000000000000007</v>
          </cell>
        </row>
        <row r="43">
          <cell r="C43" t="str">
            <v>M001</v>
          </cell>
          <cell r="D43" t="str">
            <v>Gasolina</v>
          </cell>
          <cell r="E43" t="str">
            <v>l</v>
          </cell>
          <cell r="F43">
            <v>2.37</v>
          </cell>
          <cell r="G43">
            <v>2.37</v>
          </cell>
        </row>
        <row r="44">
          <cell r="C44" t="str">
            <v>M002</v>
          </cell>
          <cell r="D44" t="str">
            <v>Óleo diesel</v>
          </cell>
          <cell r="E44" t="str">
            <v>l</v>
          </cell>
          <cell r="F44">
            <v>1.93</v>
          </cell>
          <cell r="G44">
            <v>1.93</v>
          </cell>
        </row>
        <row r="45">
          <cell r="C45" t="str">
            <v>M003</v>
          </cell>
          <cell r="D45" t="str">
            <v>Óleo combustível 1A</v>
          </cell>
          <cell r="E45" t="str">
            <v>l</v>
          </cell>
          <cell r="F45">
            <v>1.64</v>
          </cell>
          <cell r="G45">
            <v>1.64</v>
          </cell>
        </row>
        <row r="46">
          <cell r="C46" t="str">
            <v>M004</v>
          </cell>
          <cell r="D46" t="str">
            <v>Álcool</v>
          </cell>
          <cell r="E46" t="str">
            <v>l</v>
          </cell>
          <cell r="F46">
            <v>1.88</v>
          </cell>
          <cell r="G46">
            <v>1.88</v>
          </cell>
        </row>
        <row r="47">
          <cell r="C47" t="str">
            <v>M005</v>
          </cell>
          <cell r="D47" t="str">
            <v>Energia elétrica</v>
          </cell>
          <cell r="E47" t="str">
            <v>kwh</v>
          </cell>
          <cell r="F47">
            <v>0</v>
          </cell>
          <cell r="G47">
            <v>0</v>
          </cell>
        </row>
        <row r="48">
          <cell r="C48" t="str">
            <v>M006S</v>
          </cell>
          <cell r="D48" t="str">
            <v>Lubrificante</v>
          </cell>
          <cell r="E48" t="str">
            <v>mês</v>
          </cell>
          <cell r="F48">
            <v>6.5</v>
          </cell>
          <cell r="G48">
            <v>6.5</v>
          </cell>
        </row>
        <row r="49">
          <cell r="C49" t="str">
            <v>M007S</v>
          </cell>
          <cell r="D49" t="str">
            <v>Manutenção</v>
          </cell>
          <cell r="E49" t="str">
            <v>mês</v>
          </cell>
          <cell r="F49">
            <v>50</v>
          </cell>
          <cell r="G49">
            <v>50</v>
          </cell>
        </row>
        <row r="50">
          <cell r="C50">
            <v>10012</v>
          </cell>
          <cell r="D50" t="str">
            <v>Revestimento vegetal com mudas</v>
          </cell>
          <cell r="E50" t="str">
            <v>m²</v>
          </cell>
          <cell r="F50">
            <v>3.46</v>
          </cell>
          <cell r="G50">
            <v>3.46</v>
          </cell>
        </row>
        <row r="51">
          <cell r="C51">
            <v>10377</v>
          </cell>
          <cell r="D51" t="str">
            <v>Cone plástico para sinalização provisória de obra</v>
          </cell>
          <cell r="E51" t="str">
            <v>Und</v>
          </cell>
          <cell r="F51">
            <v>25.9</v>
          </cell>
          <cell r="G51">
            <v>25.9</v>
          </cell>
        </row>
        <row r="52">
          <cell r="C52">
            <v>10378</v>
          </cell>
          <cell r="D52" t="str">
            <v>Capim sandalo</v>
          </cell>
          <cell r="E52" t="str">
            <v>Und</v>
          </cell>
          <cell r="F52">
            <v>0.1</v>
          </cell>
          <cell r="G52">
            <v>0.1</v>
          </cell>
        </row>
        <row r="53">
          <cell r="C53">
            <v>10050</v>
          </cell>
          <cell r="D53" t="str">
            <v>Capim sandalo</v>
          </cell>
          <cell r="E53" t="str">
            <v>M²</v>
          </cell>
          <cell r="F53">
            <v>0.8</v>
          </cell>
          <cell r="G53">
            <v>0.8</v>
          </cell>
        </row>
        <row r="54">
          <cell r="C54">
            <v>11013</v>
          </cell>
          <cell r="D54" t="str">
            <v>Energia elétrica</v>
          </cell>
          <cell r="E54" t="str">
            <v>KWH</v>
          </cell>
          <cell r="F54">
            <v>0.33</v>
          </cell>
          <cell r="G54">
            <v>0.33</v>
          </cell>
        </row>
        <row r="55">
          <cell r="C55">
            <v>11012</v>
          </cell>
          <cell r="D55" t="str">
            <v>Dispositivo de luz</v>
          </cell>
          <cell r="E55" t="str">
            <v>Und</v>
          </cell>
          <cell r="F55">
            <v>44.6</v>
          </cell>
          <cell r="G55">
            <v>44.6</v>
          </cell>
        </row>
        <row r="56">
          <cell r="C56">
            <v>11011</v>
          </cell>
          <cell r="D56" t="str">
            <v>Tecido em Nylon ou similar</v>
          </cell>
          <cell r="E56" t="str">
            <v>m</v>
          </cell>
          <cell r="F56">
            <v>6.1</v>
          </cell>
          <cell r="G56">
            <v>6.1</v>
          </cell>
        </row>
        <row r="57">
          <cell r="C57" t="str">
            <v>M101</v>
          </cell>
          <cell r="D57" t="str">
            <v>Cimento asfáltico CAP 50/70</v>
          </cell>
          <cell r="E57" t="str">
            <v>t</v>
          </cell>
          <cell r="F57">
            <v>978.2</v>
          </cell>
          <cell r="G57">
            <v>978.2</v>
          </cell>
        </row>
        <row r="58">
          <cell r="C58" t="str">
            <v>M102</v>
          </cell>
          <cell r="D58" t="str">
            <v>Cimento asfáltico CAP 30/45</v>
          </cell>
          <cell r="E58" t="str">
            <v>t</v>
          </cell>
          <cell r="F58">
            <v>0</v>
          </cell>
          <cell r="G58">
            <v>0</v>
          </cell>
        </row>
        <row r="59">
          <cell r="C59" t="str">
            <v>M103</v>
          </cell>
          <cell r="D59" t="str">
            <v>Asfalto diluído CM-30</v>
          </cell>
          <cell r="E59" t="str">
            <v>t</v>
          </cell>
          <cell r="F59">
            <v>1520.7</v>
          </cell>
          <cell r="G59">
            <v>1520.7</v>
          </cell>
        </row>
        <row r="60">
          <cell r="C60" t="str">
            <v>M104</v>
          </cell>
          <cell r="D60" t="str">
            <v>Emulsão asfáltica RR-1C</v>
          </cell>
          <cell r="E60" t="str">
            <v>t</v>
          </cell>
          <cell r="F60">
            <v>765.1</v>
          </cell>
          <cell r="G60">
            <v>765.1</v>
          </cell>
        </row>
        <row r="61">
          <cell r="C61" t="str">
            <v>M105</v>
          </cell>
          <cell r="D61" t="str">
            <v>Emulsão asfáltica RR-2C</v>
          </cell>
          <cell r="E61" t="str">
            <v>t</v>
          </cell>
          <cell r="F61">
            <v>0</v>
          </cell>
          <cell r="G61">
            <v>0</v>
          </cell>
        </row>
        <row r="62">
          <cell r="C62" t="str">
            <v>M106</v>
          </cell>
          <cell r="D62" t="str">
            <v>Emulsão asfáltica RR1C c/ polímero</v>
          </cell>
          <cell r="E62" t="str">
            <v>t</v>
          </cell>
          <cell r="F62">
            <v>0</v>
          </cell>
          <cell r="G62">
            <v>0</v>
          </cell>
        </row>
        <row r="63">
          <cell r="C63" t="str">
            <v>M107</v>
          </cell>
          <cell r="D63" t="str">
            <v>Emulsão asfáltica RM-1C</v>
          </cell>
          <cell r="E63" t="str">
            <v>t</v>
          </cell>
          <cell r="F63">
            <v>0</v>
          </cell>
          <cell r="G63">
            <v>0</v>
          </cell>
        </row>
        <row r="64">
          <cell r="C64" t="str">
            <v>M108</v>
          </cell>
          <cell r="D64" t="str">
            <v>Emulsão asfáltica RM1C c/ polímero</v>
          </cell>
          <cell r="E64" t="str">
            <v>t</v>
          </cell>
          <cell r="F64">
            <v>0</v>
          </cell>
          <cell r="G64">
            <v>0</v>
          </cell>
        </row>
        <row r="65">
          <cell r="C65" t="str">
            <v>M109</v>
          </cell>
          <cell r="D65" t="str">
            <v>Emulsão asfáltica RL-1C</v>
          </cell>
          <cell r="E65" t="str">
            <v>t</v>
          </cell>
          <cell r="F65">
            <v>0</v>
          </cell>
          <cell r="G65">
            <v>0</v>
          </cell>
        </row>
        <row r="66">
          <cell r="C66" t="str">
            <v>M110</v>
          </cell>
          <cell r="D66" t="str">
            <v>Emulsão polim. p/ micro-rev. a frio</v>
          </cell>
          <cell r="E66" t="str">
            <v>t</v>
          </cell>
          <cell r="F66">
            <v>0</v>
          </cell>
          <cell r="G66">
            <v>0</v>
          </cell>
        </row>
        <row r="68">
          <cell r="C68" t="str">
            <v>M111</v>
          </cell>
          <cell r="D68" t="str">
            <v>Aditivo p/ controle de ruptura</v>
          </cell>
          <cell r="E68" t="str">
            <v>kg</v>
          </cell>
          <cell r="F68">
            <v>3.7</v>
          </cell>
          <cell r="G68">
            <v>3.7</v>
          </cell>
        </row>
        <row r="69">
          <cell r="C69" t="str">
            <v>M112</v>
          </cell>
          <cell r="D69" t="str">
            <v>Aditivo sólido (fibras)</v>
          </cell>
          <cell r="E69" t="str">
            <v>kg</v>
          </cell>
          <cell r="F69">
            <v>4</v>
          </cell>
          <cell r="G69">
            <v>4</v>
          </cell>
        </row>
        <row r="70">
          <cell r="C70" t="str">
            <v>M114</v>
          </cell>
          <cell r="D70" t="str">
            <v>Agente rejuv. p/ recicl. a quente</v>
          </cell>
          <cell r="E70" t="str">
            <v>t</v>
          </cell>
          <cell r="F70">
            <v>0</v>
          </cell>
          <cell r="G70">
            <v>0</v>
          </cell>
        </row>
        <row r="71">
          <cell r="C71" t="str">
            <v>M201</v>
          </cell>
          <cell r="D71" t="str">
            <v>Cimento portland CP II-32(a granel)</v>
          </cell>
          <cell r="E71" t="str">
            <v>kg</v>
          </cell>
          <cell r="F71">
            <v>0.37</v>
          </cell>
          <cell r="G71">
            <v>0.37</v>
          </cell>
        </row>
        <row r="72">
          <cell r="C72" t="str">
            <v>M202</v>
          </cell>
          <cell r="D72" t="str">
            <v>Cimento portland CP II-32</v>
          </cell>
          <cell r="E72" t="str">
            <v>kg</v>
          </cell>
          <cell r="F72">
            <v>0.45</v>
          </cell>
          <cell r="G72">
            <v>0.45</v>
          </cell>
        </row>
        <row r="73">
          <cell r="C73" t="str">
            <v>M307</v>
          </cell>
          <cell r="D73" t="str">
            <v>Cordoalha CP-190 RB D=12,7mm</v>
          </cell>
          <cell r="E73" t="str">
            <v>kg</v>
          </cell>
          <cell r="F73">
            <v>4.62</v>
          </cell>
          <cell r="G73">
            <v>4.62</v>
          </cell>
        </row>
        <row r="74">
          <cell r="C74" t="str">
            <v>M319</v>
          </cell>
          <cell r="D74" t="str">
            <v>Arame recozido nº. 18</v>
          </cell>
          <cell r="E74" t="str">
            <v>kg</v>
          </cell>
          <cell r="F74">
            <v>5.82</v>
          </cell>
          <cell r="G74">
            <v>5.82</v>
          </cell>
        </row>
        <row r="75">
          <cell r="C75" t="str">
            <v>M320</v>
          </cell>
          <cell r="D75" t="str">
            <v>Pregos de ferro 18x30</v>
          </cell>
          <cell r="E75" t="str">
            <v>kg</v>
          </cell>
          <cell r="F75">
            <v>4.12</v>
          </cell>
          <cell r="G75">
            <v>4.12</v>
          </cell>
        </row>
        <row r="76">
          <cell r="C76" t="str">
            <v>M321</v>
          </cell>
          <cell r="D76" t="str">
            <v>Arame farpado nº. 16 galv. simples</v>
          </cell>
          <cell r="E76" t="str">
            <v>m</v>
          </cell>
          <cell r="F76">
            <v>0.32</v>
          </cell>
          <cell r="G76">
            <v>0.32</v>
          </cell>
        </row>
        <row r="77">
          <cell r="C77" t="str">
            <v>M322</v>
          </cell>
          <cell r="D77" t="str">
            <v>Grampo para cerca galvanizado 1 x 9</v>
          </cell>
          <cell r="E77" t="str">
            <v>kg</v>
          </cell>
          <cell r="F77">
            <v>3.55</v>
          </cell>
          <cell r="G77">
            <v>3.55</v>
          </cell>
        </row>
        <row r="78">
          <cell r="C78" t="str">
            <v>M323</v>
          </cell>
          <cell r="D78" t="str">
            <v>Cantoneira de aço 4" x 4" x 3/8"</v>
          </cell>
          <cell r="E78" t="str">
            <v>kg</v>
          </cell>
          <cell r="F78">
            <v>4.5199999999999996</v>
          </cell>
          <cell r="G78">
            <v>4.5199999999999996</v>
          </cell>
        </row>
        <row r="79">
          <cell r="C79" t="str">
            <v>M324</v>
          </cell>
          <cell r="D79" t="str">
            <v>Pórtico metálico (15 a 17m de vão)</v>
          </cell>
          <cell r="E79" t="str">
            <v>un</v>
          </cell>
          <cell r="F79">
            <v>28791</v>
          </cell>
          <cell r="G79">
            <v>28791</v>
          </cell>
        </row>
        <row r="80">
          <cell r="C80" t="str">
            <v>M324S</v>
          </cell>
          <cell r="D80" t="str">
            <v>Pórtico de sinalização</v>
          </cell>
          <cell r="E80" t="str">
            <v>un</v>
          </cell>
          <cell r="F80">
            <v>7153.07</v>
          </cell>
          <cell r="G80">
            <v>7153.07</v>
          </cell>
        </row>
        <row r="81">
          <cell r="C81" t="str">
            <v>M325</v>
          </cell>
          <cell r="D81" t="str">
            <v>Trilho metálico TR-37 (usado)</v>
          </cell>
          <cell r="E81" t="str">
            <v>kg</v>
          </cell>
          <cell r="F81">
            <v>2.8</v>
          </cell>
          <cell r="G81">
            <v>2.8</v>
          </cell>
        </row>
        <row r="82">
          <cell r="C82" t="str">
            <v>M326</v>
          </cell>
          <cell r="D82" t="str">
            <v>Série de brocas S-12 D=22 mm</v>
          </cell>
          <cell r="E82" t="str">
            <v>un</v>
          </cell>
          <cell r="F82">
            <v>524.01</v>
          </cell>
          <cell r="G82">
            <v>524.01</v>
          </cell>
        </row>
        <row r="83">
          <cell r="C83" t="str">
            <v>M328</v>
          </cell>
          <cell r="D83" t="str">
            <v>Luva de emenda D=32mm</v>
          </cell>
          <cell r="E83" t="str">
            <v>un</v>
          </cell>
          <cell r="F83">
            <v>88.33</v>
          </cell>
          <cell r="G83">
            <v>88.33</v>
          </cell>
        </row>
        <row r="84">
          <cell r="C84" t="str">
            <v>M330</v>
          </cell>
          <cell r="D84" t="str">
            <v>Calha met. semicircular D=40 cm</v>
          </cell>
          <cell r="E84" t="str">
            <v>m</v>
          </cell>
          <cell r="F84">
            <v>166.84</v>
          </cell>
          <cell r="G84">
            <v>166.84</v>
          </cell>
        </row>
        <row r="85">
          <cell r="C85" t="str">
            <v>M331</v>
          </cell>
          <cell r="D85" t="str">
            <v>Paraf. fixação calha met. (1/2"x1")</v>
          </cell>
          <cell r="E85" t="str">
            <v>un</v>
          </cell>
          <cell r="F85">
            <v>2.8</v>
          </cell>
          <cell r="G85">
            <v>2.8</v>
          </cell>
        </row>
        <row r="86">
          <cell r="C86" t="str">
            <v>M332</v>
          </cell>
          <cell r="D86" t="str">
            <v>Parafuso 1/2" x 3" com porca,</v>
          </cell>
          <cell r="E86" t="str">
            <v>kg</v>
          </cell>
          <cell r="F86">
            <v>16.8</v>
          </cell>
          <cell r="G86">
            <v>16.8</v>
          </cell>
        </row>
        <row r="87">
          <cell r="C87" t="str">
            <v>M334</v>
          </cell>
          <cell r="D87" t="str">
            <v>Paraf. zinc. c/ fenda 1 1/2"x3/16"</v>
          </cell>
          <cell r="E87" t="str">
            <v>un</v>
          </cell>
          <cell r="F87">
            <v>0.15</v>
          </cell>
          <cell r="G87">
            <v>0.15</v>
          </cell>
        </row>
        <row r="88">
          <cell r="C88" t="str">
            <v>M335</v>
          </cell>
          <cell r="D88" t="str">
            <v>Paraf. zincado francês 4" x 5/16"</v>
          </cell>
          <cell r="E88" t="str">
            <v>un</v>
          </cell>
          <cell r="F88">
            <v>0.65</v>
          </cell>
          <cell r="G88">
            <v>0.65</v>
          </cell>
        </row>
        <row r="89">
          <cell r="C89" t="str">
            <v>M338</v>
          </cell>
          <cell r="D89" t="str">
            <v>Cano de ferro D=3/4"</v>
          </cell>
          <cell r="E89" t="str">
            <v>m</v>
          </cell>
          <cell r="F89">
            <v>11.86</v>
          </cell>
          <cell r="G89">
            <v>11.86</v>
          </cell>
        </row>
        <row r="90">
          <cell r="C90" t="str">
            <v>M339</v>
          </cell>
          <cell r="D90" t="str">
            <v>Cantoneira ferro (3,0"x3,0"x3/8")</v>
          </cell>
          <cell r="E90" t="str">
            <v>kg</v>
          </cell>
          <cell r="F90">
            <v>3.24</v>
          </cell>
          <cell r="G90">
            <v>3.24</v>
          </cell>
        </row>
        <row r="91">
          <cell r="C91" t="str">
            <v>M340</v>
          </cell>
          <cell r="D91" t="str">
            <v>Tampão de ferro fundido</v>
          </cell>
          <cell r="E91" t="str">
            <v>un</v>
          </cell>
          <cell r="F91">
            <v>430</v>
          </cell>
          <cell r="G91">
            <v>430</v>
          </cell>
        </row>
        <row r="92">
          <cell r="C92" t="str">
            <v>M341</v>
          </cell>
          <cell r="D92" t="str">
            <v>Defensa met. maleável simples</v>
          </cell>
          <cell r="E92" t="str">
            <v>mod</v>
          </cell>
          <cell r="F92">
            <v>892</v>
          </cell>
          <cell r="G92">
            <v>892</v>
          </cell>
        </row>
        <row r="93">
          <cell r="C93" t="str">
            <v>M342</v>
          </cell>
          <cell r="D93" t="str">
            <v>Defensa met. maleável dupla</v>
          </cell>
          <cell r="E93" t="str">
            <v>mod</v>
          </cell>
          <cell r="F93">
            <v>1116</v>
          </cell>
          <cell r="G93">
            <v>1116</v>
          </cell>
        </row>
        <row r="94">
          <cell r="C94" t="str">
            <v>M343</v>
          </cell>
          <cell r="D94" t="str">
            <v>Defensa met. semi-maleável simples</v>
          </cell>
          <cell r="E94" t="str">
            <v>mod</v>
          </cell>
          <cell r="F94">
            <v>568</v>
          </cell>
          <cell r="G94">
            <v>568</v>
          </cell>
        </row>
        <row r="95">
          <cell r="C95" t="str">
            <v>M344</v>
          </cell>
          <cell r="D95" t="str">
            <v>Defensa met. semi-maleável dupla</v>
          </cell>
          <cell r="E95" t="str">
            <v>mod</v>
          </cell>
          <cell r="F95">
            <v>1056</v>
          </cell>
          <cell r="G95">
            <v>1056</v>
          </cell>
        </row>
        <row r="96">
          <cell r="C96" t="str">
            <v>M345</v>
          </cell>
          <cell r="D96" t="str">
            <v>Chapa de aço n. 28 fina galvanizada</v>
          </cell>
          <cell r="E96" t="str">
            <v>kg</v>
          </cell>
          <cell r="F96">
            <v>4.03</v>
          </cell>
          <cell r="G96">
            <v>4.03</v>
          </cell>
        </row>
        <row r="97">
          <cell r="C97" t="str">
            <v>M346</v>
          </cell>
          <cell r="D97" t="str">
            <v>Chapa de aço n. 16 (tratada)</v>
          </cell>
          <cell r="E97" t="str">
            <v>m2</v>
          </cell>
          <cell r="F97">
            <v>220</v>
          </cell>
          <cell r="G97">
            <v>220</v>
          </cell>
        </row>
        <row r="98">
          <cell r="C98" t="str">
            <v>M347</v>
          </cell>
          <cell r="D98" t="str">
            <v>Dente p/ fresadora W-1000 L</v>
          </cell>
          <cell r="E98" t="str">
            <v>un</v>
          </cell>
          <cell r="F98">
            <v>40.53</v>
          </cell>
          <cell r="G98">
            <v>40.53</v>
          </cell>
        </row>
        <row r="99">
          <cell r="C99" t="str">
            <v>M348</v>
          </cell>
          <cell r="D99" t="str">
            <v>Porta dente p/ fresadora W-1000 L</v>
          </cell>
          <cell r="E99" t="str">
            <v>un</v>
          </cell>
          <cell r="F99">
            <v>206.45</v>
          </cell>
          <cell r="G99">
            <v>206.45</v>
          </cell>
        </row>
        <row r="100">
          <cell r="C100" t="str">
            <v>M349</v>
          </cell>
          <cell r="D100" t="str">
            <v>Dente p/ fresadora W-1900</v>
          </cell>
          <cell r="E100" t="str">
            <v>un</v>
          </cell>
          <cell r="F100">
            <v>40.53</v>
          </cell>
          <cell r="G100">
            <v>40.53</v>
          </cell>
        </row>
        <row r="101">
          <cell r="C101" t="str">
            <v>M350</v>
          </cell>
          <cell r="D101" t="str">
            <v>Porta dente p/ fresadora W-1900</v>
          </cell>
          <cell r="E101" t="str">
            <v>un</v>
          </cell>
          <cell r="F101">
            <v>206.45</v>
          </cell>
          <cell r="G101">
            <v>206.45</v>
          </cell>
        </row>
        <row r="102">
          <cell r="C102" t="str">
            <v>M351</v>
          </cell>
          <cell r="D102" t="str">
            <v>Estrut. (tunnel liner) D=1,6m galv.</v>
          </cell>
          <cell r="E102" t="str">
            <v>m</v>
          </cell>
          <cell r="F102">
            <v>2234.88</v>
          </cell>
          <cell r="G102">
            <v>2234.88</v>
          </cell>
        </row>
        <row r="103">
          <cell r="C103" t="str">
            <v>M352</v>
          </cell>
          <cell r="D103" t="str">
            <v>Estrut. (tunnel liner) D=2,0m galv.</v>
          </cell>
          <cell r="E103" t="str">
            <v>m</v>
          </cell>
          <cell r="F103">
            <v>2786.81</v>
          </cell>
          <cell r="G103">
            <v>2786.81</v>
          </cell>
        </row>
        <row r="104">
          <cell r="C104" t="str">
            <v>M353</v>
          </cell>
          <cell r="D104" t="str">
            <v>Estrut. (tunnel liner) D=1,6m epoxy</v>
          </cell>
          <cell r="E104" t="str">
            <v>m</v>
          </cell>
          <cell r="F104">
            <v>2270.77</v>
          </cell>
          <cell r="G104">
            <v>2270.77</v>
          </cell>
        </row>
        <row r="105">
          <cell r="C105" t="str">
            <v>M354</v>
          </cell>
          <cell r="D105" t="str">
            <v>Estrut, (tunnel liner) D=2,0m epoxy</v>
          </cell>
          <cell r="E105" t="str">
            <v>m</v>
          </cell>
          <cell r="F105">
            <v>2845.98</v>
          </cell>
          <cell r="G105">
            <v>2845.98</v>
          </cell>
        </row>
        <row r="106">
          <cell r="C106" t="str">
            <v>M355</v>
          </cell>
          <cell r="D106" t="str">
            <v>Chapa mult. D=1,60 m rev. galv.</v>
          </cell>
          <cell r="E106" t="str">
            <v>m</v>
          </cell>
          <cell r="F106">
            <v>1208.6199999999999</v>
          </cell>
          <cell r="G106">
            <v>1208.6199999999999</v>
          </cell>
        </row>
        <row r="107">
          <cell r="C107" t="str">
            <v>M356</v>
          </cell>
          <cell r="D107" t="str">
            <v>Chapa mult. D=2,00 m rev. galv.</v>
          </cell>
          <cell r="E107" t="str">
            <v>m</v>
          </cell>
          <cell r="F107">
            <v>1494.77</v>
          </cell>
          <cell r="G107">
            <v>1494.77</v>
          </cell>
        </row>
        <row r="108">
          <cell r="C108" t="str">
            <v>M357</v>
          </cell>
          <cell r="D108" t="str">
            <v>Chapa mult. D=1,60 m rev. epoxy</v>
          </cell>
          <cell r="E108" t="str">
            <v>m</v>
          </cell>
          <cell r="F108">
            <v>1269.73</v>
          </cell>
          <cell r="G108">
            <v>1269.73</v>
          </cell>
        </row>
        <row r="109">
          <cell r="C109" t="str">
            <v>M358</v>
          </cell>
          <cell r="D109" t="str">
            <v>Chapa mult. D=2,00 m rev. epoxy</v>
          </cell>
          <cell r="E109" t="str">
            <v>m</v>
          </cell>
          <cell r="F109">
            <v>1554.91</v>
          </cell>
          <cell r="G109">
            <v>1554.91</v>
          </cell>
        </row>
        <row r="110">
          <cell r="C110" t="str">
            <v>M359</v>
          </cell>
          <cell r="D110" t="str">
            <v>Vigas "I" 254 x 117,5mm - 1ª alma</v>
          </cell>
          <cell r="E110" t="str">
            <v>kg</v>
          </cell>
          <cell r="F110">
            <v>3.2</v>
          </cell>
          <cell r="G110">
            <v>3.2</v>
          </cell>
        </row>
        <row r="111">
          <cell r="C111" t="str">
            <v>M360</v>
          </cell>
          <cell r="D111" t="str">
            <v>Bueiro chapa múlt. D=3,05m E=2,70mm</v>
          </cell>
          <cell r="E111" t="str">
            <v>m</v>
          </cell>
          <cell r="F111">
            <v>4223.91</v>
          </cell>
          <cell r="G111">
            <v>4223.91</v>
          </cell>
        </row>
        <row r="112">
          <cell r="C112" t="str">
            <v>M361</v>
          </cell>
          <cell r="D112" t="str">
            <v>Estrut.(tunnel liner) D=1,2m galv.</v>
          </cell>
          <cell r="E112" t="str">
            <v>m</v>
          </cell>
          <cell r="F112">
            <v>1677.13</v>
          </cell>
          <cell r="G112">
            <v>1677.13</v>
          </cell>
        </row>
        <row r="113">
          <cell r="C113" t="str">
            <v>M362</v>
          </cell>
          <cell r="D113" t="str">
            <v>Estrut. (tunnel liner) D=1,2m epoxy</v>
          </cell>
          <cell r="E113" t="str">
            <v>m</v>
          </cell>
          <cell r="F113">
            <v>1700.41</v>
          </cell>
          <cell r="G113">
            <v>1700.41</v>
          </cell>
        </row>
        <row r="114">
          <cell r="C114" t="str">
            <v>M363</v>
          </cell>
          <cell r="D114" t="str">
            <v>Bloco de desgaste p/ recicladoras</v>
          </cell>
          <cell r="E114" t="str">
            <v>un</v>
          </cell>
          <cell r="F114">
            <v>671.46</v>
          </cell>
          <cell r="G114">
            <v>671.46</v>
          </cell>
        </row>
        <row r="115">
          <cell r="C115" t="str">
            <v>M364</v>
          </cell>
          <cell r="D115" t="str">
            <v>Porta dentes p/recicladoras</v>
          </cell>
          <cell r="E115" t="str">
            <v>un</v>
          </cell>
          <cell r="F115">
            <v>213.39</v>
          </cell>
          <cell r="G115">
            <v>213.39</v>
          </cell>
        </row>
        <row r="116">
          <cell r="C116" t="str">
            <v>M365</v>
          </cell>
          <cell r="D116" t="str">
            <v>Dente de corte (W6/22) p/ reciclad.</v>
          </cell>
          <cell r="E116" t="str">
            <v>un</v>
          </cell>
          <cell r="F116">
            <v>42.79</v>
          </cell>
          <cell r="G116">
            <v>42.79</v>
          </cell>
        </row>
        <row r="117">
          <cell r="C117" t="str">
            <v>M366</v>
          </cell>
          <cell r="D117" t="str">
            <v>Dente de Corte (W7/22) p/ reciclad.</v>
          </cell>
          <cell r="E117" t="str">
            <v>un</v>
          </cell>
          <cell r="F117">
            <v>63.81</v>
          </cell>
          <cell r="G117">
            <v>63.81</v>
          </cell>
        </row>
        <row r="118">
          <cell r="C118" t="str">
            <v>M367</v>
          </cell>
          <cell r="D118" t="str">
            <v>Parafuso fixação porta dente</v>
          </cell>
          <cell r="E118" t="str">
            <v>un</v>
          </cell>
          <cell r="F118">
            <v>29.59</v>
          </cell>
          <cell r="G118">
            <v>29.59</v>
          </cell>
        </row>
        <row r="119">
          <cell r="C119" t="str">
            <v>M368</v>
          </cell>
          <cell r="D119" t="str">
            <v>Plug proteção parafuso p/reciclad.</v>
          </cell>
          <cell r="E119" t="str">
            <v>un</v>
          </cell>
          <cell r="F119">
            <v>1.8</v>
          </cell>
          <cell r="G119">
            <v>1.8</v>
          </cell>
        </row>
        <row r="120">
          <cell r="C120" t="str">
            <v>M370</v>
          </cell>
          <cell r="D120" t="str">
            <v>Bainha metálica diam. int.=45mm MAC</v>
          </cell>
          <cell r="E120" t="str">
            <v>m</v>
          </cell>
          <cell r="F120">
            <v>16</v>
          </cell>
          <cell r="G120">
            <v>16</v>
          </cell>
        </row>
        <row r="121">
          <cell r="C121" t="str">
            <v>M371</v>
          </cell>
          <cell r="D121" t="str">
            <v>Bainha metálica diam. int.=60mm MAC</v>
          </cell>
          <cell r="E121" t="str">
            <v>m</v>
          </cell>
          <cell r="F121">
            <v>26</v>
          </cell>
          <cell r="G121">
            <v>26</v>
          </cell>
        </row>
        <row r="122">
          <cell r="C122" t="str">
            <v>M372</v>
          </cell>
          <cell r="D122" t="str">
            <v>Bainha metálica diam. int.=55mm MAC</v>
          </cell>
          <cell r="E122" t="str">
            <v>m</v>
          </cell>
          <cell r="F122">
            <v>21</v>
          </cell>
          <cell r="G122">
            <v>21</v>
          </cell>
        </row>
        <row r="123">
          <cell r="C123" t="str">
            <v>M373</v>
          </cell>
          <cell r="D123" t="str">
            <v>Bainha metálica diam. int.=70mm MAC</v>
          </cell>
          <cell r="E123" t="str">
            <v>m</v>
          </cell>
          <cell r="F123">
            <v>27</v>
          </cell>
          <cell r="G123">
            <v>27</v>
          </cell>
        </row>
        <row r="124">
          <cell r="C124" t="str">
            <v>M374</v>
          </cell>
          <cell r="D124" t="str">
            <v>Ancoragem p/ cabo 4V D=1/2" MAC</v>
          </cell>
          <cell r="E124" t="str">
            <v>cj</v>
          </cell>
          <cell r="F124">
            <v>304</v>
          </cell>
          <cell r="G124">
            <v>304</v>
          </cell>
        </row>
        <row r="125">
          <cell r="C125" t="str">
            <v>M375</v>
          </cell>
          <cell r="D125" t="str">
            <v>Ancoragem p/ cabo 6V D=1/2" MAC</v>
          </cell>
          <cell r="E125" t="str">
            <v>cj</v>
          </cell>
          <cell r="F125">
            <v>477</v>
          </cell>
          <cell r="G125">
            <v>477</v>
          </cell>
        </row>
        <row r="126">
          <cell r="C126" t="str">
            <v>M376</v>
          </cell>
          <cell r="D126" t="str">
            <v>Ancoragem p/ cabo 7V D=1/2" MAC</v>
          </cell>
          <cell r="E126" t="str">
            <v>cj</v>
          </cell>
          <cell r="F126">
            <v>477</v>
          </cell>
          <cell r="G126">
            <v>477</v>
          </cell>
        </row>
        <row r="127">
          <cell r="C127" t="str">
            <v>M377</v>
          </cell>
          <cell r="D127" t="str">
            <v>Ancoragem p/ cabo 12V D=1/2" MAC</v>
          </cell>
          <cell r="E127" t="str">
            <v>cj</v>
          </cell>
          <cell r="F127">
            <v>960</v>
          </cell>
          <cell r="G127">
            <v>960</v>
          </cell>
        </row>
        <row r="128">
          <cell r="C128" t="str">
            <v>M378</v>
          </cell>
          <cell r="D128" t="str">
            <v>Apoio do porta dente frezad. W-1900</v>
          </cell>
          <cell r="E128" t="str">
            <v>un</v>
          </cell>
          <cell r="F128">
            <v>784.13</v>
          </cell>
          <cell r="G128">
            <v>784.13</v>
          </cell>
        </row>
        <row r="129">
          <cell r="C129" t="str">
            <v>M380</v>
          </cell>
          <cell r="D129" t="str">
            <v>Bainha metálica D=45mm STUP</v>
          </cell>
          <cell r="E129" t="str">
            <v>m</v>
          </cell>
          <cell r="F129">
            <v>14.5</v>
          </cell>
          <cell r="G129">
            <v>14.5</v>
          </cell>
        </row>
        <row r="130">
          <cell r="C130" t="str">
            <v>M381</v>
          </cell>
          <cell r="D130" t="str">
            <v>Bainha metálica D=60mm STUP</v>
          </cell>
          <cell r="E130" t="str">
            <v>m</v>
          </cell>
          <cell r="F130">
            <v>17.239999999999998</v>
          </cell>
          <cell r="G130">
            <v>17.239999999999998</v>
          </cell>
        </row>
        <row r="131">
          <cell r="C131" t="str">
            <v>M382</v>
          </cell>
          <cell r="D131" t="str">
            <v>Bainha metálica D=55mm STUP</v>
          </cell>
          <cell r="E131" t="str">
            <v>m</v>
          </cell>
          <cell r="F131">
            <v>16.8</v>
          </cell>
          <cell r="G131">
            <v>16.8</v>
          </cell>
        </row>
        <row r="132">
          <cell r="C132" t="str">
            <v>M383</v>
          </cell>
          <cell r="D132" t="str">
            <v>Bainha metálica D=70mm STUP</v>
          </cell>
          <cell r="E132" t="str">
            <v>m</v>
          </cell>
          <cell r="F132">
            <v>19.18</v>
          </cell>
          <cell r="G132">
            <v>19.18</v>
          </cell>
        </row>
        <row r="133">
          <cell r="C133" t="str">
            <v>M384</v>
          </cell>
          <cell r="D133" t="str">
            <v>Ancoragem p/ cabo 4V D=1/2" STUP</v>
          </cell>
          <cell r="E133" t="str">
            <v>cj</v>
          </cell>
          <cell r="F133">
            <v>256</v>
          </cell>
          <cell r="G133">
            <v>256</v>
          </cell>
        </row>
        <row r="134">
          <cell r="C134" t="str">
            <v>M385</v>
          </cell>
          <cell r="D134" t="str">
            <v>Ancoragem p/ cabo 6V D=1/2" STUP</v>
          </cell>
          <cell r="E134" t="str">
            <v>cj</v>
          </cell>
          <cell r="F134">
            <v>410</v>
          </cell>
          <cell r="G134">
            <v>410</v>
          </cell>
        </row>
        <row r="135">
          <cell r="C135" t="str">
            <v>M386</v>
          </cell>
          <cell r="D135" t="str">
            <v>Ancoragem p/ cabo 7V D=1/2" STUP</v>
          </cell>
          <cell r="E135" t="str">
            <v>cj</v>
          </cell>
          <cell r="F135">
            <v>432</v>
          </cell>
          <cell r="G135">
            <v>432</v>
          </cell>
        </row>
        <row r="136">
          <cell r="C136" t="str">
            <v>M387</v>
          </cell>
          <cell r="D136" t="str">
            <v>Ancoragem p/ cabo 12V D=1/2" STUP</v>
          </cell>
          <cell r="E136" t="str">
            <v>cj</v>
          </cell>
          <cell r="F136">
            <v>800</v>
          </cell>
          <cell r="G136">
            <v>800</v>
          </cell>
        </row>
        <row r="137">
          <cell r="C137" t="str">
            <v>M390</v>
          </cell>
          <cell r="D137" t="str">
            <v>Porca de ancoragem D=32mm</v>
          </cell>
          <cell r="E137" t="str">
            <v>un</v>
          </cell>
          <cell r="F137">
            <v>61.71</v>
          </cell>
          <cell r="G137">
            <v>61.71</v>
          </cell>
        </row>
        <row r="138">
          <cell r="C138" t="str">
            <v>M391</v>
          </cell>
          <cell r="D138" t="str">
            <v>Contra porca h=35mm D=32mm</v>
          </cell>
          <cell r="E138" t="str">
            <v>un</v>
          </cell>
          <cell r="F138">
            <v>30.25</v>
          </cell>
          <cell r="G138">
            <v>30.25</v>
          </cell>
        </row>
        <row r="139">
          <cell r="C139" t="str">
            <v>M392</v>
          </cell>
          <cell r="D139" t="str">
            <v>Aço ST 85/105 D=32mm</v>
          </cell>
          <cell r="E139" t="str">
            <v>m</v>
          </cell>
          <cell r="F139">
            <v>75.900000000000006</v>
          </cell>
          <cell r="G139">
            <v>75.900000000000006</v>
          </cell>
        </row>
        <row r="140">
          <cell r="C140" t="str">
            <v>M393</v>
          </cell>
          <cell r="D140" t="str">
            <v>Placa de ancoragem - 200x200x38mm</v>
          </cell>
          <cell r="E140" t="str">
            <v>un</v>
          </cell>
          <cell r="F140">
            <v>178.5</v>
          </cell>
          <cell r="G140">
            <v>178.5</v>
          </cell>
        </row>
        <row r="141">
          <cell r="C141" t="str">
            <v>M394</v>
          </cell>
          <cell r="D141" t="str">
            <v>Bainha metálica D=40mm</v>
          </cell>
          <cell r="E141" t="str">
            <v>m</v>
          </cell>
          <cell r="F141">
            <v>12.1</v>
          </cell>
          <cell r="G141">
            <v>12.1</v>
          </cell>
        </row>
        <row r="142">
          <cell r="C142" t="str">
            <v>M395</v>
          </cell>
          <cell r="D142" t="str">
            <v>Bits p/ estabil. e recicl. RM-300</v>
          </cell>
          <cell r="E142" t="str">
            <v>un</v>
          </cell>
          <cell r="F142">
            <v>29.28</v>
          </cell>
          <cell r="G142">
            <v>29.28</v>
          </cell>
        </row>
        <row r="143">
          <cell r="C143" t="str">
            <v>M396</v>
          </cell>
          <cell r="D143" t="str">
            <v>Porta dente p/ est. e rec. RM-300</v>
          </cell>
          <cell r="E143" t="str">
            <v>un</v>
          </cell>
          <cell r="F143">
            <v>46.79</v>
          </cell>
          <cell r="G143">
            <v>46.79</v>
          </cell>
        </row>
        <row r="144">
          <cell r="C144" t="str">
            <v>M398</v>
          </cell>
          <cell r="D144" t="str">
            <v>Chapa de 8,00 mm</v>
          </cell>
          <cell r="E144" t="str">
            <v>kg</v>
          </cell>
          <cell r="F144">
            <v>3.88</v>
          </cell>
          <cell r="G144">
            <v>3.88</v>
          </cell>
        </row>
        <row r="145">
          <cell r="C145" t="str">
            <v>M401</v>
          </cell>
          <cell r="D145" t="str">
            <v>Pontaletes D=15 cm (tronco p/ esc.)</v>
          </cell>
          <cell r="E145" t="str">
            <v>m</v>
          </cell>
          <cell r="F145">
            <v>2.5</v>
          </cell>
          <cell r="G145">
            <v>2.5</v>
          </cell>
        </row>
        <row r="146">
          <cell r="C146" t="str">
            <v>M402</v>
          </cell>
          <cell r="D146" t="str">
            <v>Pontaletes D=20 cm (tronco p/ esc.)</v>
          </cell>
          <cell r="E146" t="str">
            <v>m</v>
          </cell>
          <cell r="F146">
            <v>2.5</v>
          </cell>
          <cell r="G146">
            <v>2.5</v>
          </cell>
        </row>
        <row r="147">
          <cell r="C147" t="str">
            <v>M403</v>
          </cell>
          <cell r="D147" t="str">
            <v>Mourão madeira H=2,15 m D=9 cm</v>
          </cell>
          <cell r="E147" t="str">
            <v>un</v>
          </cell>
          <cell r="F147">
            <v>10.3</v>
          </cell>
          <cell r="G147">
            <v>10.3</v>
          </cell>
        </row>
        <row r="148">
          <cell r="C148" t="str">
            <v>M404</v>
          </cell>
          <cell r="D148" t="str">
            <v>Mourão madeira H=2,50 m D=12 cm</v>
          </cell>
          <cell r="E148" t="str">
            <v>un</v>
          </cell>
          <cell r="F148">
            <v>10.3</v>
          </cell>
          <cell r="G148">
            <v>10.3</v>
          </cell>
        </row>
        <row r="149">
          <cell r="C149" t="str">
            <v>M405</v>
          </cell>
          <cell r="D149" t="str">
            <v>Ripas de 2,5 cm x 5,0 cm</v>
          </cell>
          <cell r="E149" t="str">
            <v>m</v>
          </cell>
          <cell r="F149">
            <v>1.55</v>
          </cell>
          <cell r="G149">
            <v>1.55</v>
          </cell>
        </row>
        <row r="150">
          <cell r="C150" t="str">
            <v>M406</v>
          </cell>
          <cell r="D150" t="str">
            <v>Caibros de 7,5 cm x 7,5 cm</v>
          </cell>
          <cell r="E150" t="str">
            <v>m</v>
          </cell>
          <cell r="F150">
            <v>1.98</v>
          </cell>
          <cell r="G150">
            <v>1.98</v>
          </cell>
        </row>
        <row r="151">
          <cell r="C151" t="str">
            <v>M407</v>
          </cell>
          <cell r="D151" t="str">
            <v>Tábua pinho de 1ª 2,5 cm x 15,0 cm</v>
          </cell>
          <cell r="E151" t="str">
            <v>m</v>
          </cell>
          <cell r="F151">
            <v>4.5</v>
          </cell>
          <cell r="G151">
            <v>4.5</v>
          </cell>
        </row>
        <row r="152">
          <cell r="C152" t="str">
            <v>M408</v>
          </cell>
          <cell r="D152" t="str">
            <v>Tábua de 5ª 2,5 cm x 30,0 cm</v>
          </cell>
          <cell r="E152" t="str">
            <v>m</v>
          </cell>
          <cell r="F152">
            <v>2.7</v>
          </cell>
          <cell r="G152">
            <v>2.7</v>
          </cell>
        </row>
        <row r="153">
          <cell r="C153" t="str">
            <v>M409</v>
          </cell>
          <cell r="D153" t="str">
            <v>Pranchão de 1ª de 5,0 cm x 30,0 cm</v>
          </cell>
          <cell r="E153" t="str">
            <v>m</v>
          </cell>
          <cell r="F153">
            <v>31.5</v>
          </cell>
          <cell r="G153">
            <v>31.5</v>
          </cell>
        </row>
        <row r="154">
          <cell r="C154" t="str">
            <v>M410</v>
          </cell>
          <cell r="D154" t="str">
            <v>Compensado resinado de 17 mm</v>
          </cell>
          <cell r="E154" t="str">
            <v>m2</v>
          </cell>
          <cell r="F154">
            <v>16.48</v>
          </cell>
          <cell r="G154">
            <v>16.48</v>
          </cell>
        </row>
        <row r="155">
          <cell r="C155" t="str">
            <v>M411</v>
          </cell>
          <cell r="D155" t="str">
            <v>Compensado plastificado de 17 mm</v>
          </cell>
          <cell r="E155" t="str">
            <v>m2</v>
          </cell>
          <cell r="F155">
            <v>27.44</v>
          </cell>
          <cell r="G155">
            <v>27.44</v>
          </cell>
        </row>
        <row r="156">
          <cell r="C156" t="str">
            <v>M412</v>
          </cell>
          <cell r="D156" t="str">
            <v>Gastalho 10 x 2,0 cm</v>
          </cell>
          <cell r="E156" t="str">
            <v>m</v>
          </cell>
          <cell r="F156">
            <v>1.2</v>
          </cell>
          <cell r="G156">
            <v>1.2</v>
          </cell>
        </row>
        <row r="157">
          <cell r="C157" t="str">
            <v>M413</v>
          </cell>
          <cell r="D157" t="str">
            <v>Gastalho 10 x 2,5 cm</v>
          </cell>
          <cell r="E157" t="str">
            <v>m</v>
          </cell>
          <cell r="F157">
            <v>2</v>
          </cell>
          <cell r="G157">
            <v>2</v>
          </cell>
        </row>
        <row r="158">
          <cell r="C158" t="str">
            <v>M414</v>
          </cell>
          <cell r="D158" t="str">
            <v>Pranchão 7,5 x 30,0 cm</v>
          </cell>
          <cell r="E158" t="str">
            <v>m</v>
          </cell>
          <cell r="F158">
            <v>30</v>
          </cell>
          <cell r="G158">
            <v>30</v>
          </cell>
        </row>
        <row r="159">
          <cell r="C159" t="str">
            <v>M415</v>
          </cell>
          <cell r="D159" t="str">
            <v>Tábua 2,5 x 22,5 cm</v>
          </cell>
          <cell r="E159" t="str">
            <v>m</v>
          </cell>
          <cell r="F159">
            <v>3</v>
          </cell>
          <cell r="G159">
            <v>3</v>
          </cell>
        </row>
        <row r="160">
          <cell r="C160" t="str">
            <v>M416</v>
          </cell>
          <cell r="D160" t="str">
            <v>Madeira de lei</v>
          </cell>
          <cell r="E160" t="str">
            <v>m3</v>
          </cell>
          <cell r="F160">
            <v>2160</v>
          </cell>
          <cell r="G160">
            <v>2160</v>
          </cell>
        </row>
        <row r="161">
          <cell r="C161" t="str">
            <v>M501</v>
          </cell>
          <cell r="D161" t="str">
            <v>Dinamite a 60% (gelatina especial)</v>
          </cell>
          <cell r="E161" t="str">
            <v>kg</v>
          </cell>
          <cell r="F161">
            <v>3.3</v>
          </cell>
          <cell r="G161">
            <v>3.3</v>
          </cell>
        </row>
        <row r="162">
          <cell r="C162" t="str">
            <v>M503</v>
          </cell>
          <cell r="D162" t="str">
            <v>Espoleta comum n. 8</v>
          </cell>
          <cell r="E162" t="str">
            <v>un</v>
          </cell>
          <cell r="F162">
            <v>0.8</v>
          </cell>
          <cell r="G162">
            <v>0.8</v>
          </cell>
        </row>
        <row r="163">
          <cell r="C163" t="str">
            <v>M505</v>
          </cell>
          <cell r="D163" t="str">
            <v>Cordel detonante NP 10</v>
          </cell>
          <cell r="E163" t="str">
            <v>m</v>
          </cell>
          <cell r="F163">
            <v>0.72</v>
          </cell>
          <cell r="G163">
            <v>0.72</v>
          </cell>
        </row>
        <row r="164">
          <cell r="C164" t="str">
            <v>M507</v>
          </cell>
          <cell r="D164" t="str">
            <v>Retardador de cordel</v>
          </cell>
          <cell r="E164" t="str">
            <v>un</v>
          </cell>
          <cell r="F164">
            <v>10</v>
          </cell>
          <cell r="G164">
            <v>10</v>
          </cell>
        </row>
        <row r="165">
          <cell r="C165" t="str">
            <v>M508</v>
          </cell>
          <cell r="D165" t="str">
            <v>Estopim</v>
          </cell>
          <cell r="E165" t="str">
            <v>m</v>
          </cell>
          <cell r="F165">
            <v>0.8</v>
          </cell>
          <cell r="G165">
            <v>0.8</v>
          </cell>
        </row>
        <row r="166">
          <cell r="C166" t="str">
            <v>M600</v>
          </cell>
          <cell r="D166" t="str">
            <v>Tinta refletiva acrílica p/ 1 ano</v>
          </cell>
          <cell r="E166" t="str">
            <v>l</v>
          </cell>
          <cell r="F166">
            <v>14.07</v>
          </cell>
          <cell r="G166">
            <v>14.07</v>
          </cell>
        </row>
        <row r="167">
          <cell r="C167" t="str">
            <v>M601</v>
          </cell>
          <cell r="D167" t="str">
            <v>Tinta refletiva acrílica p/ 2 anos</v>
          </cell>
          <cell r="E167" t="str">
            <v>l</v>
          </cell>
          <cell r="F167">
            <v>12.59</v>
          </cell>
          <cell r="G167">
            <v>12.59</v>
          </cell>
        </row>
        <row r="168">
          <cell r="C168" t="str">
            <v>M602</v>
          </cell>
          <cell r="D168" t="str">
            <v>Adubo NPK (4.14.8)</v>
          </cell>
          <cell r="E168" t="str">
            <v>kg</v>
          </cell>
          <cell r="F168">
            <v>0.6</v>
          </cell>
          <cell r="G168">
            <v>0.6</v>
          </cell>
        </row>
        <row r="169">
          <cell r="C169" t="str">
            <v>M603</v>
          </cell>
          <cell r="D169" t="str">
            <v>Inseticida</v>
          </cell>
          <cell r="E169" t="str">
            <v>l</v>
          </cell>
          <cell r="F169">
            <v>6</v>
          </cell>
          <cell r="G169">
            <v>6</v>
          </cell>
        </row>
        <row r="170">
          <cell r="C170" t="str">
            <v>M604</v>
          </cell>
          <cell r="D170" t="str">
            <v>Aditivo plastiment BV-40</v>
          </cell>
          <cell r="E170" t="str">
            <v>kg</v>
          </cell>
          <cell r="F170">
            <v>1.96</v>
          </cell>
          <cell r="G170">
            <v>1.96</v>
          </cell>
        </row>
        <row r="171">
          <cell r="C171" t="str">
            <v>M605</v>
          </cell>
          <cell r="D171" t="str">
            <v>Cola para tubo PVC</v>
          </cell>
          <cell r="E171" t="str">
            <v>gr</v>
          </cell>
          <cell r="F171">
            <v>0.03</v>
          </cell>
          <cell r="G171">
            <v>0.03</v>
          </cell>
        </row>
        <row r="172">
          <cell r="C172" t="str">
            <v>M606</v>
          </cell>
          <cell r="D172" t="str">
            <v>Tinta anti-corrosiva</v>
          </cell>
          <cell r="E172" t="str">
            <v>l</v>
          </cell>
          <cell r="F172">
            <v>11.13</v>
          </cell>
          <cell r="G172">
            <v>11.13</v>
          </cell>
        </row>
        <row r="173">
          <cell r="C173" t="str">
            <v>M607</v>
          </cell>
          <cell r="D173" t="str">
            <v>Óleo de linhaça</v>
          </cell>
          <cell r="E173" t="str">
            <v>l</v>
          </cell>
          <cell r="F173">
            <v>5.48</v>
          </cell>
          <cell r="G173">
            <v>5.48</v>
          </cell>
        </row>
        <row r="174">
          <cell r="C174" t="str">
            <v>M608</v>
          </cell>
          <cell r="D174" t="str">
            <v>Detergente</v>
          </cell>
          <cell r="E174" t="str">
            <v>l</v>
          </cell>
          <cell r="F174">
            <v>1.78</v>
          </cell>
          <cell r="G174">
            <v>1.78</v>
          </cell>
        </row>
        <row r="175">
          <cell r="C175" t="str">
            <v>M609</v>
          </cell>
          <cell r="D175" t="str">
            <v>Tinta esmalte sintético semi-fosco</v>
          </cell>
          <cell r="E175" t="str">
            <v>l</v>
          </cell>
          <cell r="F175">
            <v>11.13</v>
          </cell>
          <cell r="G175">
            <v>11.13</v>
          </cell>
        </row>
        <row r="176">
          <cell r="C176" t="str">
            <v>M610</v>
          </cell>
          <cell r="D176" t="str">
            <v>Pintura epóxica - barra D= 32mm</v>
          </cell>
          <cell r="E176" t="str">
            <v>m</v>
          </cell>
          <cell r="F176">
            <v>8.25</v>
          </cell>
          <cell r="G176">
            <v>8.25</v>
          </cell>
        </row>
        <row r="177">
          <cell r="C177" t="str">
            <v>M611</v>
          </cell>
          <cell r="D177" t="str">
            <v>Redutor tipo 2002 prim. qualidade</v>
          </cell>
          <cell r="E177" t="str">
            <v>l</v>
          </cell>
          <cell r="F177">
            <v>10.45</v>
          </cell>
          <cell r="G177">
            <v>10.45</v>
          </cell>
        </row>
        <row r="178">
          <cell r="C178" t="str">
            <v>M612</v>
          </cell>
          <cell r="D178" t="str">
            <v>Lixa para ferro n. 100</v>
          </cell>
          <cell r="E178" t="str">
            <v>un</v>
          </cell>
          <cell r="F178">
            <v>2.13</v>
          </cell>
          <cell r="G178">
            <v>2.13</v>
          </cell>
        </row>
        <row r="179">
          <cell r="C179" t="str">
            <v>M613</v>
          </cell>
          <cell r="D179" t="str">
            <v>Tinta a base de resina alquídica</v>
          </cell>
          <cell r="E179" t="str">
            <v>l</v>
          </cell>
          <cell r="F179">
            <v>11.13</v>
          </cell>
          <cell r="G179">
            <v>11.13</v>
          </cell>
        </row>
        <row r="180">
          <cell r="C180" t="str">
            <v>M614</v>
          </cell>
          <cell r="D180" t="str">
            <v>Tinta base res. acrilica emul. agua</v>
          </cell>
          <cell r="E180" t="str">
            <v>l</v>
          </cell>
          <cell r="F180">
            <v>11.94</v>
          </cell>
          <cell r="G180">
            <v>11.94</v>
          </cell>
        </row>
        <row r="181">
          <cell r="C181" t="str">
            <v>M615</v>
          </cell>
          <cell r="D181" t="str">
            <v>Microesferas PRE-MIX</v>
          </cell>
          <cell r="E181" t="str">
            <v>kg</v>
          </cell>
          <cell r="F181">
            <v>3</v>
          </cell>
          <cell r="G181">
            <v>3</v>
          </cell>
        </row>
        <row r="182">
          <cell r="C182" t="str">
            <v>M616</v>
          </cell>
          <cell r="D182" t="str">
            <v>Microesferas DROP-ON</v>
          </cell>
          <cell r="E182" t="str">
            <v>kg</v>
          </cell>
          <cell r="F182">
            <v>3</v>
          </cell>
          <cell r="G182">
            <v>3</v>
          </cell>
        </row>
        <row r="183">
          <cell r="C183" t="str">
            <v>M617</v>
          </cell>
          <cell r="D183" t="str">
            <v>Massa termoplástica para extrusão</v>
          </cell>
          <cell r="E183" t="str">
            <v>kg</v>
          </cell>
          <cell r="F183">
            <v>6</v>
          </cell>
          <cell r="G183">
            <v>6</v>
          </cell>
        </row>
        <row r="184">
          <cell r="C184" t="str">
            <v>M618</v>
          </cell>
          <cell r="D184" t="str">
            <v>Massa termoplástica para aspersão</v>
          </cell>
          <cell r="E184" t="str">
            <v>kg</v>
          </cell>
          <cell r="F184">
            <v>6</v>
          </cell>
          <cell r="G184">
            <v>6</v>
          </cell>
        </row>
        <row r="185">
          <cell r="C185" t="str">
            <v>M619</v>
          </cell>
          <cell r="D185" t="str">
            <v>Cola poliester</v>
          </cell>
          <cell r="E185" t="str">
            <v>kg</v>
          </cell>
          <cell r="F185">
            <v>9</v>
          </cell>
          <cell r="G185">
            <v>9</v>
          </cell>
        </row>
        <row r="186">
          <cell r="C186" t="str">
            <v>M620</v>
          </cell>
          <cell r="D186" t="str">
            <v>Protetor de cura do concreto</v>
          </cell>
          <cell r="E186" t="str">
            <v>kg</v>
          </cell>
          <cell r="F186">
            <v>3.37</v>
          </cell>
          <cell r="G186">
            <v>3.37</v>
          </cell>
        </row>
        <row r="187">
          <cell r="C187" t="str">
            <v>M621</v>
          </cell>
          <cell r="D187" t="str">
            <v>Desmoldante</v>
          </cell>
          <cell r="E187" t="str">
            <v>l</v>
          </cell>
          <cell r="F187">
            <v>4.32</v>
          </cell>
          <cell r="G187">
            <v>4.32</v>
          </cell>
        </row>
        <row r="188">
          <cell r="C188" t="str">
            <v>M622</v>
          </cell>
          <cell r="D188" t="str">
            <v>Interplast N</v>
          </cell>
          <cell r="E188" t="str">
            <v>kg</v>
          </cell>
          <cell r="F188">
            <v>4.59</v>
          </cell>
          <cell r="G188">
            <v>4.59</v>
          </cell>
        </row>
        <row r="189">
          <cell r="C189" t="str">
            <v>M623</v>
          </cell>
          <cell r="D189" t="str">
            <v>Gás propano</v>
          </cell>
          <cell r="E189" t="str">
            <v>kg</v>
          </cell>
          <cell r="F189">
            <v>4</v>
          </cell>
          <cell r="G189">
            <v>4</v>
          </cell>
        </row>
        <row r="190">
          <cell r="C190" t="str">
            <v>M624</v>
          </cell>
          <cell r="D190" t="str">
            <v>Tinta para pré-marcação</v>
          </cell>
          <cell r="E190" t="str">
            <v>l</v>
          </cell>
          <cell r="F190">
            <v>12.08</v>
          </cell>
          <cell r="G190">
            <v>12.08</v>
          </cell>
        </row>
        <row r="191">
          <cell r="C191" t="str">
            <v>M625</v>
          </cell>
          <cell r="D191" t="str">
            <v>Acetileno</v>
          </cell>
          <cell r="E191" t="str">
            <v>kg</v>
          </cell>
          <cell r="F191">
            <v>23.3</v>
          </cell>
          <cell r="G191">
            <v>23.3</v>
          </cell>
        </row>
        <row r="192">
          <cell r="C192" t="str">
            <v>M626</v>
          </cell>
          <cell r="D192" t="str">
            <v>Oxigênio</v>
          </cell>
          <cell r="E192" t="str">
            <v>m3</v>
          </cell>
          <cell r="F192">
            <v>10</v>
          </cell>
          <cell r="G192">
            <v>10</v>
          </cell>
        </row>
        <row r="193">
          <cell r="C193" t="str">
            <v>M630</v>
          </cell>
          <cell r="D193" t="str">
            <v>Termoplástico pré-formado</v>
          </cell>
          <cell r="E193" t="str">
            <v>m2</v>
          </cell>
          <cell r="F193">
            <v>80</v>
          </cell>
          <cell r="G193">
            <v>80</v>
          </cell>
        </row>
        <row r="194">
          <cell r="C194" t="str">
            <v>M700</v>
          </cell>
          <cell r="D194" t="str">
            <v>Tijolo comum maciço (5,5x9x19) cm</v>
          </cell>
          <cell r="E194" t="str">
            <v>un</v>
          </cell>
          <cell r="F194">
            <v>0.42</v>
          </cell>
          <cell r="G194">
            <v>0.42</v>
          </cell>
        </row>
        <row r="195">
          <cell r="C195" t="str">
            <v>M702</v>
          </cell>
          <cell r="D195" t="str">
            <v>Cal hidratada</v>
          </cell>
          <cell r="E195" t="str">
            <v>kg</v>
          </cell>
          <cell r="F195">
            <v>0.46</v>
          </cell>
          <cell r="G195">
            <v>0.46</v>
          </cell>
        </row>
        <row r="196">
          <cell r="C196" t="str">
            <v>M703</v>
          </cell>
          <cell r="D196" t="str">
            <v>Tijolo 20 x 30 cm</v>
          </cell>
          <cell r="E196" t="str">
            <v>un</v>
          </cell>
          <cell r="F196">
            <v>0.45</v>
          </cell>
          <cell r="G196">
            <v>0.45</v>
          </cell>
        </row>
        <row r="197">
          <cell r="C197" t="str">
            <v>M704</v>
          </cell>
          <cell r="D197" t="str">
            <v>Areia lavada comercial DMT até 50 km</v>
          </cell>
          <cell r="E197" t="str">
            <v>m3</v>
          </cell>
          <cell r="F197">
            <v>60</v>
          </cell>
          <cell r="G197">
            <v>60</v>
          </cell>
        </row>
        <row r="198">
          <cell r="C198" t="str">
            <v>M705</v>
          </cell>
          <cell r="D198" t="str">
            <v>Pó de pedra</v>
          </cell>
          <cell r="E198" t="str">
            <v>m3</v>
          </cell>
          <cell r="F198">
            <v>28</v>
          </cell>
          <cell r="G198">
            <v>28</v>
          </cell>
        </row>
        <row r="199">
          <cell r="C199" t="str">
            <v>M709</v>
          </cell>
          <cell r="D199" t="str">
            <v>Brita corrida (comercial) DMT até 50 km</v>
          </cell>
          <cell r="E199" t="str">
            <v>m3</v>
          </cell>
          <cell r="F199">
            <v>66</v>
          </cell>
          <cell r="G199">
            <v>66</v>
          </cell>
        </row>
        <row r="200">
          <cell r="C200" t="str">
            <v>M710</v>
          </cell>
          <cell r="D200" t="str">
            <v>Pedra de mão comercial com transporte até 50 km</v>
          </cell>
          <cell r="E200" t="str">
            <v>m3</v>
          </cell>
          <cell r="F200">
            <v>65</v>
          </cell>
          <cell r="G200">
            <v>65</v>
          </cell>
        </row>
        <row r="201">
          <cell r="C201" t="str">
            <v>M711</v>
          </cell>
          <cell r="D201" t="str">
            <v>Pedra rachão comercial DMTaté 50 km</v>
          </cell>
          <cell r="E201" t="str">
            <v>m³</v>
          </cell>
          <cell r="F201">
            <v>65</v>
          </cell>
          <cell r="G201">
            <v>65</v>
          </cell>
        </row>
        <row r="202">
          <cell r="C202" t="str">
            <v>M715</v>
          </cell>
          <cell r="D202" t="str">
            <v>Pó calcário dolomítico</v>
          </cell>
          <cell r="E202" t="str">
            <v>kg</v>
          </cell>
          <cell r="F202">
            <v>0.22</v>
          </cell>
          <cell r="G202">
            <v>0.22</v>
          </cell>
        </row>
        <row r="203">
          <cell r="C203" t="str">
            <v>M901</v>
          </cell>
          <cell r="D203" t="str">
            <v>Aparelho de apoio neoprene fretado</v>
          </cell>
          <cell r="E203" t="str">
            <v>dm3</v>
          </cell>
          <cell r="F203">
            <v>72</v>
          </cell>
          <cell r="G203">
            <v>72</v>
          </cell>
        </row>
        <row r="204">
          <cell r="C204" t="str">
            <v>M902</v>
          </cell>
          <cell r="D204" t="str">
            <v>Tubo de PVC D=75 mm</v>
          </cell>
          <cell r="E204" t="str">
            <v>m</v>
          </cell>
          <cell r="F204">
            <v>4.8</v>
          </cell>
          <cell r="G204">
            <v>4.8</v>
          </cell>
        </row>
        <row r="205">
          <cell r="C205" t="str">
            <v>M903</v>
          </cell>
          <cell r="D205" t="str">
            <v>Geotêxtil tecido não agulhadoTRI200</v>
          </cell>
          <cell r="E205" t="str">
            <v>m2</v>
          </cell>
          <cell r="F205">
            <v>3.85</v>
          </cell>
          <cell r="G205">
            <v>3.85</v>
          </cell>
        </row>
        <row r="206">
          <cell r="C206" t="str">
            <v>M904</v>
          </cell>
          <cell r="D206" t="str">
            <v>Manta sintética (Bidim OP-30) RT 14</v>
          </cell>
          <cell r="E206" t="str">
            <v>m2</v>
          </cell>
          <cell r="F206">
            <v>4.3499999999999996</v>
          </cell>
          <cell r="G206">
            <v>4.3499999999999996</v>
          </cell>
        </row>
        <row r="207">
          <cell r="C207" t="str">
            <v>M905</v>
          </cell>
          <cell r="D207" t="str">
            <v>Filler</v>
          </cell>
          <cell r="E207" t="str">
            <v>kg</v>
          </cell>
          <cell r="F207">
            <v>0.05</v>
          </cell>
          <cell r="G207">
            <v>0.05</v>
          </cell>
        </row>
        <row r="208">
          <cell r="C208" t="str">
            <v>M906</v>
          </cell>
          <cell r="D208" t="str">
            <v>Sementes p/ hidrossemeadura</v>
          </cell>
          <cell r="E208" t="str">
            <v>kg</v>
          </cell>
          <cell r="F208">
            <v>3</v>
          </cell>
          <cell r="G208">
            <v>3</v>
          </cell>
        </row>
        <row r="209">
          <cell r="C209" t="str">
            <v>M907</v>
          </cell>
          <cell r="D209" t="str">
            <v xml:space="preserve"> Adubo orgânico </v>
          </cell>
          <cell r="E209" t="str">
            <v>kg</v>
          </cell>
          <cell r="F209">
            <v>0.05</v>
          </cell>
          <cell r="G209">
            <v>0.05</v>
          </cell>
        </row>
        <row r="210">
          <cell r="C210" t="str">
            <v>M908</v>
          </cell>
          <cell r="D210" t="str">
            <v>Eletrodo p/ solda eletr. OK 46.00</v>
          </cell>
          <cell r="E210" t="str">
            <v>kg</v>
          </cell>
          <cell r="F210">
            <v>8.84</v>
          </cell>
          <cell r="G210">
            <v>8.84</v>
          </cell>
        </row>
        <row r="211">
          <cell r="C211" t="str">
            <v>M909</v>
          </cell>
          <cell r="D211" t="str">
            <v>Tubo de PVC perfurado D=50 mm</v>
          </cell>
          <cell r="E211" t="str">
            <v>m</v>
          </cell>
          <cell r="F211">
            <v>5.33</v>
          </cell>
          <cell r="G211">
            <v>5.33</v>
          </cell>
        </row>
        <row r="212">
          <cell r="C212" t="str">
            <v>M910</v>
          </cell>
          <cell r="D212" t="str">
            <v>Tubo de PVC rígido D=50 mm</v>
          </cell>
          <cell r="E212" t="str">
            <v>m</v>
          </cell>
          <cell r="F212">
            <v>5.86</v>
          </cell>
          <cell r="G212">
            <v>5.86</v>
          </cell>
        </row>
        <row r="213">
          <cell r="C213" t="str">
            <v>M911</v>
          </cell>
          <cell r="D213" t="str">
            <v>Tubo de PVC D=100 mm</v>
          </cell>
          <cell r="E213" t="str">
            <v>m</v>
          </cell>
          <cell r="F213">
            <v>5</v>
          </cell>
          <cell r="G213">
            <v>5</v>
          </cell>
        </row>
        <row r="214">
          <cell r="C214" t="str">
            <v>M920</v>
          </cell>
          <cell r="D214" t="str">
            <v>Meio tubo de concreto D=40 cm</v>
          </cell>
          <cell r="E214" t="str">
            <v>m</v>
          </cell>
          <cell r="F214">
            <v>27.2</v>
          </cell>
          <cell r="G214">
            <v>27.2</v>
          </cell>
        </row>
        <row r="215">
          <cell r="C215" t="str">
            <v>M921</v>
          </cell>
          <cell r="D215" t="str">
            <v>Gabião caixa 2X1X0,50m ZN/AL</v>
          </cell>
          <cell r="E215" t="str">
            <v>un</v>
          </cell>
          <cell r="F215">
            <v>159.87</v>
          </cell>
          <cell r="G215">
            <v>159.87</v>
          </cell>
        </row>
        <row r="216">
          <cell r="C216" t="str">
            <v>M922</v>
          </cell>
          <cell r="D216" t="str">
            <v>Gabião caixa 2X1X1m ZN/AL</v>
          </cell>
          <cell r="E216" t="str">
            <v>un</v>
          </cell>
          <cell r="F216">
            <v>259.14</v>
          </cell>
          <cell r="G216">
            <v>259.14</v>
          </cell>
        </row>
        <row r="217">
          <cell r="C217" t="str">
            <v>M923</v>
          </cell>
          <cell r="D217" t="str">
            <v>Gabião caixa 2X1X1m ZN/AL+PVC</v>
          </cell>
          <cell r="E217" t="str">
            <v>un</v>
          </cell>
          <cell r="F217">
            <v>299.88</v>
          </cell>
          <cell r="G217">
            <v>299.88</v>
          </cell>
        </row>
        <row r="218">
          <cell r="C218" t="str">
            <v>M924</v>
          </cell>
          <cell r="D218" t="str">
            <v>Gabião caixa 2X1X0,50m ZN/AL+PVC</v>
          </cell>
          <cell r="E218" t="str">
            <v>un</v>
          </cell>
          <cell r="F218">
            <v>202.39</v>
          </cell>
          <cell r="G218">
            <v>202.39</v>
          </cell>
        </row>
        <row r="219">
          <cell r="C219" t="str">
            <v>M925</v>
          </cell>
          <cell r="D219" t="str">
            <v>Gabião saco ZN/AL+PVC</v>
          </cell>
          <cell r="E219" t="str">
            <v>un</v>
          </cell>
          <cell r="F219">
            <v>161.07</v>
          </cell>
          <cell r="G219">
            <v>161.07</v>
          </cell>
        </row>
        <row r="220">
          <cell r="C220" t="str">
            <v>M926</v>
          </cell>
          <cell r="D220" t="str">
            <v>Gabião colchão ZN/AL+PVC 4X2X0,23m</v>
          </cell>
          <cell r="E220" t="str">
            <v>un</v>
          </cell>
          <cell r="F220">
            <v>473.45</v>
          </cell>
          <cell r="G220">
            <v>473.45</v>
          </cell>
        </row>
        <row r="221">
          <cell r="C221" t="str">
            <v>M927</v>
          </cell>
          <cell r="D221" t="str">
            <v>Gabião colchão ZN/AL+PVC 4X2X0,30m</v>
          </cell>
          <cell r="E221" t="str">
            <v>un</v>
          </cell>
          <cell r="F221">
            <v>520.59</v>
          </cell>
          <cell r="G221">
            <v>520.59</v>
          </cell>
        </row>
        <row r="222">
          <cell r="C222" t="str">
            <v>M928</v>
          </cell>
          <cell r="D222" t="str">
            <v>Malha 8X10 D=2,7mm ZN/AL</v>
          </cell>
          <cell r="E222" t="str">
            <v>un</v>
          </cell>
          <cell r="F222">
            <v>1219</v>
          </cell>
          <cell r="G222">
            <v>1219</v>
          </cell>
        </row>
        <row r="223">
          <cell r="C223" t="str">
            <v>M929</v>
          </cell>
          <cell r="D223" t="str">
            <v>Malha 8X10 D=2,4mm ZN/AL+PVC</v>
          </cell>
          <cell r="E223" t="str">
            <v>un</v>
          </cell>
          <cell r="F223">
            <v>1360</v>
          </cell>
          <cell r="G223">
            <v>1360</v>
          </cell>
        </row>
        <row r="224">
          <cell r="C224" t="str">
            <v>M935</v>
          </cell>
          <cell r="D224" t="str">
            <v>Terra arm. ECE - greide 0&lt;h&lt;6m</v>
          </cell>
          <cell r="E224" t="str">
            <v>m2</v>
          </cell>
          <cell r="F224">
            <v>312</v>
          </cell>
          <cell r="G224">
            <v>312</v>
          </cell>
        </row>
        <row r="225">
          <cell r="C225" t="str">
            <v>M936</v>
          </cell>
          <cell r="D225" t="str">
            <v>Terra arm. ECE - greide 6&lt;h&lt;9m</v>
          </cell>
          <cell r="E225" t="str">
            <v>m2</v>
          </cell>
          <cell r="F225">
            <v>377</v>
          </cell>
          <cell r="G225">
            <v>377</v>
          </cell>
        </row>
        <row r="226">
          <cell r="C226" t="str">
            <v>M937</v>
          </cell>
          <cell r="D226" t="str">
            <v>Terra arm. ECE - greide 9&lt;h&lt;12m</v>
          </cell>
          <cell r="E226" t="str">
            <v>m2</v>
          </cell>
          <cell r="F226">
            <v>573</v>
          </cell>
          <cell r="G226">
            <v>573</v>
          </cell>
        </row>
        <row r="227">
          <cell r="C227" t="str">
            <v>M938</v>
          </cell>
          <cell r="D227" t="str">
            <v>Terra arm. ECE- pé talude 0&lt;h&lt;6m</v>
          </cell>
          <cell r="E227" t="str">
            <v>m2</v>
          </cell>
          <cell r="F227">
            <v>365</v>
          </cell>
          <cell r="G227">
            <v>365</v>
          </cell>
        </row>
        <row r="228">
          <cell r="C228" t="str">
            <v>M939</v>
          </cell>
          <cell r="D228" t="str">
            <v>Terra arm. ECE- pé talude 6&lt;h&lt;9m</v>
          </cell>
          <cell r="E228" t="str">
            <v>m2</v>
          </cell>
          <cell r="F228">
            <v>445</v>
          </cell>
          <cell r="G228">
            <v>445</v>
          </cell>
        </row>
        <row r="229">
          <cell r="C229" t="str">
            <v>M940</v>
          </cell>
          <cell r="D229" t="str">
            <v>Terra arm. ECE- pé talude 9&lt;h&lt;12m</v>
          </cell>
          <cell r="E229" t="str">
            <v>m2</v>
          </cell>
          <cell r="F229">
            <v>670</v>
          </cell>
          <cell r="G229">
            <v>670</v>
          </cell>
        </row>
        <row r="230">
          <cell r="C230" t="str">
            <v>M941</v>
          </cell>
          <cell r="D230" t="str">
            <v>Terra arm. ECE-enc. portante 0&lt;h&lt;6m</v>
          </cell>
          <cell r="E230" t="str">
            <v>m2</v>
          </cell>
          <cell r="F230">
            <v>735</v>
          </cell>
          <cell r="G230">
            <v>735</v>
          </cell>
        </row>
        <row r="231">
          <cell r="C231" t="str">
            <v>M942</v>
          </cell>
          <cell r="D231" t="str">
            <v>Terra arm. ECE-enc. portante 6&lt;h&lt;9m</v>
          </cell>
          <cell r="E231" t="str">
            <v>m2</v>
          </cell>
          <cell r="F231">
            <v>922</v>
          </cell>
          <cell r="G231">
            <v>922</v>
          </cell>
        </row>
        <row r="232">
          <cell r="C232" t="str">
            <v>M945</v>
          </cell>
          <cell r="D232" t="str">
            <v>Haste para perfuratriz de esteira</v>
          </cell>
          <cell r="E232" t="str">
            <v>un</v>
          </cell>
          <cell r="F232">
            <v>486</v>
          </cell>
          <cell r="G232">
            <v>486</v>
          </cell>
        </row>
        <row r="233">
          <cell r="C233" t="str">
            <v>M946</v>
          </cell>
          <cell r="D233" t="str">
            <v>Luva para perfuratriz de esteira</v>
          </cell>
          <cell r="E233" t="str">
            <v>un</v>
          </cell>
          <cell r="F233">
            <v>223.7</v>
          </cell>
          <cell r="G233">
            <v>223.7</v>
          </cell>
        </row>
        <row r="234">
          <cell r="C234" t="str">
            <v>M947</v>
          </cell>
          <cell r="D234" t="str">
            <v>Punho para perfuratriz de esteira</v>
          </cell>
          <cell r="E234" t="str">
            <v>un</v>
          </cell>
          <cell r="F234">
            <v>576</v>
          </cell>
          <cell r="G234">
            <v>576</v>
          </cell>
        </row>
        <row r="235">
          <cell r="C235" t="str">
            <v>M948</v>
          </cell>
          <cell r="D235" t="str">
            <v>Coroa para perfuratriz de esteira</v>
          </cell>
          <cell r="E235" t="str">
            <v>un</v>
          </cell>
          <cell r="F235">
            <v>706</v>
          </cell>
          <cell r="G235">
            <v>706</v>
          </cell>
        </row>
        <row r="236">
          <cell r="C236" t="str">
            <v>M949</v>
          </cell>
          <cell r="D236" t="str">
            <v>Disco diam. p/ máq. de disco 47kW</v>
          </cell>
          <cell r="E236" t="str">
            <v>un</v>
          </cell>
          <cell r="F236">
            <v>843.57</v>
          </cell>
          <cell r="G236">
            <v>843.57</v>
          </cell>
        </row>
        <row r="237">
          <cell r="C237" t="str">
            <v>M950</v>
          </cell>
          <cell r="D237" t="str">
            <v>Coroa de diamante linha NX</v>
          </cell>
          <cell r="E237" t="str">
            <v>un</v>
          </cell>
          <cell r="F237">
            <v>595</v>
          </cell>
          <cell r="G237">
            <v>595</v>
          </cell>
        </row>
        <row r="238">
          <cell r="C238" t="str">
            <v>M951</v>
          </cell>
          <cell r="D238" t="str">
            <v>Calibrador de diamante linha NX</v>
          </cell>
          <cell r="E238" t="str">
            <v>un</v>
          </cell>
          <cell r="F238">
            <v>420</v>
          </cell>
          <cell r="G238">
            <v>420</v>
          </cell>
        </row>
        <row r="239">
          <cell r="C239" t="str">
            <v>M952</v>
          </cell>
          <cell r="D239" t="str">
            <v>Mola comum linha NX</v>
          </cell>
          <cell r="E239" t="str">
            <v>un</v>
          </cell>
          <cell r="F239">
            <v>34.56</v>
          </cell>
          <cell r="G239">
            <v>34.56</v>
          </cell>
        </row>
        <row r="240">
          <cell r="C240" t="str">
            <v>M953</v>
          </cell>
          <cell r="D240" t="str">
            <v>Barrilete simples linha NX</v>
          </cell>
          <cell r="E240" t="str">
            <v>un</v>
          </cell>
          <cell r="F240">
            <v>251.53</v>
          </cell>
          <cell r="G240">
            <v>251.53</v>
          </cell>
        </row>
        <row r="241">
          <cell r="C241" t="str">
            <v>M954</v>
          </cell>
          <cell r="D241" t="str">
            <v>Haste paredes paraleleas c/ niples</v>
          </cell>
          <cell r="E241" t="str">
            <v>un</v>
          </cell>
          <cell r="F241">
            <v>392.7</v>
          </cell>
          <cell r="G241">
            <v>392.7</v>
          </cell>
        </row>
        <row r="242">
          <cell r="C242" t="str">
            <v>M955</v>
          </cell>
          <cell r="D242" t="str">
            <v>Coroa de widia linha NX</v>
          </cell>
          <cell r="E242" t="str">
            <v>un</v>
          </cell>
          <cell r="F242">
            <v>253.8</v>
          </cell>
          <cell r="G242">
            <v>253.8</v>
          </cell>
        </row>
        <row r="243">
          <cell r="C243" t="str">
            <v>M956</v>
          </cell>
          <cell r="D243" t="str">
            <v>Sapata de widia linha NX</v>
          </cell>
          <cell r="E243" t="str">
            <v>un</v>
          </cell>
          <cell r="F243">
            <v>221.4</v>
          </cell>
          <cell r="G243">
            <v>221.4</v>
          </cell>
        </row>
        <row r="244">
          <cell r="C244" t="str">
            <v>M957</v>
          </cell>
          <cell r="D244" t="str">
            <v>Revestimento c/ conector linha NX</v>
          </cell>
          <cell r="E244" t="str">
            <v>un</v>
          </cell>
          <cell r="F244">
            <v>425</v>
          </cell>
          <cell r="G244">
            <v>425</v>
          </cell>
        </row>
        <row r="245">
          <cell r="C245" t="str">
            <v>M958</v>
          </cell>
          <cell r="D245" t="str">
            <v>Calibrador de widia simples linh NX</v>
          </cell>
          <cell r="E245" t="str">
            <v>un</v>
          </cell>
          <cell r="F245">
            <v>202.55</v>
          </cell>
          <cell r="G245">
            <v>202.55</v>
          </cell>
        </row>
        <row r="246">
          <cell r="C246" t="str">
            <v>M960</v>
          </cell>
          <cell r="D246" t="str">
            <v>Fio de nylon n. 040</v>
          </cell>
          <cell r="E246" t="str">
            <v>m</v>
          </cell>
          <cell r="F246">
            <v>0.21</v>
          </cell>
          <cell r="G246">
            <v>0.21</v>
          </cell>
        </row>
        <row r="247">
          <cell r="C247" t="str">
            <v>M969</v>
          </cell>
          <cell r="D247" t="str">
            <v>Película refletiva lentes expostas</v>
          </cell>
          <cell r="E247" t="str">
            <v>m2</v>
          </cell>
          <cell r="F247">
            <v>150</v>
          </cell>
          <cell r="G247">
            <v>150</v>
          </cell>
        </row>
        <row r="248">
          <cell r="C248" t="str">
            <v>M970</v>
          </cell>
          <cell r="D248" t="str">
            <v>Película refletiva lentes inclusas</v>
          </cell>
          <cell r="E248" t="str">
            <v>m2</v>
          </cell>
          <cell r="F248">
            <v>67.209999999999994</v>
          </cell>
          <cell r="G248">
            <v>67.209999999999994</v>
          </cell>
        </row>
        <row r="249">
          <cell r="C249" t="str">
            <v>M971</v>
          </cell>
          <cell r="D249" t="str">
            <v>Dispositivo anti-ofuscante</v>
          </cell>
          <cell r="E249" t="str">
            <v>m</v>
          </cell>
          <cell r="F249">
            <v>160.19999999999999</v>
          </cell>
          <cell r="G249">
            <v>160.19999999999999</v>
          </cell>
        </row>
        <row r="250">
          <cell r="C250" t="str">
            <v>M972</v>
          </cell>
          <cell r="D250" t="str">
            <v>Tacha refletiva monodirecional</v>
          </cell>
          <cell r="E250" t="str">
            <v>un</v>
          </cell>
          <cell r="F250">
            <v>5.9</v>
          </cell>
          <cell r="G250">
            <v>5.9</v>
          </cell>
        </row>
        <row r="251">
          <cell r="C251" t="str">
            <v>M973</v>
          </cell>
          <cell r="D251" t="str">
            <v>Tacha refletiva bidirecional</v>
          </cell>
          <cell r="E251" t="str">
            <v>un</v>
          </cell>
          <cell r="F251">
            <v>6.2</v>
          </cell>
          <cell r="G251">
            <v>6.2</v>
          </cell>
        </row>
        <row r="252">
          <cell r="C252" t="str">
            <v>M974</v>
          </cell>
          <cell r="D252" t="str">
            <v>Tachão refletivo monodirecional</v>
          </cell>
          <cell r="E252" t="str">
            <v>un</v>
          </cell>
          <cell r="F252">
            <v>14.2</v>
          </cell>
          <cell r="G252">
            <v>14.2</v>
          </cell>
        </row>
        <row r="253">
          <cell r="C253" t="str">
            <v>M975</v>
          </cell>
          <cell r="D253" t="str">
            <v>Tachão refletivo bidirecional</v>
          </cell>
          <cell r="E253" t="str">
            <v>un</v>
          </cell>
          <cell r="F253">
            <v>15.2</v>
          </cell>
          <cell r="G253">
            <v>15.2</v>
          </cell>
        </row>
        <row r="254">
          <cell r="C254" t="str">
            <v>M976</v>
          </cell>
          <cell r="D254" t="str">
            <v>Baguete limitador de polietileno</v>
          </cell>
          <cell r="E254" t="str">
            <v>m</v>
          </cell>
          <cell r="F254">
            <v>0.98</v>
          </cell>
          <cell r="G254">
            <v>0.98</v>
          </cell>
        </row>
        <row r="255">
          <cell r="C255" t="str">
            <v>M977</v>
          </cell>
          <cell r="D255" t="str">
            <v>Selante asfáltico polimerizado</v>
          </cell>
          <cell r="E255" t="str">
            <v>l</v>
          </cell>
          <cell r="F255">
            <v>0.73</v>
          </cell>
          <cell r="G255">
            <v>0.73</v>
          </cell>
        </row>
        <row r="256">
          <cell r="C256" t="str">
            <v>M980</v>
          </cell>
          <cell r="D256" t="str">
            <v>Indenização de jazida</v>
          </cell>
          <cell r="E256" t="str">
            <v>m3</v>
          </cell>
          <cell r="F256">
            <v>0.01</v>
          </cell>
          <cell r="G256">
            <v>0.01</v>
          </cell>
        </row>
        <row r="257">
          <cell r="C257" t="str">
            <v>M982</v>
          </cell>
          <cell r="D257" t="str">
            <v>Isopor de 5cm de espessura</v>
          </cell>
          <cell r="E257" t="str">
            <v>m2</v>
          </cell>
          <cell r="F257">
            <v>8.5</v>
          </cell>
          <cell r="G257">
            <v>8.5</v>
          </cell>
        </row>
        <row r="258">
          <cell r="C258" t="str">
            <v>M983</v>
          </cell>
          <cell r="D258" t="str">
            <v>Disco diam. p/ máq. de disco 6kW</v>
          </cell>
          <cell r="E258" t="str">
            <v>un</v>
          </cell>
          <cell r="F258">
            <v>350</v>
          </cell>
          <cell r="G258">
            <v>350</v>
          </cell>
        </row>
        <row r="259">
          <cell r="C259" t="str">
            <v>M984</v>
          </cell>
          <cell r="D259" t="str">
            <v>Chumbadores</v>
          </cell>
          <cell r="E259" t="str">
            <v>kg</v>
          </cell>
          <cell r="F259">
            <v>18.329999999999998</v>
          </cell>
          <cell r="G259">
            <v>18.329999999999998</v>
          </cell>
        </row>
        <row r="260">
          <cell r="C260" t="str">
            <v>M985</v>
          </cell>
          <cell r="D260" t="str">
            <v>Tubo plástico para purgadores</v>
          </cell>
          <cell r="E260" t="str">
            <v>m</v>
          </cell>
          <cell r="F260">
            <v>1.51</v>
          </cell>
          <cell r="G260">
            <v>1.51</v>
          </cell>
        </row>
        <row r="261">
          <cell r="C261" t="str">
            <v>M996</v>
          </cell>
          <cell r="D261" t="str">
            <v>Material Demolido</v>
          </cell>
          <cell r="E261" t="str">
            <v>t</v>
          </cell>
          <cell r="F261">
            <v>0</v>
          </cell>
          <cell r="G261">
            <v>0</v>
          </cell>
        </row>
        <row r="262">
          <cell r="C262" t="str">
            <v>M997</v>
          </cell>
          <cell r="D262" t="str">
            <v>Material Fresado</v>
          </cell>
          <cell r="E262" t="str">
            <v>t</v>
          </cell>
          <cell r="F262">
            <v>0</v>
          </cell>
          <cell r="G262">
            <v>0</v>
          </cell>
        </row>
        <row r="263">
          <cell r="C263" t="str">
            <v>M998</v>
          </cell>
          <cell r="D263" t="str">
            <v>Madeira</v>
          </cell>
          <cell r="E263" t="str">
            <v>kg</v>
          </cell>
          <cell r="F263">
            <v>0.85</v>
          </cell>
          <cell r="G263">
            <v>0.85</v>
          </cell>
        </row>
        <row r="264">
          <cell r="C264" t="str">
            <v>M999</v>
          </cell>
          <cell r="D264" t="str">
            <v>Nitobond</v>
          </cell>
          <cell r="E264" t="str">
            <v>kg</v>
          </cell>
          <cell r="F264">
            <v>24.5</v>
          </cell>
          <cell r="G264">
            <v>24.5</v>
          </cell>
        </row>
        <row r="265">
          <cell r="C265" t="str">
            <v>M10040</v>
          </cell>
          <cell r="D265" t="str">
            <v>Barrote 3"x3" ou 7,5cmx7,5cm(pontalete)</v>
          </cell>
          <cell r="E265" t="str">
            <v>m</v>
          </cell>
          <cell r="F265">
            <v>4</v>
          </cell>
          <cell r="G265">
            <v>4</v>
          </cell>
        </row>
        <row r="266">
          <cell r="C266" t="str">
            <v>M1000</v>
          </cell>
          <cell r="D266" t="str">
            <v>Arbnusto</v>
          </cell>
          <cell r="E266" t="str">
            <v>un</v>
          </cell>
          <cell r="F266">
            <v>13</v>
          </cell>
          <cell r="G266">
            <v>13</v>
          </cell>
        </row>
        <row r="267">
          <cell r="C267">
            <v>10048</v>
          </cell>
          <cell r="D267" t="str">
            <v>Junta JEENE JJ 2540 VV c/ labios polimericos-3x2cm</v>
          </cell>
          <cell r="E267" t="str">
            <v>m</v>
          </cell>
          <cell r="F267">
            <v>648</v>
          </cell>
          <cell r="G267">
            <v>648</v>
          </cell>
        </row>
        <row r="268">
          <cell r="C268">
            <v>10322</v>
          </cell>
          <cell r="D268" t="str">
            <v xml:space="preserve">Areia comercial  DMT ate 50 km </v>
          </cell>
          <cell r="E268" t="str">
            <v>m³</v>
          </cell>
          <cell r="F268">
            <v>52.5</v>
          </cell>
          <cell r="G268">
            <v>52.5</v>
          </cell>
        </row>
        <row r="269">
          <cell r="C269">
            <v>10323</v>
          </cell>
          <cell r="D269" t="str">
            <v>Brita Comercial DMT até 50 km</v>
          </cell>
          <cell r="E269" t="str">
            <v>m³</v>
          </cell>
          <cell r="F269">
            <v>72.8</v>
          </cell>
          <cell r="G269">
            <v>72.8</v>
          </cell>
        </row>
        <row r="270">
          <cell r="C270">
            <v>10333</v>
          </cell>
          <cell r="D270" t="str">
            <v xml:space="preserve">Tubo de concreto CA  D=0,80m </v>
          </cell>
          <cell r="E270" t="str">
            <v>m</v>
          </cell>
          <cell r="F270">
            <v>160</v>
          </cell>
          <cell r="G270">
            <v>160</v>
          </cell>
        </row>
        <row r="271">
          <cell r="C271">
            <v>10034</v>
          </cell>
          <cell r="D271" t="str">
            <v xml:space="preserve">Tubo de concreto CA  D=0,80m </v>
          </cell>
          <cell r="E271" t="str">
            <v>m</v>
          </cell>
          <cell r="F271">
            <v>150</v>
          </cell>
          <cell r="G271">
            <v>150</v>
          </cell>
        </row>
        <row r="272">
          <cell r="C272">
            <v>10174</v>
          </cell>
          <cell r="D272" t="str">
            <v xml:space="preserve">Tubo de concreto armado D=1,00m </v>
          </cell>
          <cell r="E272" t="str">
            <v>m</v>
          </cell>
          <cell r="F272">
            <v>205</v>
          </cell>
          <cell r="G272">
            <v>205</v>
          </cell>
        </row>
        <row r="273">
          <cell r="C273">
            <v>10175</v>
          </cell>
          <cell r="D273" t="str">
            <v xml:space="preserve">Tubo de concreto armado D=1,20m </v>
          </cell>
          <cell r="E273" t="str">
            <v>m</v>
          </cell>
          <cell r="F273">
            <v>410</v>
          </cell>
          <cell r="G273">
            <v>410</v>
          </cell>
        </row>
        <row r="274">
          <cell r="C274">
            <v>10176</v>
          </cell>
          <cell r="D274" t="str">
            <v>Tubo de concreto poroso D=0,20m Comercial</v>
          </cell>
          <cell r="E274" t="str">
            <v>m</v>
          </cell>
          <cell r="F274">
            <v>7.75</v>
          </cell>
          <cell r="G274">
            <v>7.75</v>
          </cell>
        </row>
        <row r="275">
          <cell r="C275">
            <v>10178</v>
          </cell>
          <cell r="D275" t="str">
            <v>Removedor biodegradável GR-60</v>
          </cell>
          <cell r="E275" t="str">
            <v>l</v>
          </cell>
          <cell r="F275">
            <v>30</v>
          </cell>
          <cell r="G275">
            <v>30</v>
          </cell>
        </row>
        <row r="276">
          <cell r="C276">
            <v>10179</v>
          </cell>
          <cell r="D276" t="str">
            <v>Neutralizador masony cleaner</v>
          </cell>
          <cell r="E276" t="str">
            <v>l</v>
          </cell>
          <cell r="F276">
            <v>15</v>
          </cell>
          <cell r="G276">
            <v>15</v>
          </cell>
        </row>
        <row r="278">
          <cell r="C278" t="str">
            <v>MA01</v>
          </cell>
          <cell r="D278" t="str">
            <v>Administração local</v>
          </cell>
          <cell r="E278" t="str">
            <v>vb</v>
          </cell>
          <cell r="F278">
            <v>5000</v>
          </cell>
          <cell r="G278">
            <v>5000</v>
          </cell>
        </row>
        <row r="279">
          <cell r="C279" t="str">
            <v>MA02</v>
          </cell>
          <cell r="D279" t="str">
            <v>Mobilização e Desmobilização</v>
          </cell>
          <cell r="E279" t="str">
            <v>vb</v>
          </cell>
          <cell r="F279">
            <v>25000</v>
          </cell>
          <cell r="G279">
            <v>25000</v>
          </cell>
        </row>
        <row r="280">
          <cell r="C280" t="str">
            <v>MA03</v>
          </cell>
          <cell r="D280" t="str">
            <v>Barracão p/ Escritório , Almoxarifado e Oficina</v>
          </cell>
          <cell r="E280" t="str">
            <v>verba</v>
          </cell>
          <cell r="F280">
            <v>90000</v>
          </cell>
          <cell r="G280">
            <v>90000</v>
          </cell>
        </row>
        <row r="281">
          <cell r="C281" t="str">
            <v>MA04</v>
          </cell>
          <cell r="D281" t="str">
            <v>Equipamentos p/ Escritório</v>
          </cell>
          <cell r="E281" t="str">
            <v>verba</v>
          </cell>
          <cell r="F281">
            <v>47500</v>
          </cell>
          <cell r="G281">
            <v>47500</v>
          </cell>
        </row>
        <row r="282">
          <cell r="C282" t="str">
            <v>MA05</v>
          </cell>
          <cell r="D282" t="str">
            <v>Luz</v>
          </cell>
          <cell r="E282" t="str">
            <v>verba</v>
          </cell>
          <cell r="F282">
            <v>2500</v>
          </cell>
          <cell r="G282">
            <v>2500</v>
          </cell>
        </row>
        <row r="283">
          <cell r="C283" t="str">
            <v>MA06</v>
          </cell>
          <cell r="D283" t="str">
            <v>Água</v>
          </cell>
          <cell r="E283" t="str">
            <v>verba</v>
          </cell>
          <cell r="F283">
            <v>1200</v>
          </cell>
          <cell r="G283">
            <v>1200</v>
          </cell>
        </row>
        <row r="284">
          <cell r="C284" t="str">
            <v>MA07</v>
          </cell>
          <cell r="D284" t="str">
            <v>Telefone</v>
          </cell>
          <cell r="E284" t="str">
            <v>verba</v>
          </cell>
          <cell r="F284">
            <v>1500</v>
          </cell>
          <cell r="G284">
            <v>1500</v>
          </cell>
        </row>
        <row r="285">
          <cell r="C285" t="str">
            <v>MA08</v>
          </cell>
          <cell r="D285" t="str">
            <v>Material administrativo</v>
          </cell>
          <cell r="E285" t="str">
            <v>verba</v>
          </cell>
          <cell r="F285">
            <v>2500</v>
          </cell>
          <cell r="G285">
            <v>2500</v>
          </cell>
        </row>
        <row r="286">
          <cell r="C286" t="str">
            <v>MA09</v>
          </cell>
          <cell r="D286" t="str">
            <v>Materiais diversos</v>
          </cell>
          <cell r="E286" t="str">
            <v>verba</v>
          </cell>
          <cell r="F286">
            <v>994</v>
          </cell>
          <cell r="G286">
            <v>994</v>
          </cell>
        </row>
        <row r="287">
          <cell r="C287" t="str">
            <v>MA10</v>
          </cell>
          <cell r="D287" t="str">
            <v>Passagens terrestres</v>
          </cell>
          <cell r="E287" t="str">
            <v>und</v>
          </cell>
          <cell r="F287">
            <v>100</v>
          </cell>
          <cell r="G287">
            <v>100</v>
          </cell>
        </row>
        <row r="288">
          <cell r="C288" t="str">
            <v>MA11</v>
          </cell>
          <cell r="D288" t="str">
            <v>Instalações Elétricas, Hidrossanitárias e Lógistica</v>
          </cell>
          <cell r="E288" t="str">
            <v>Verba</v>
          </cell>
          <cell r="F288">
            <v>25000</v>
          </cell>
          <cell r="G288">
            <v>25000</v>
          </cell>
        </row>
        <row r="289">
          <cell r="C289" t="str">
            <v>MA12</v>
          </cell>
          <cell r="D289" t="str">
            <v>Alojamento e Refeitorio</v>
          </cell>
          <cell r="E289" t="str">
            <v>Verba</v>
          </cell>
          <cell r="F289">
            <v>105000</v>
          </cell>
          <cell r="G289">
            <v>105000</v>
          </cell>
        </row>
        <row r="290">
          <cell r="C290" t="str">
            <v>MA13</v>
          </cell>
          <cell r="D290" t="str">
            <v>Instalações de Produção</v>
          </cell>
          <cell r="E290" t="str">
            <v>Verba</v>
          </cell>
          <cell r="F290">
            <v>83000</v>
          </cell>
          <cell r="G290">
            <v>83000</v>
          </cell>
        </row>
        <row r="291">
          <cell r="C291" t="str">
            <v>MA14</v>
          </cell>
          <cell r="D291" t="str">
            <v>Alugueis de Equipamentos de Laboratorio e Topografia</v>
          </cell>
          <cell r="E291" t="str">
            <v>Verba</v>
          </cell>
          <cell r="F291">
            <v>25000</v>
          </cell>
          <cell r="G291">
            <v>25000</v>
          </cell>
        </row>
        <row r="292">
          <cell r="C292" t="str">
            <v>MA15</v>
          </cell>
          <cell r="D292" t="str">
            <v>EPI</v>
          </cell>
          <cell r="E292" t="str">
            <v>Verba</v>
          </cell>
          <cell r="F292">
            <v>2500</v>
          </cell>
          <cell r="G292">
            <v>2500</v>
          </cell>
        </row>
        <row r="293">
          <cell r="C293" t="str">
            <v>MA16</v>
          </cell>
          <cell r="D293" t="str">
            <v>Alimentação</v>
          </cell>
          <cell r="E293" t="str">
            <v>Verba</v>
          </cell>
          <cell r="F293">
            <v>15000</v>
          </cell>
          <cell r="G293">
            <v>15000</v>
          </cell>
        </row>
        <row r="294">
          <cell r="C294" t="str">
            <v>MA1020</v>
          </cell>
          <cell r="D294" t="str">
            <v>Usinagem de CBUQ (capa de rolamento)</v>
          </cell>
          <cell r="E294" t="str">
            <v>T</v>
          </cell>
          <cell r="F294">
            <v>3.1</v>
          </cell>
          <cell r="G294">
            <v>3.1</v>
          </cell>
        </row>
        <row r="295">
          <cell r="C295" t="str">
            <v>MA1102</v>
          </cell>
          <cell r="D295" t="str">
            <v>Transporte de Brita comercial (excedente a 50km)</v>
          </cell>
          <cell r="E295" t="str">
            <v>T</v>
          </cell>
          <cell r="F295">
            <v>9.42</v>
          </cell>
          <cell r="G295">
            <v>9.42</v>
          </cell>
        </row>
        <row r="296">
          <cell r="C296" t="str">
            <v>MA1103</v>
          </cell>
          <cell r="D296" t="str">
            <v>Transporte de Areia comercial (excedente a 50km)</v>
          </cell>
          <cell r="E296" t="str">
            <v>T</v>
          </cell>
          <cell r="F296">
            <v>0</v>
          </cell>
          <cell r="G296">
            <v>0</v>
          </cell>
        </row>
        <row r="297">
          <cell r="C297" t="str">
            <v>MA1104</v>
          </cell>
          <cell r="D297" t="str">
            <v>Transporte de Filler</v>
          </cell>
          <cell r="E297" t="str">
            <v>T</v>
          </cell>
          <cell r="F297">
            <v>0</v>
          </cell>
          <cell r="G297">
            <v>0</v>
          </cell>
        </row>
        <row r="298">
          <cell r="C298">
            <v>11004</v>
          </cell>
          <cell r="D298" t="str">
            <v>Cimentol</v>
          </cell>
          <cell r="E298" t="str">
            <v>kg</v>
          </cell>
          <cell r="F298">
            <v>2.5499999999999998</v>
          </cell>
          <cell r="G298">
            <v>2.5499999999999998</v>
          </cell>
        </row>
        <row r="299">
          <cell r="C299">
            <v>11005</v>
          </cell>
          <cell r="D299" t="str">
            <v>Bianco</v>
          </cell>
          <cell r="E299" t="str">
            <v>l</v>
          </cell>
          <cell r="F299">
            <v>2.95</v>
          </cell>
          <cell r="G299">
            <v>2.95</v>
          </cell>
        </row>
        <row r="300">
          <cell r="C300">
            <v>11006</v>
          </cell>
          <cell r="D300" t="str">
            <v>Sigunite</v>
          </cell>
          <cell r="E300" t="str">
            <v>kg</v>
          </cell>
          <cell r="F300">
            <v>2.5</v>
          </cell>
          <cell r="G300">
            <v>2.5</v>
          </cell>
        </row>
        <row r="301">
          <cell r="D301" t="str">
            <v>Caminhão truck</v>
          </cell>
          <cell r="E301" t="str">
            <v>km</v>
          </cell>
          <cell r="F301">
            <v>3.5</v>
          </cell>
          <cell r="G301">
            <v>3.5</v>
          </cell>
        </row>
        <row r="302">
          <cell r="D302" t="str">
            <v>Cavalo mecânico c/ prancha baixa</v>
          </cell>
          <cell r="E302" t="str">
            <v>km</v>
          </cell>
          <cell r="F302">
            <v>5</v>
          </cell>
          <cell r="G302">
            <v>5</v>
          </cell>
        </row>
        <row r="303">
          <cell r="C303" t="str">
            <v>ME02</v>
          </cell>
          <cell r="D303" t="str">
            <v>Placa da obra</v>
          </cell>
          <cell r="E303" t="str">
            <v>m²</v>
          </cell>
          <cell r="F303">
            <v>2014.01</v>
          </cell>
          <cell r="G303">
            <v>2014.01</v>
          </cell>
        </row>
        <row r="304">
          <cell r="C304" t="str">
            <v>ME03</v>
          </cell>
          <cell r="D304" t="str">
            <v>Placa de sinalização e advertência</v>
          </cell>
          <cell r="E304" t="str">
            <v>m²</v>
          </cell>
          <cell r="F304">
            <v>10</v>
          </cell>
          <cell r="G304">
            <v>10</v>
          </cell>
        </row>
        <row r="305">
          <cell r="C305" t="str">
            <v>ME04</v>
          </cell>
          <cell r="D305" t="str">
            <v>Transporte de material betuminoso à frio</v>
          </cell>
          <cell r="E305" t="str">
            <v>km</v>
          </cell>
          <cell r="F305">
            <v>0.31397999999999998</v>
          </cell>
          <cell r="G305">
            <v>0.314</v>
          </cell>
        </row>
        <row r="306">
          <cell r="C306" t="str">
            <v>ME05</v>
          </cell>
          <cell r="D306" t="str">
            <v>Transporte de CM-30</v>
          </cell>
          <cell r="E306" t="str">
            <v>km</v>
          </cell>
          <cell r="F306">
            <v>0.33</v>
          </cell>
          <cell r="G306">
            <v>0.33</v>
          </cell>
        </row>
        <row r="307">
          <cell r="C307" t="str">
            <v>ME11</v>
          </cell>
          <cell r="D307" t="str">
            <v>Transporte de RR-1C</v>
          </cell>
          <cell r="E307" t="str">
            <v>km</v>
          </cell>
          <cell r="F307">
            <v>0.33</v>
          </cell>
          <cell r="G307">
            <v>0.33</v>
          </cell>
        </row>
        <row r="308">
          <cell r="C308" t="str">
            <v>ME06</v>
          </cell>
          <cell r="D308" t="str">
            <v>Transporte de RR-2C</v>
          </cell>
          <cell r="E308" t="str">
            <v>km</v>
          </cell>
          <cell r="F308">
            <v>0.33</v>
          </cell>
          <cell r="G308">
            <v>0.33</v>
          </cell>
        </row>
        <row r="309">
          <cell r="C309" t="str">
            <v>ME10</v>
          </cell>
          <cell r="D309" t="str">
            <v>Transporte de Cimento Asfaltico CAP 50/70</v>
          </cell>
          <cell r="E309" t="str">
            <v>km</v>
          </cell>
          <cell r="F309">
            <v>0.33</v>
          </cell>
          <cell r="G309">
            <v>0.33</v>
          </cell>
        </row>
        <row r="310">
          <cell r="C310" t="str">
            <v>ME07</v>
          </cell>
          <cell r="D310" t="str">
            <v>Ensaios de concreto</v>
          </cell>
          <cell r="E310" t="str">
            <v>UND</v>
          </cell>
          <cell r="F310">
            <v>5866.23</v>
          </cell>
          <cell r="G310">
            <v>5866.23</v>
          </cell>
        </row>
        <row r="311">
          <cell r="C311" t="str">
            <v>ME08</v>
          </cell>
          <cell r="D311" t="str">
            <v>Junta JEENE JJ 2540 VV c/ labios polimericos-
3x2cm</v>
          </cell>
          <cell r="E311" t="str">
            <v>m</v>
          </cell>
          <cell r="F311">
            <v>671</v>
          </cell>
          <cell r="G311">
            <v>671</v>
          </cell>
        </row>
        <row r="312">
          <cell r="C312" t="str">
            <v>ME09</v>
          </cell>
          <cell r="D312" t="str">
            <v>Junta de dilatação tipo JEENE JJ-2540 VV</v>
          </cell>
          <cell r="E312" t="str">
            <v>und</v>
          </cell>
          <cell r="F312">
            <v>190</v>
          </cell>
          <cell r="G312">
            <v>190</v>
          </cell>
        </row>
        <row r="313">
          <cell r="C313" t="str">
            <v>ME12</v>
          </cell>
          <cell r="D313" t="str">
            <v>Cavalete de obra ( mod. av-42/2000)</v>
          </cell>
          <cell r="E313" t="str">
            <v>und</v>
          </cell>
          <cell r="F313">
            <v>260</v>
          </cell>
          <cell r="G313">
            <v>260</v>
          </cell>
        </row>
        <row r="316">
          <cell r="C316" t="str">
            <v>Cód.</v>
          </cell>
          <cell r="D316" t="str">
            <v>MÃO-DE-OBRA</v>
          </cell>
          <cell r="E316" t="str">
            <v>UND</v>
          </cell>
          <cell r="F316" t="str">
            <v>VALOR</v>
          </cell>
          <cell r="H316" t="str">
            <v>Encargos Sociais</v>
          </cell>
          <cell r="I316">
            <v>1.2629999999999999</v>
          </cell>
        </row>
        <row r="318">
          <cell r="D318" t="str">
            <v xml:space="preserve">Categoria </v>
          </cell>
        </row>
        <row r="319">
          <cell r="D319" t="str">
            <v>Salário BASE</v>
          </cell>
          <cell r="E319" t="str">
            <v>mês</v>
          </cell>
          <cell r="F319">
            <v>680.6</v>
          </cell>
          <cell r="G319">
            <v>3.09</v>
          </cell>
          <cell r="H319">
            <v>3.9</v>
          </cell>
          <cell r="I319">
            <v>6.99</v>
          </cell>
        </row>
        <row r="320">
          <cell r="D320" t="str">
            <v>Profissional</v>
          </cell>
          <cell r="E320" t="str">
            <v>mês</v>
          </cell>
          <cell r="F320">
            <v>918.35</v>
          </cell>
          <cell r="G320">
            <v>4.17</v>
          </cell>
          <cell r="H320">
            <v>5.27</v>
          </cell>
          <cell r="I320">
            <v>9.44</v>
          </cell>
        </row>
        <row r="321">
          <cell r="D321" t="str">
            <v>Servente</v>
          </cell>
          <cell r="E321" t="str">
            <v>mês</v>
          </cell>
          <cell r="F321">
            <v>680.6</v>
          </cell>
          <cell r="G321">
            <v>3.09</v>
          </cell>
          <cell r="H321">
            <v>3.9</v>
          </cell>
          <cell r="I321">
            <v>6.99</v>
          </cell>
        </row>
        <row r="322">
          <cell r="D322" t="str">
            <v>Ajudante comum</v>
          </cell>
          <cell r="E322" t="str">
            <v>mês</v>
          </cell>
          <cell r="F322">
            <v>680.6</v>
          </cell>
          <cell r="G322">
            <v>3.09</v>
          </cell>
          <cell r="H322">
            <v>3.9</v>
          </cell>
          <cell r="I322">
            <v>6.99</v>
          </cell>
        </row>
        <row r="325">
          <cell r="C325" t="str">
            <v>AD01</v>
          </cell>
          <cell r="D325" t="str">
            <v>Aux. Escritório</v>
          </cell>
          <cell r="E325" t="str">
            <v>mês</v>
          </cell>
          <cell r="F325">
            <v>918.35</v>
          </cell>
          <cell r="G325">
            <v>4.17</v>
          </cell>
          <cell r="H325">
            <v>5.27</v>
          </cell>
          <cell r="I325">
            <v>9.44</v>
          </cell>
        </row>
        <row r="326">
          <cell r="C326" t="str">
            <v>AD02</v>
          </cell>
          <cell r="D326" t="str">
            <v>Aux. Administrativo</v>
          </cell>
          <cell r="E326" t="str">
            <v>mês</v>
          </cell>
          <cell r="F326">
            <v>1800</v>
          </cell>
          <cell r="G326">
            <v>8.18</v>
          </cell>
          <cell r="H326">
            <v>10.33</v>
          </cell>
          <cell r="I326">
            <v>18.510000000000002</v>
          </cell>
        </row>
        <row r="327">
          <cell r="C327" t="str">
            <v>AD03</v>
          </cell>
          <cell r="D327" t="str">
            <v>Engenheiro</v>
          </cell>
          <cell r="E327" t="str">
            <v>mês</v>
          </cell>
          <cell r="F327">
            <v>5000</v>
          </cell>
          <cell r="G327">
            <v>22.73</v>
          </cell>
          <cell r="H327">
            <v>28.71</v>
          </cell>
          <cell r="I327">
            <v>51.44</v>
          </cell>
        </row>
        <row r="328">
          <cell r="C328" t="str">
            <v>AD04</v>
          </cell>
          <cell r="D328" t="str">
            <v>Engenheiro residente</v>
          </cell>
          <cell r="E328" t="str">
            <v>mês</v>
          </cell>
          <cell r="F328">
            <v>6500</v>
          </cell>
          <cell r="G328">
            <v>29.55</v>
          </cell>
          <cell r="H328">
            <v>37.32</v>
          </cell>
          <cell r="I328">
            <v>66.87</v>
          </cell>
        </row>
        <row r="329">
          <cell r="C329" t="str">
            <v>AD05</v>
          </cell>
          <cell r="D329" t="str">
            <v>Engenheiro agronomo</v>
          </cell>
          <cell r="E329" t="str">
            <v>mês</v>
          </cell>
          <cell r="F329">
            <v>3300</v>
          </cell>
          <cell r="G329">
            <v>15</v>
          </cell>
          <cell r="H329">
            <v>18.95</v>
          </cell>
          <cell r="I329">
            <v>33.950000000000003</v>
          </cell>
        </row>
        <row r="331">
          <cell r="C331" t="str">
            <v>DV01</v>
          </cell>
          <cell r="D331" t="str">
            <v>Operador Compressor de ar</v>
          </cell>
          <cell r="E331" t="str">
            <v>mês</v>
          </cell>
          <cell r="F331">
            <v>918.35</v>
          </cell>
          <cell r="G331">
            <v>4.17</v>
          </cell>
          <cell r="H331">
            <v>5.27</v>
          </cell>
          <cell r="I331">
            <v>9.44</v>
          </cell>
        </row>
        <row r="332">
          <cell r="C332" t="str">
            <v>DV02</v>
          </cell>
          <cell r="D332" t="str">
            <v>Tradista</v>
          </cell>
          <cell r="E332" t="str">
            <v>mês</v>
          </cell>
          <cell r="F332">
            <v>680.6</v>
          </cell>
          <cell r="G332">
            <v>4.17</v>
          </cell>
          <cell r="H332">
            <v>5.27</v>
          </cell>
          <cell r="I332">
            <v>9.44</v>
          </cell>
        </row>
        <row r="333">
          <cell r="C333" t="str">
            <v>DV03</v>
          </cell>
          <cell r="D333" t="str">
            <v>Auxiliar topografia</v>
          </cell>
          <cell r="E333" t="str">
            <v>mês</v>
          </cell>
          <cell r="F333">
            <v>680.6</v>
          </cell>
          <cell r="G333">
            <v>4.17</v>
          </cell>
          <cell r="H333">
            <v>5.27</v>
          </cell>
          <cell r="I333">
            <v>9.44</v>
          </cell>
        </row>
        <row r="334">
          <cell r="C334" t="str">
            <v>DV04</v>
          </cell>
          <cell r="D334" t="str">
            <v>Gabariteiro</v>
          </cell>
          <cell r="E334" t="str">
            <v>mês</v>
          </cell>
          <cell r="F334">
            <v>680.6</v>
          </cell>
          <cell r="G334">
            <v>3.09</v>
          </cell>
          <cell r="H334">
            <v>3.9</v>
          </cell>
          <cell r="I334">
            <v>6.99</v>
          </cell>
        </row>
        <row r="335">
          <cell r="C335" t="str">
            <v>DV05</v>
          </cell>
          <cell r="D335" t="str">
            <v>Marteleiro</v>
          </cell>
          <cell r="E335" t="str">
            <v>mês</v>
          </cell>
          <cell r="F335">
            <v>680.6</v>
          </cell>
          <cell r="G335">
            <v>3.09</v>
          </cell>
          <cell r="H335">
            <v>3.9</v>
          </cell>
          <cell r="I335">
            <v>6.99</v>
          </cell>
        </row>
        <row r="336">
          <cell r="C336" t="str">
            <v>DV06</v>
          </cell>
          <cell r="D336" t="str">
            <v>Aux. Limpeza</v>
          </cell>
          <cell r="E336" t="str">
            <v>mês</v>
          </cell>
          <cell r="F336">
            <v>680.6</v>
          </cell>
          <cell r="G336">
            <v>3.09</v>
          </cell>
          <cell r="H336">
            <v>3.9</v>
          </cell>
          <cell r="I336">
            <v>6.99</v>
          </cell>
        </row>
        <row r="337">
          <cell r="C337" t="str">
            <v>DV07</v>
          </cell>
          <cell r="D337" t="str">
            <v>Vigia</v>
          </cell>
          <cell r="E337" t="str">
            <v>mês</v>
          </cell>
          <cell r="F337">
            <v>680.6</v>
          </cell>
          <cell r="G337">
            <v>3.09</v>
          </cell>
          <cell r="H337">
            <v>3.9</v>
          </cell>
          <cell r="I337">
            <v>6.99</v>
          </cell>
        </row>
        <row r="339">
          <cell r="C339" t="str">
            <v>T301</v>
          </cell>
          <cell r="D339" t="str">
            <v>Motorista de veículo leve</v>
          </cell>
          <cell r="E339" t="str">
            <v>mês</v>
          </cell>
          <cell r="F339">
            <v>1042.8</v>
          </cell>
          <cell r="G339">
            <v>4.74</v>
          </cell>
          <cell r="H339">
            <v>5.99</v>
          </cell>
          <cell r="I339">
            <v>10.73</v>
          </cell>
        </row>
        <row r="340">
          <cell r="C340" t="str">
            <v>T302</v>
          </cell>
          <cell r="D340" t="str">
            <v>Motorista de caminhão</v>
          </cell>
          <cell r="E340" t="str">
            <v>mês</v>
          </cell>
          <cell r="F340">
            <v>1990.4</v>
          </cell>
          <cell r="G340">
            <v>4.34</v>
          </cell>
          <cell r="H340">
            <v>5.48</v>
          </cell>
          <cell r="I340">
            <v>9.82</v>
          </cell>
        </row>
        <row r="341">
          <cell r="C341" t="str">
            <v>T303</v>
          </cell>
          <cell r="D341" t="str">
            <v>Motorista de veículo especial</v>
          </cell>
          <cell r="E341" t="str">
            <v>mês</v>
          </cell>
          <cell r="F341">
            <v>2114.8000000000002</v>
          </cell>
          <cell r="G341">
            <v>3.99</v>
          </cell>
          <cell r="H341">
            <v>5.04</v>
          </cell>
          <cell r="I341">
            <v>9.0299999999999994</v>
          </cell>
        </row>
        <row r="342">
          <cell r="C342" t="str">
            <v>T311</v>
          </cell>
          <cell r="D342" t="str">
            <v>Operador de equipamento leve 1</v>
          </cell>
          <cell r="E342" t="str">
            <v>mês</v>
          </cell>
          <cell r="F342">
            <v>1492.8</v>
          </cell>
          <cell r="G342">
            <v>3.99</v>
          </cell>
          <cell r="H342">
            <v>5.04</v>
          </cell>
          <cell r="I342">
            <v>9.0299999999999994</v>
          </cell>
        </row>
        <row r="343">
          <cell r="C343" t="str">
            <v>T312</v>
          </cell>
          <cell r="D343" t="str">
            <v>Operador de equipamento leve 2</v>
          </cell>
          <cell r="E343" t="str">
            <v>mês</v>
          </cell>
          <cell r="F343">
            <v>1679.4</v>
          </cell>
          <cell r="G343">
            <v>4.41</v>
          </cell>
          <cell r="H343">
            <v>5.57</v>
          </cell>
          <cell r="I343">
            <v>9.98</v>
          </cell>
        </row>
        <row r="344">
          <cell r="C344" t="str">
            <v>T313</v>
          </cell>
          <cell r="D344" t="str">
            <v>Operador de equip. pesado</v>
          </cell>
          <cell r="E344" t="str">
            <v>mês</v>
          </cell>
          <cell r="F344">
            <v>2177</v>
          </cell>
          <cell r="G344">
            <v>5.07</v>
          </cell>
          <cell r="H344">
            <v>6.4</v>
          </cell>
          <cell r="I344">
            <v>11.47</v>
          </cell>
        </row>
        <row r="345">
          <cell r="C345" t="str">
            <v>T314</v>
          </cell>
          <cell r="D345" t="str">
            <v>Operador de equip. especial</v>
          </cell>
          <cell r="E345" t="str">
            <v>mês</v>
          </cell>
          <cell r="F345">
            <v>2301.4</v>
          </cell>
          <cell r="G345">
            <v>5.07</v>
          </cell>
          <cell r="H345">
            <v>6.4</v>
          </cell>
          <cell r="I345">
            <v>11.47</v>
          </cell>
        </row>
        <row r="346">
          <cell r="C346" t="str">
            <v>T401</v>
          </cell>
          <cell r="D346" t="str">
            <v>Pré-marcador</v>
          </cell>
          <cell r="E346" t="str">
            <v>mês</v>
          </cell>
          <cell r="F346">
            <v>2301.4</v>
          </cell>
          <cell r="G346">
            <v>5.12</v>
          </cell>
          <cell r="H346">
            <v>6.47</v>
          </cell>
          <cell r="I346">
            <v>11.59</v>
          </cell>
        </row>
        <row r="347">
          <cell r="C347" t="str">
            <v>T501</v>
          </cell>
          <cell r="D347" t="str">
            <v>Encarregado de turma</v>
          </cell>
          <cell r="E347" t="str">
            <v>mês</v>
          </cell>
          <cell r="F347">
            <v>2053</v>
          </cell>
          <cell r="G347">
            <v>9.33</v>
          </cell>
          <cell r="H347">
            <v>11.78</v>
          </cell>
          <cell r="I347">
            <v>21.11</v>
          </cell>
        </row>
        <row r="348">
          <cell r="C348" t="str">
            <v>T511</v>
          </cell>
          <cell r="D348" t="str">
            <v>Encarreg. de pavimentação</v>
          </cell>
          <cell r="E348" t="str">
            <v>mês</v>
          </cell>
          <cell r="F348">
            <v>4000</v>
          </cell>
          <cell r="G348">
            <v>18.18</v>
          </cell>
          <cell r="H348">
            <v>22.96</v>
          </cell>
          <cell r="I348">
            <v>41.14</v>
          </cell>
        </row>
        <row r="349">
          <cell r="C349" t="str">
            <v>T512</v>
          </cell>
          <cell r="D349" t="str">
            <v>Encarregado de britagem</v>
          </cell>
          <cell r="E349" t="str">
            <v>mês</v>
          </cell>
          <cell r="F349">
            <v>4354</v>
          </cell>
          <cell r="G349">
            <v>19.79</v>
          </cell>
          <cell r="H349">
            <v>24.99</v>
          </cell>
          <cell r="I349">
            <v>44.78</v>
          </cell>
        </row>
        <row r="350">
          <cell r="C350" t="str">
            <v>T601</v>
          </cell>
          <cell r="D350" t="str">
            <v>Blaster</v>
          </cell>
          <cell r="E350" t="str">
            <v>mês</v>
          </cell>
          <cell r="F350">
            <v>2550.1999999999998</v>
          </cell>
          <cell r="G350">
            <v>11.59</v>
          </cell>
          <cell r="H350">
            <v>14.64</v>
          </cell>
          <cell r="I350">
            <v>26.23</v>
          </cell>
        </row>
        <row r="351">
          <cell r="C351" t="str">
            <v>T602</v>
          </cell>
          <cell r="D351" t="str">
            <v>Montador</v>
          </cell>
          <cell r="E351" t="str">
            <v>mês</v>
          </cell>
          <cell r="F351">
            <v>918.35</v>
          </cell>
          <cell r="G351">
            <v>4.17</v>
          </cell>
          <cell r="H351">
            <v>5.27</v>
          </cell>
          <cell r="I351">
            <v>9.44</v>
          </cell>
        </row>
        <row r="352">
          <cell r="C352" t="str">
            <v>T603</v>
          </cell>
          <cell r="D352" t="str">
            <v>Carpinteiro</v>
          </cell>
          <cell r="E352" t="str">
            <v>mês</v>
          </cell>
          <cell r="F352">
            <v>918.35</v>
          </cell>
          <cell r="G352">
            <v>4.17</v>
          </cell>
          <cell r="H352">
            <v>5.27</v>
          </cell>
          <cell r="I352">
            <v>9.44</v>
          </cell>
        </row>
        <row r="353">
          <cell r="C353" t="str">
            <v>T604</v>
          </cell>
          <cell r="D353" t="str">
            <v>Pedreiro</v>
          </cell>
          <cell r="E353" t="str">
            <v>mês</v>
          </cell>
          <cell r="F353">
            <v>918.35</v>
          </cell>
          <cell r="G353">
            <v>4.17</v>
          </cell>
          <cell r="H353">
            <v>5.27</v>
          </cell>
          <cell r="I353">
            <v>9.44</v>
          </cell>
        </row>
        <row r="354">
          <cell r="C354" t="str">
            <v>T605</v>
          </cell>
          <cell r="D354" t="str">
            <v>Armador</v>
          </cell>
          <cell r="E354" t="str">
            <v>mês</v>
          </cell>
          <cell r="F354">
            <v>918.35</v>
          </cell>
          <cell r="G354">
            <v>4.17</v>
          </cell>
          <cell r="H354">
            <v>5.27</v>
          </cell>
          <cell r="I354">
            <v>9.44</v>
          </cell>
        </row>
        <row r="355">
          <cell r="C355" t="str">
            <v>T606</v>
          </cell>
          <cell r="D355" t="str">
            <v>Ferreiro</v>
          </cell>
          <cell r="E355" t="str">
            <v>mês</v>
          </cell>
          <cell r="F355">
            <v>918.35</v>
          </cell>
          <cell r="G355">
            <v>4.17</v>
          </cell>
          <cell r="H355">
            <v>5.27</v>
          </cell>
          <cell r="I355">
            <v>9.44</v>
          </cell>
        </row>
        <row r="356">
          <cell r="C356" t="str">
            <v>T607</v>
          </cell>
          <cell r="D356" t="str">
            <v>Pintor</v>
          </cell>
          <cell r="E356" t="str">
            <v>mês</v>
          </cell>
          <cell r="F356">
            <v>918.35</v>
          </cell>
          <cell r="G356">
            <v>4.17</v>
          </cell>
          <cell r="H356">
            <v>5.27</v>
          </cell>
          <cell r="I356">
            <v>9.44</v>
          </cell>
        </row>
        <row r="357">
          <cell r="C357" t="str">
            <v>T608</v>
          </cell>
          <cell r="D357" t="str">
            <v>Soldador</v>
          </cell>
          <cell r="E357" t="str">
            <v>mês</v>
          </cell>
          <cell r="F357">
            <v>918.35</v>
          </cell>
          <cell r="G357">
            <v>4.17</v>
          </cell>
          <cell r="H357">
            <v>5.27</v>
          </cell>
          <cell r="I357">
            <v>9.44</v>
          </cell>
        </row>
        <row r="358">
          <cell r="C358" t="str">
            <v>T609</v>
          </cell>
          <cell r="D358" t="str">
            <v>Jardineiro</v>
          </cell>
          <cell r="E358" t="str">
            <v>mês</v>
          </cell>
          <cell r="F358">
            <v>918.35</v>
          </cell>
          <cell r="G358">
            <v>4.17</v>
          </cell>
          <cell r="H358">
            <v>5.27</v>
          </cell>
          <cell r="I358">
            <v>9.44</v>
          </cell>
        </row>
        <row r="359">
          <cell r="C359" t="str">
            <v>T610</v>
          </cell>
          <cell r="D359" t="str">
            <v>Serralheiro</v>
          </cell>
          <cell r="E359" t="str">
            <v>mês</v>
          </cell>
          <cell r="F359">
            <v>918.35</v>
          </cell>
          <cell r="G359">
            <v>4.17</v>
          </cell>
          <cell r="H359">
            <v>5.27</v>
          </cell>
          <cell r="I359">
            <v>9.44</v>
          </cell>
        </row>
        <row r="360">
          <cell r="C360" t="str">
            <v>T701</v>
          </cell>
          <cell r="D360" t="str">
            <v>Servente</v>
          </cell>
          <cell r="E360" t="str">
            <v>mês</v>
          </cell>
          <cell r="F360">
            <v>680.6</v>
          </cell>
          <cell r="G360">
            <v>3.09</v>
          </cell>
          <cell r="H360">
            <v>3.9</v>
          </cell>
          <cell r="I360">
            <v>6.99</v>
          </cell>
        </row>
        <row r="361">
          <cell r="C361" t="str">
            <v>T702</v>
          </cell>
          <cell r="D361" t="str">
            <v>Ajudante</v>
          </cell>
          <cell r="E361" t="str">
            <v>mês</v>
          </cell>
          <cell r="F361">
            <v>680.6</v>
          </cell>
          <cell r="G361">
            <v>3.09</v>
          </cell>
          <cell r="H361">
            <v>3.9</v>
          </cell>
          <cell r="I361">
            <v>6.99</v>
          </cell>
        </row>
        <row r="362">
          <cell r="C362" t="str">
            <v>T801</v>
          </cell>
          <cell r="D362" t="str">
            <v>Perfurador de tubulão</v>
          </cell>
          <cell r="E362" t="str">
            <v>mês</v>
          </cell>
          <cell r="F362">
            <v>1305.6099999999999</v>
          </cell>
          <cell r="G362">
            <v>5.93</v>
          </cell>
          <cell r="H362">
            <v>7.49</v>
          </cell>
          <cell r="I362">
            <v>13.42</v>
          </cell>
        </row>
        <row r="363">
          <cell r="C363" t="str">
            <v>T802</v>
          </cell>
          <cell r="D363" t="str">
            <v>Eletricista</v>
          </cell>
          <cell r="E363" t="str">
            <v>mês</v>
          </cell>
          <cell r="F363">
            <v>918.35</v>
          </cell>
          <cell r="G363">
            <v>4.17</v>
          </cell>
          <cell r="H363">
            <v>5.27</v>
          </cell>
          <cell r="I363">
            <v>9.44</v>
          </cell>
        </row>
        <row r="364">
          <cell r="C364" t="str">
            <v>T803</v>
          </cell>
          <cell r="D364" t="str">
            <v>Apontador</v>
          </cell>
          <cell r="E364" t="str">
            <v>mês</v>
          </cell>
          <cell r="F364">
            <v>1000</v>
          </cell>
          <cell r="G364">
            <v>3.99</v>
          </cell>
          <cell r="H364">
            <v>5.04</v>
          </cell>
          <cell r="I364">
            <v>9.0299999999999994</v>
          </cell>
        </row>
        <row r="365">
          <cell r="C365" t="str">
            <v>TC01</v>
          </cell>
          <cell r="D365" t="str">
            <v>Topografo</v>
          </cell>
          <cell r="E365" t="str">
            <v>mês</v>
          </cell>
          <cell r="F365">
            <v>2500</v>
          </cell>
          <cell r="G365">
            <v>11.36</v>
          </cell>
          <cell r="H365">
            <v>14.35</v>
          </cell>
          <cell r="I365">
            <v>25.71</v>
          </cell>
        </row>
        <row r="366">
          <cell r="C366" t="str">
            <v>TC02</v>
          </cell>
          <cell r="D366" t="str">
            <v>Desenhista</v>
          </cell>
          <cell r="E366" t="str">
            <v>mês</v>
          </cell>
          <cell r="F366">
            <v>1450</v>
          </cell>
          <cell r="G366">
            <v>6.59</v>
          </cell>
          <cell r="H366">
            <v>8.32</v>
          </cell>
          <cell r="I366">
            <v>14.91</v>
          </cell>
        </row>
        <row r="367">
          <cell r="C367" t="str">
            <v>TC03</v>
          </cell>
          <cell r="D367" t="str">
            <v>Tec. Edificações</v>
          </cell>
          <cell r="E367" t="str">
            <v>mês</v>
          </cell>
          <cell r="F367">
            <v>1450</v>
          </cell>
          <cell r="G367">
            <v>6.59</v>
          </cell>
          <cell r="H367">
            <v>8.32</v>
          </cell>
          <cell r="I367">
            <v>14.91</v>
          </cell>
        </row>
        <row r="368">
          <cell r="C368" t="str">
            <v>TC04</v>
          </cell>
          <cell r="D368" t="str">
            <v>Eletrotécnico</v>
          </cell>
          <cell r="E368" t="str">
            <v>mês</v>
          </cell>
          <cell r="F368">
            <v>1450</v>
          </cell>
          <cell r="G368">
            <v>6.59</v>
          </cell>
          <cell r="H368">
            <v>8.32</v>
          </cell>
          <cell r="I368">
            <v>14.91</v>
          </cell>
        </row>
        <row r="369">
          <cell r="C369" t="str">
            <v>TC05</v>
          </cell>
          <cell r="D369" t="str">
            <v>Tec. Segurança</v>
          </cell>
          <cell r="E369" t="str">
            <v>mês</v>
          </cell>
          <cell r="F369">
            <v>1500</v>
          </cell>
          <cell r="G369">
            <v>6.82</v>
          </cell>
          <cell r="H369">
            <v>8.61</v>
          </cell>
          <cell r="I369">
            <v>15.43</v>
          </cell>
        </row>
        <row r="370">
          <cell r="C370" t="str">
            <v>TC06</v>
          </cell>
          <cell r="D370" t="str">
            <v>Profissionais diversos</v>
          </cell>
          <cell r="E370" t="str">
            <v>mês</v>
          </cell>
          <cell r="F370">
            <v>1187.53</v>
          </cell>
          <cell r="G370">
            <v>5.4</v>
          </cell>
          <cell r="H370">
            <v>6.82</v>
          </cell>
          <cell r="I370">
            <v>12.22</v>
          </cell>
        </row>
        <row r="371">
          <cell r="C371" t="str">
            <v>TC07</v>
          </cell>
          <cell r="D371" t="str">
            <v>Operario</v>
          </cell>
          <cell r="E371" t="str">
            <v>mês</v>
          </cell>
          <cell r="F371">
            <v>918.35</v>
          </cell>
          <cell r="G371">
            <v>4.17</v>
          </cell>
          <cell r="H371">
            <v>5.27</v>
          </cell>
          <cell r="I371">
            <v>9.44</v>
          </cell>
        </row>
        <row r="373">
          <cell r="C373" t="str">
            <v>Cód.</v>
          </cell>
          <cell r="D373" t="str">
            <v>EQUIPAMENTOS</v>
          </cell>
          <cell r="E373" t="str">
            <v>Und</v>
          </cell>
          <cell r="F373" t="str">
            <v>Prod.</v>
          </cell>
          <cell r="G373" t="str">
            <v>Improd.</v>
          </cell>
          <cell r="H373" t="str">
            <v>Prod.</v>
          </cell>
          <cell r="I373" t="str">
            <v>Improd.</v>
          </cell>
        </row>
        <row r="375">
          <cell r="C375" t="str">
            <v>E001</v>
          </cell>
          <cell r="D375" t="str">
            <v>Trator de Esteiras : New Holland : 7D - com lâmina</v>
          </cell>
          <cell r="E375" t="str">
            <v>h</v>
          </cell>
          <cell r="F375">
            <v>110.01</v>
          </cell>
          <cell r="G375">
            <v>19.440000000000001</v>
          </cell>
          <cell r="H375">
            <v>110.01</v>
          </cell>
          <cell r="I375">
            <v>19.440000000000001</v>
          </cell>
        </row>
        <row r="376">
          <cell r="C376" t="str">
            <v>E002</v>
          </cell>
          <cell r="D376" t="str">
            <v>Trator de Esteiras : Caterpillar : D6M - com lâmina</v>
          </cell>
          <cell r="E376" t="str">
            <v>h</v>
          </cell>
          <cell r="F376">
            <v>200.57</v>
          </cell>
          <cell r="G376">
            <v>22.39</v>
          </cell>
          <cell r="H376">
            <v>200.57</v>
          </cell>
          <cell r="I376">
            <v>22.39</v>
          </cell>
        </row>
        <row r="377">
          <cell r="C377" t="str">
            <v>E003</v>
          </cell>
          <cell r="D377" t="str">
            <v xml:space="preserve">(*) Trator de Esteiras : Caterpillar : D8R -  com lâmina </v>
          </cell>
          <cell r="E377" t="str">
            <v>h</v>
          </cell>
          <cell r="F377">
            <v>331.56</v>
          </cell>
          <cell r="G377">
            <v>22.39</v>
          </cell>
          <cell r="H377">
            <v>331.56</v>
          </cell>
          <cell r="I377">
            <v>22.39</v>
          </cell>
        </row>
        <row r="378">
          <cell r="C378" t="str">
            <v>E005</v>
          </cell>
          <cell r="D378" t="str">
            <v>Motoscraper : Caterpillar : 621G</v>
          </cell>
          <cell r="E378" t="str">
            <v>h</v>
          </cell>
          <cell r="F378">
            <v>310.06</v>
          </cell>
          <cell r="G378">
            <v>22.39</v>
          </cell>
          <cell r="H378">
            <v>310.06</v>
          </cell>
          <cell r="I378">
            <v>22.39</v>
          </cell>
        </row>
        <row r="379">
          <cell r="C379" t="str">
            <v>E006</v>
          </cell>
          <cell r="D379" t="str">
            <v xml:space="preserve">Motoniveladora : Caterpillar : 120M - </v>
          </cell>
          <cell r="E379" t="str">
            <v>h</v>
          </cell>
          <cell r="F379">
            <v>152.81</v>
          </cell>
          <cell r="G379">
            <v>22.39</v>
          </cell>
          <cell r="H379">
            <v>152.81</v>
          </cell>
          <cell r="I379">
            <v>22.39</v>
          </cell>
        </row>
        <row r="380">
          <cell r="C380" t="str">
            <v>E007</v>
          </cell>
          <cell r="D380" t="str">
            <v>Trator Agrícola : Massey Ferguson : MF 292/4 -</v>
          </cell>
          <cell r="E380" t="str">
            <v>h</v>
          </cell>
          <cell r="F380">
            <v>64.25</v>
          </cell>
          <cell r="G380">
            <v>17.27</v>
          </cell>
          <cell r="H380">
            <v>64.25</v>
          </cell>
          <cell r="I380">
            <v>17.27</v>
          </cell>
        </row>
        <row r="381">
          <cell r="C381" t="str">
            <v>E009</v>
          </cell>
          <cell r="D381" t="str">
            <v>Carregadeira de Pneus : Caterpillar : 924G - 1,80 m3</v>
          </cell>
          <cell r="E381" t="str">
            <v>h</v>
          </cell>
          <cell r="F381">
            <v>116.06</v>
          </cell>
          <cell r="G381">
            <v>22.39</v>
          </cell>
          <cell r="H381">
            <v>116.06</v>
          </cell>
          <cell r="I381">
            <v>22.39</v>
          </cell>
        </row>
        <row r="382">
          <cell r="C382" t="str">
            <v>E010</v>
          </cell>
          <cell r="D382" t="str">
            <v>Carregadeira de Pneus : Caterpillar : 950H -  3,3 m3</v>
          </cell>
          <cell r="E382" t="str">
            <v>h</v>
          </cell>
          <cell r="F382">
            <v>180.79</v>
          </cell>
          <cell r="G382">
            <v>22.39</v>
          </cell>
          <cell r="H382">
            <v>180.79</v>
          </cell>
          <cell r="I382">
            <v>22.39</v>
          </cell>
        </row>
        <row r="383">
          <cell r="C383" t="str">
            <v>E011</v>
          </cell>
          <cell r="D383" t="str">
            <v>Retroescavadeira : Massey Ferguson MF-86HF - de pneus</v>
          </cell>
          <cell r="E383" t="str">
            <v>h</v>
          </cell>
          <cell r="F383">
            <v>75.08</v>
          </cell>
          <cell r="G383">
            <v>22.39</v>
          </cell>
          <cell r="H383">
            <v>75.08</v>
          </cell>
          <cell r="I383">
            <v>22.39</v>
          </cell>
        </row>
        <row r="384">
          <cell r="C384" t="str">
            <v>E013</v>
          </cell>
          <cell r="D384" t="str">
            <v>Rolo Compactador : Dynapac : CA-25-PP -  pé de carneiro autop. 11,25t vibrat</v>
          </cell>
          <cell r="E384" t="str">
            <v>h</v>
          </cell>
          <cell r="F384">
            <v>110.12</v>
          </cell>
          <cell r="G384">
            <v>17.27</v>
          </cell>
          <cell r="H384">
            <v>110.12</v>
          </cell>
          <cell r="I384">
            <v>17.27</v>
          </cell>
        </row>
        <row r="385">
          <cell r="C385" t="str">
            <v>E014</v>
          </cell>
          <cell r="D385" t="str">
            <v>(*) Trator de Esteiras : Caterpillar : D8R/RB -  com escarificador</v>
          </cell>
          <cell r="E385" t="str">
            <v>h</v>
          </cell>
          <cell r="F385">
            <v>335.48</v>
          </cell>
          <cell r="G385">
            <v>22.39</v>
          </cell>
          <cell r="H385">
            <v>335.48</v>
          </cell>
          <cell r="I385">
            <v>22.39</v>
          </cell>
        </row>
        <row r="386">
          <cell r="C386" t="str">
            <v>E015</v>
          </cell>
          <cell r="D386" t="str">
            <v>Motoniveladora : Caterpillar : 140H</v>
          </cell>
          <cell r="E386" t="str">
            <v>h</v>
          </cell>
          <cell r="F386">
            <v>171.48</v>
          </cell>
          <cell r="G386">
            <v>22.39</v>
          </cell>
          <cell r="H386">
            <v>171.48</v>
          </cell>
          <cell r="I386">
            <v>22.39</v>
          </cell>
        </row>
        <row r="387">
          <cell r="C387" t="str">
            <v>E016</v>
          </cell>
          <cell r="D387" t="str">
            <v>Carregadeira de Pneus : Case : W-20 -  1,70 m3</v>
          </cell>
          <cell r="E387" t="str">
            <v>h</v>
          </cell>
          <cell r="F387">
            <v>112.51</v>
          </cell>
          <cell r="G387">
            <v>22.39</v>
          </cell>
          <cell r="H387">
            <v>112.51</v>
          </cell>
          <cell r="I387">
            <v>22.39</v>
          </cell>
        </row>
        <row r="388">
          <cell r="C388" t="str">
            <v>E055</v>
          </cell>
          <cell r="D388" t="str">
            <v>Rolo Compactador : Caterpillar : CS423E - pé de carneiro vibratório</v>
          </cell>
          <cell r="E388" t="str">
            <v>h</v>
          </cell>
          <cell r="F388">
            <v>71.45</v>
          </cell>
          <cell r="G388">
            <v>17.27</v>
          </cell>
          <cell r="H388">
            <v>71.45</v>
          </cell>
          <cell r="I388">
            <v>17.27</v>
          </cell>
        </row>
        <row r="389">
          <cell r="C389" t="str">
            <v>E056</v>
          </cell>
          <cell r="D389" t="str">
            <v>Rolo Compactador : Dynapac : CT-262 - pé de carneiro tamping</v>
          </cell>
          <cell r="E389" t="str">
            <v>h</v>
          </cell>
          <cell r="F389">
            <v>184.11</v>
          </cell>
          <cell r="G389">
            <v>17.27</v>
          </cell>
          <cell r="H389">
            <v>184.11</v>
          </cell>
          <cell r="I389">
            <v>17.27</v>
          </cell>
        </row>
        <row r="390">
          <cell r="C390" t="str">
            <v>E062</v>
          </cell>
          <cell r="D390" t="str">
            <v>Escavadeira Hidráulica - com esteira (182 kW)</v>
          </cell>
          <cell r="E390" t="str">
            <v>h</v>
          </cell>
          <cell r="F390">
            <v>240.27</v>
          </cell>
          <cell r="G390">
            <v>23.67</v>
          </cell>
          <cell r="H390">
            <v>240.27</v>
          </cell>
          <cell r="I390">
            <v>23.67</v>
          </cell>
        </row>
        <row r="391">
          <cell r="C391" t="str">
            <v>E063</v>
          </cell>
          <cell r="D391" t="str">
            <v xml:space="preserve"> Escavadeira Hidráulica: Caterpillar : 320DL - c/ est. - cap 600l p/ longo alcance</v>
          </cell>
          <cell r="E391" t="str">
            <v>h</v>
          </cell>
          <cell r="F391">
            <v>152.68</v>
          </cell>
          <cell r="G391">
            <v>22.39</v>
          </cell>
          <cell r="H391">
            <v>152.68</v>
          </cell>
          <cell r="I391">
            <v>22.39</v>
          </cell>
        </row>
        <row r="392">
          <cell r="C392" t="str">
            <v>E065</v>
          </cell>
          <cell r="D392" t="str">
            <v>Draga de Sucção : diversos : - p/ extração de Areia 6"</v>
          </cell>
          <cell r="E392" t="str">
            <v>h</v>
          </cell>
          <cell r="F392">
            <v>78.11</v>
          </cell>
          <cell r="G392">
            <v>22.39</v>
          </cell>
          <cell r="H392">
            <v>78.11</v>
          </cell>
          <cell r="I392">
            <v>22.39</v>
          </cell>
        </row>
        <row r="393">
          <cell r="C393" t="str">
            <v>E066</v>
          </cell>
          <cell r="D393" t="str">
            <v>Chata - 25m3 : diversos : - com rebocador</v>
          </cell>
          <cell r="E393" t="str">
            <v>h</v>
          </cell>
          <cell r="F393">
            <v>139.16999999999999</v>
          </cell>
          <cell r="G393">
            <v>21.75</v>
          </cell>
          <cell r="H393">
            <v>139.16999999999999</v>
          </cell>
          <cell r="I393">
            <v>21.75</v>
          </cell>
        </row>
        <row r="394">
          <cell r="C394" t="str">
            <v>E101</v>
          </cell>
          <cell r="D394" t="str">
            <v xml:space="preserve"> Grade de Discos : Marchesan :  -  GA 24 x 24</v>
          </cell>
          <cell r="E394" t="str">
            <v>h</v>
          </cell>
          <cell r="F394">
            <v>3</v>
          </cell>
          <cell r="G394">
            <v>0</v>
          </cell>
          <cell r="H394">
            <v>3</v>
          </cell>
          <cell r="I394">
            <v>0</v>
          </cell>
        </row>
        <row r="395">
          <cell r="C395" t="str">
            <v>E102</v>
          </cell>
          <cell r="D395" t="str">
            <v>Rolo Compactador : Dynapac : CC-422C - Tanden vibrat. autoprop. 10,9 t</v>
          </cell>
          <cell r="E395" t="str">
            <v>h</v>
          </cell>
          <cell r="F395">
            <v>127</v>
          </cell>
          <cell r="G395">
            <v>17.27</v>
          </cell>
          <cell r="H395">
            <v>127</v>
          </cell>
          <cell r="I395">
            <v>17.27</v>
          </cell>
        </row>
        <row r="396">
          <cell r="C396" t="str">
            <v>E103</v>
          </cell>
          <cell r="D396" t="str">
            <v>Rolo Compactador : Caterpillar : CS-563 E - liso, vibrat. autoprop. 11,6 t</v>
          </cell>
          <cell r="E396" t="str">
            <v>h</v>
          </cell>
          <cell r="F396">
            <v>6029</v>
          </cell>
          <cell r="G396">
            <v>17.27</v>
          </cell>
          <cell r="H396">
            <v>6029</v>
          </cell>
          <cell r="I396">
            <v>17.27</v>
          </cell>
        </row>
        <row r="397">
          <cell r="C397" t="str">
            <v>E104</v>
          </cell>
          <cell r="D397" t="str">
            <v>Rolo Compactador : Dynapac : CC-222 - liso, tanden vibrat. autoprop. 7,2t</v>
          </cell>
          <cell r="E397" t="str">
            <v>h</v>
          </cell>
          <cell r="F397">
            <v>103.58</v>
          </cell>
          <cell r="G397">
            <v>12.91</v>
          </cell>
          <cell r="H397">
            <v>103.58</v>
          </cell>
          <cell r="I397">
            <v>12.91</v>
          </cell>
        </row>
        <row r="398">
          <cell r="C398" t="str">
            <v>E105</v>
          </cell>
          <cell r="D398" t="str">
            <v xml:space="preserve">Rolo Compactador : Caterpillar : PS-360C -  de pneus autoprop. 25 t </v>
          </cell>
          <cell r="E398" t="str">
            <v>h</v>
          </cell>
          <cell r="F398">
            <v>104.88</v>
          </cell>
          <cell r="G398">
            <v>17.27</v>
          </cell>
          <cell r="H398">
            <v>104.88</v>
          </cell>
          <cell r="I398">
            <v>17.27</v>
          </cell>
        </row>
        <row r="399">
          <cell r="C399" t="str">
            <v>E106</v>
          </cell>
          <cell r="D399" t="str">
            <v>Usina Misturadora : Cifali : - de solos 350 / 600 t/h</v>
          </cell>
          <cell r="E399" t="str">
            <v>h</v>
          </cell>
          <cell r="F399">
            <v>93.96</v>
          </cell>
          <cell r="G399">
            <v>23.67</v>
          </cell>
          <cell r="H399">
            <v>93.96</v>
          </cell>
          <cell r="I399">
            <v>23.67</v>
          </cell>
        </row>
        <row r="400">
          <cell r="C400" t="str">
            <v>E107</v>
          </cell>
          <cell r="D400" t="str">
            <v>Vassoura Mecânica : CMV :  VM7 -  rebocável</v>
          </cell>
          <cell r="E400" t="str">
            <v>h</v>
          </cell>
          <cell r="F400">
            <v>3.83</v>
          </cell>
          <cell r="G400">
            <v>0</v>
          </cell>
          <cell r="H400">
            <v>3.83</v>
          </cell>
          <cell r="I400">
            <v>0</v>
          </cell>
        </row>
        <row r="401">
          <cell r="C401" t="str">
            <v>E108</v>
          </cell>
          <cell r="D401" t="str">
            <v xml:space="preserve"> Distribuidor de Agregados : CMV :  -  rebocável</v>
          </cell>
          <cell r="E401" t="str">
            <v>h</v>
          </cell>
          <cell r="F401">
            <v>3.26</v>
          </cell>
          <cell r="G401">
            <v>0</v>
          </cell>
          <cell r="H401">
            <v>3.26</v>
          </cell>
          <cell r="I401">
            <v>0</v>
          </cell>
        </row>
        <row r="402">
          <cell r="C402" t="str">
            <v>E109</v>
          </cell>
          <cell r="D402" t="str">
            <v>Distribuidor de Agregados : Romanelli : DAR-5000 - autopropelido</v>
          </cell>
          <cell r="E402" t="str">
            <v>h</v>
          </cell>
          <cell r="F402">
            <v>132.58000000000001</v>
          </cell>
          <cell r="G402">
            <v>22.39</v>
          </cell>
          <cell r="H402">
            <v>132.58000000000001</v>
          </cell>
          <cell r="I402">
            <v>22.39</v>
          </cell>
        </row>
        <row r="403">
          <cell r="C403" t="str">
            <v>E110</v>
          </cell>
          <cell r="D403" t="str">
            <v>Tanque de Estocagem de Asfalto : Cifali :  -  20.000 l</v>
          </cell>
          <cell r="E403" t="str">
            <v>h</v>
          </cell>
          <cell r="F403">
            <v>5.1100000000000003</v>
          </cell>
          <cell r="G403">
            <v>0</v>
          </cell>
          <cell r="H403">
            <v>5.1100000000000003</v>
          </cell>
          <cell r="I403">
            <v>0</v>
          </cell>
        </row>
        <row r="404">
          <cell r="C404" t="str">
            <v>E111</v>
          </cell>
          <cell r="D404" t="str">
            <v>(*) Equip. Distribuição de Asfalto : Ferlex :  -  montado em caminhão</v>
          </cell>
          <cell r="E404" t="str">
            <v>h</v>
          </cell>
          <cell r="F404">
            <v>97.52</v>
          </cell>
          <cell r="G404">
            <v>20.47</v>
          </cell>
          <cell r="H404">
            <v>97.52</v>
          </cell>
          <cell r="I404">
            <v>20.47</v>
          </cell>
        </row>
        <row r="405">
          <cell r="C405" t="str">
            <v>E112</v>
          </cell>
          <cell r="D405" t="str">
            <v xml:space="preserve">Aquecedor de Fluido Térmico : Tenge : TH III - </v>
          </cell>
          <cell r="E405" t="str">
            <v>h</v>
          </cell>
          <cell r="F405">
            <v>26.31</v>
          </cell>
          <cell r="G405">
            <v>0</v>
          </cell>
          <cell r="H405">
            <v>26.31</v>
          </cell>
          <cell r="I405">
            <v>0</v>
          </cell>
        </row>
        <row r="406">
          <cell r="C406" t="str">
            <v>E113</v>
          </cell>
          <cell r="D406" t="str">
            <v>Usina de Asfalto a Quente : Cifali : DMC-2 - 40 / 60 t/h</v>
          </cell>
          <cell r="E406" t="str">
            <v>h</v>
          </cell>
          <cell r="F406">
            <v>295.55</v>
          </cell>
          <cell r="G406">
            <v>23.67</v>
          </cell>
          <cell r="H406">
            <v>295.55</v>
          </cell>
          <cell r="I406">
            <v>23.67</v>
          </cell>
        </row>
        <row r="407">
          <cell r="C407" t="str">
            <v>E114</v>
          </cell>
          <cell r="D407" t="str">
            <v>Vibro-acabadora de Asfalto : Cifali : VDA-206 - sobre pneus</v>
          </cell>
          <cell r="E407" t="str">
            <v>h</v>
          </cell>
          <cell r="F407">
            <v>136.97</v>
          </cell>
          <cell r="G407">
            <v>23.67</v>
          </cell>
          <cell r="H407">
            <v>136.97</v>
          </cell>
          <cell r="I407">
            <v>23.67</v>
          </cell>
        </row>
        <row r="408">
          <cell r="C408" t="str">
            <v>E115</v>
          </cell>
          <cell r="D408" t="str">
            <v>Usina Misturadora : Cifali : - pré mist. a frio 60/100 t/h</v>
          </cell>
          <cell r="E408" t="str">
            <v>h</v>
          </cell>
          <cell r="F408">
            <v>72.09</v>
          </cell>
          <cell r="G408">
            <v>23.67</v>
          </cell>
          <cell r="H408">
            <v>72.09</v>
          </cell>
          <cell r="I408">
            <v>23.67</v>
          </cell>
        </row>
        <row r="409">
          <cell r="C409" t="str">
            <v>E116</v>
          </cell>
          <cell r="D409" t="str">
            <v>Carregadeira de Pneus - 1,70 m3 (79 kW)</v>
          </cell>
          <cell r="E409" t="str">
            <v>h</v>
          </cell>
          <cell r="F409">
            <v>51.56</v>
          </cell>
          <cell r="G409">
            <v>23.67</v>
          </cell>
          <cell r="H409">
            <v>51.56</v>
          </cell>
          <cell r="I409">
            <v>23.67</v>
          </cell>
        </row>
        <row r="410">
          <cell r="C410" t="str">
            <v>E117</v>
          </cell>
          <cell r="D410" t="str">
            <v>Rolo Compactador : Muller : RT82H - estático Tanden autoprop. 8,9 t</v>
          </cell>
          <cell r="E410" t="str">
            <v>h</v>
          </cell>
          <cell r="F410">
            <v>59.03</v>
          </cell>
          <cell r="G410">
            <v>17.27</v>
          </cell>
          <cell r="H410">
            <v>59.03</v>
          </cell>
          <cell r="I410">
            <v>17.27</v>
          </cell>
        </row>
        <row r="411">
          <cell r="C411" t="str">
            <v>E118</v>
          </cell>
          <cell r="D411" t="str">
            <v>Rolo Compactador : Dynapac : CC900 - Tanden vibrat. 1,5 t</v>
          </cell>
          <cell r="E411" t="str">
            <v>h</v>
          </cell>
          <cell r="F411">
            <v>42.5</v>
          </cell>
          <cell r="G411">
            <v>17.27</v>
          </cell>
          <cell r="H411">
            <v>42.5</v>
          </cell>
          <cell r="I411">
            <v>17.27</v>
          </cell>
        </row>
        <row r="412">
          <cell r="C412" t="str">
            <v>E119</v>
          </cell>
          <cell r="D412" t="str">
            <v>Rolo Compactador : Muller : AP23 - de pneus estat. autoprop. 23 t</v>
          </cell>
          <cell r="E412" t="str">
            <v>h</v>
          </cell>
          <cell r="F412">
            <v>93.38</v>
          </cell>
          <cell r="G412">
            <v>17.27</v>
          </cell>
          <cell r="H412">
            <v>93.38</v>
          </cell>
          <cell r="I412">
            <v>17.27</v>
          </cell>
        </row>
        <row r="413">
          <cell r="C413" t="str">
            <v>E121</v>
          </cell>
          <cell r="D413" t="str">
            <v>Rolo Compactador : Dynapac : CA15 - liso vibrat.autoprop. 6,6 t</v>
          </cell>
          <cell r="E413" t="str">
            <v>h</v>
          </cell>
          <cell r="F413">
            <v>100.66</v>
          </cell>
          <cell r="G413">
            <v>17.27</v>
          </cell>
          <cell r="H413">
            <v>100.66</v>
          </cell>
          <cell r="I413">
            <v>17.27</v>
          </cell>
        </row>
        <row r="414">
          <cell r="C414" t="str">
            <v>E122</v>
          </cell>
          <cell r="D414" t="str">
            <v>Equip. Distribuição Lama Asfáltica : M. Benz/Consmaq : 2423 K - montado em caminhão</v>
          </cell>
          <cell r="E414" t="str">
            <v>h</v>
          </cell>
          <cell r="F414">
            <v>150.38</v>
          </cell>
          <cell r="G414">
            <v>20.47</v>
          </cell>
          <cell r="H414">
            <v>150.38</v>
          </cell>
          <cell r="I414">
            <v>20.47</v>
          </cell>
        </row>
        <row r="415">
          <cell r="C415" t="str">
            <v>E123</v>
          </cell>
          <cell r="D415" t="str">
            <v>Caldeira de Asfalto Rebocável : Consmaq : CA-2 - 1200 l</v>
          </cell>
          <cell r="E415" t="str">
            <v>h</v>
          </cell>
          <cell r="F415">
            <v>11.24</v>
          </cell>
          <cell r="G415">
            <v>0</v>
          </cell>
          <cell r="H415">
            <v>11.24</v>
          </cell>
          <cell r="I415">
            <v>0</v>
          </cell>
        </row>
        <row r="416">
          <cell r="C416" t="str">
            <v>E124</v>
          </cell>
          <cell r="D416" t="str">
            <v>Usina de Asfalto a Quente : Cifali : - gravim 100/140 t/h</v>
          </cell>
          <cell r="E416" t="str">
            <v>h</v>
          </cell>
          <cell r="F416">
            <v>572.66</v>
          </cell>
          <cell r="G416">
            <v>23.67</v>
          </cell>
          <cell r="H416">
            <v>572.66</v>
          </cell>
          <cell r="I416">
            <v>23.67</v>
          </cell>
        </row>
        <row r="417">
          <cell r="C417" t="str">
            <v>E126</v>
          </cell>
          <cell r="D417" t="str">
            <v xml:space="preserve">Fresadora a Frio : Wirtgen : W-1000 L </v>
          </cell>
          <cell r="E417" t="str">
            <v>h</v>
          </cell>
          <cell r="F417">
            <v>344.07</v>
          </cell>
          <cell r="G417">
            <v>23.67</v>
          </cell>
          <cell r="H417">
            <v>344.07</v>
          </cell>
          <cell r="I417">
            <v>23.67</v>
          </cell>
        </row>
        <row r="418">
          <cell r="C418" t="str">
            <v>E127</v>
          </cell>
          <cell r="D418" t="str">
            <v>Fresadora a Frio : Wirtgen : W-1900</v>
          </cell>
          <cell r="E418" t="str">
            <v>h</v>
          </cell>
          <cell r="F418">
            <v>607.91</v>
          </cell>
          <cell r="G418">
            <v>23.67</v>
          </cell>
          <cell r="H418">
            <v>607.91</v>
          </cell>
          <cell r="I418">
            <v>23.67</v>
          </cell>
        </row>
        <row r="419">
          <cell r="C419" t="str">
            <v>E128</v>
          </cell>
          <cell r="D419" t="str">
            <v>Recicladora de Pavimento : Wirtgen : WR 2000 - a frio</v>
          </cell>
          <cell r="E419" t="str">
            <v>h</v>
          </cell>
          <cell r="F419">
            <v>545.19000000000005</v>
          </cell>
          <cell r="G419">
            <v>23.67</v>
          </cell>
          <cell r="H419">
            <v>545.19000000000005</v>
          </cell>
          <cell r="I419">
            <v>23.67</v>
          </cell>
        </row>
        <row r="420">
          <cell r="C420" t="str">
            <v>E129</v>
          </cell>
          <cell r="D420" t="str">
            <v>Recicladora de Pavimento : Wirtgen : WR 2500 S - A frio</v>
          </cell>
          <cell r="E420" t="str">
            <v>h</v>
          </cell>
          <cell r="F420">
            <v>834.61</v>
          </cell>
          <cell r="G420">
            <v>23.67</v>
          </cell>
          <cell r="H420">
            <v>834.61</v>
          </cell>
          <cell r="I420">
            <v>23.67</v>
          </cell>
        </row>
        <row r="421">
          <cell r="C421" t="str">
            <v>E138</v>
          </cell>
          <cell r="D421" t="str">
            <v>Estabilizador/Recicladora a Frio : Caterpillar : RM-500 -</v>
          </cell>
          <cell r="E421" t="str">
            <v>h</v>
          </cell>
          <cell r="F421">
            <v>399.5</v>
          </cell>
          <cell r="G421">
            <v>23.67</v>
          </cell>
          <cell r="H421">
            <v>399.5</v>
          </cell>
          <cell r="I421">
            <v>23.67</v>
          </cell>
        </row>
        <row r="422">
          <cell r="C422" t="str">
            <v>E139</v>
          </cell>
          <cell r="D422" t="str">
            <v>Rolo Compactador : Dynapac : CA25 - liso auto. vibrat.</v>
          </cell>
          <cell r="E422" t="str">
            <v>h</v>
          </cell>
          <cell r="F422">
            <v>105.59</v>
          </cell>
          <cell r="G422">
            <v>12.91</v>
          </cell>
          <cell r="H422">
            <v>105.59</v>
          </cell>
          <cell r="I422">
            <v>12.91</v>
          </cell>
        </row>
        <row r="423">
          <cell r="C423" t="str">
            <v>E142</v>
          </cell>
          <cell r="D423" t="str">
            <v>Rolo Compactador : Dynapac : CP271 - de pneus</v>
          </cell>
          <cell r="E423" t="str">
            <v>h</v>
          </cell>
          <cell r="F423">
            <v>97.67</v>
          </cell>
          <cell r="G423">
            <v>17.27</v>
          </cell>
          <cell r="H423">
            <v>97.67</v>
          </cell>
          <cell r="I423">
            <v>17.27</v>
          </cell>
        </row>
        <row r="424">
          <cell r="C424" t="str">
            <v>E147</v>
          </cell>
          <cell r="D424" t="str">
            <v>Usina de Asfalto a Quente : Cifali : DMC-2 - 90/120 t/h com filtro de manga</v>
          </cell>
          <cell r="E424" t="str">
            <v>h</v>
          </cell>
          <cell r="F424">
            <v>309.3</v>
          </cell>
          <cell r="G424">
            <v>23.67</v>
          </cell>
          <cell r="H424">
            <v>309.3</v>
          </cell>
          <cell r="I424">
            <v>23.67</v>
          </cell>
        </row>
        <row r="425">
          <cell r="C425" t="str">
            <v>E149</v>
          </cell>
          <cell r="D425" t="str">
            <v>Vibro-acabadora de Asfalto : Cifali : VDA-600BM – sobre esteiras</v>
          </cell>
          <cell r="E425" t="str">
            <v>h</v>
          </cell>
          <cell r="F425">
            <v>141.58000000000001</v>
          </cell>
          <cell r="G425">
            <v>23.67</v>
          </cell>
          <cell r="H425">
            <v>141.58000000000001</v>
          </cell>
          <cell r="I425">
            <v>23.67</v>
          </cell>
        </row>
        <row r="426">
          <cell r="C426" t="str">
            <v>E151</v>
          </cell>
          <cell r="D426" t="str">
            <v>Rolo Compactador : Caterpillar : PS-360 C - autoprop. de pneus 25 t</v>
          </cell>
          <cell r="E426" t="str">
            <v>h</v>
          </cell>
          <cell r="F426">
            <v>103.4</v>
          </cell>
          <cell r="G426">
            <v>11.53</v>
          </cell>
          <cell r="H426">
            <v>103.4</v>
          </cell>
          <cell r="I426">
            <v>11.53</v>
          </cell>
        </row>
        <row r="427">
          <cell r="C427" t="str">
            <v>E156</v>
          </cell>
          <cell r="D427" t="str">
            <v>Carregadeira de Pneus : Case : 40 XT - c/ vassoura de 1,80m</v>
          </cell>
          <cell r="E427" t="str">
            <v>h</v>
          </cell>
          <cell r="F427">
            <v>54.01</v>
          </cell>
          <cell r="G427">
            <v>22.39</v>
          </cell>
          <cell r="H427">
            <v>54.01</v>
          </cell>
          <cell r="I427">
            <v>22.39</v>
          </cell>
        </row>
        <row r="428">
          <cell r="C428" t="str">
            <v>E160</v>
          </cell>
          <cell r="D428" t="str">
            <v>Fresadora e Distribuidora de solo : Gomaco : 9500 – para regular sub leito</v>
          </cell>
          <cell r="E428" t="str">
            <v>h</v>
          </cell>
          <cell r="F428">
            <v>325.64999999999998</v>
          </cell>
          <cell r="G428">
            <v>23.67</v>
          </cell>
          <cell r="H428">
            <v>325.64999999999998</v>
          </cell>
          <cell r="I428">
            <v>23.67</v>
          </cell>
        </row>
        <row r="429">
          <cell r="C429" t="str">
            <v>E161</v>
          </cell>
          <cell r="D429" t="str">
            <v>Equip. Distr. de L.A. Rupt. Contr. : M. Benz/Cifali : MICROFLEX - acoplado a cavalo mecânico</v>
          </cell>
          <cell r="E429" t="str">
            <v>h</v>
          </cell>
          <cell r="F429">
            <v>262.64</v>
          </cell>
          <cell r="G429">
            <v>21.75</v>
          </cell>
          <cell r="H429">
            <v>262.64</v>
          </cell>
          <cell r="I429">
            <v>21.75</v>
          </cell>
        </row>
        <row r="430">
          <cell r="C430" t="str">
            <v>E201</v>
          </cell>
          <cell r="D430" t="str">
            <v>Compressor de Ar : Atlas Copco : XAS 136 - 295 PCM</v>
          </cell>
          <cell r="E430" t="str">
            <v>h</v>
          </cell>
          <cell r="F430">
            <v>64.39</v>
          </cell>
          <cell r="G430">
            <v>17.27</v>
          </cell>
          <cell r="H430">
            <v>64.39</v>
          </cell>
          <cell r="I430">
            <v>17.27</v>
          </cell>
        </row>
        <row r="431">
          <cell r="C431" t="str">
            <v>E202</v>
          </cell>
          <cell r="D431" t="str">
            <v>Compressor de Ar : Atlas Copco : XAS 186 - 400 PCM</v>
          </cell>
          <cell r="E431" t="str">
            <v>h</v>
          </cell>
          <cell r="F431">
            <v>66.650000000000006</v>
          </cell>
          <cell r="G431">
            <v>17.27</v>
          </cell>
          <cell r="H431">
            <v>66.650000000000006</v>
          </cell>
          <cell r="I431">
            <v>17.27</v>
          </cell>
        </row>
        <row r="432">
          <cell r="C432" t="str">
            <v>E203</v>
          </cell>
          <cell r="D432" t="str">
            <v xml:space="preserve">Compressor de Ar : Atlas Copco : XA 360 SD -  762 PCM </v>
          </cell>
          <cell r="E432" t="str">
            <v>h</v>
          </cell>
          <cell r="F432">
            <v>107</v>
          </cell>
          <cell r="G432">
            <v>17.27</v>
          </cell>
          <cell r="H432">
            <v>107</v>
          </cell>
          <cell r="I432">
            <v>17.27</v>
          </cell>
        </row>
        <row r="433">
          <cell r="C433" t="str">
            <v>E204</v>
          </cell>
          <cell r="D433" t="str">
            <v xml:space="preserve"> Martelete : Atlas Copco : RH658-6L -  perfuratriz manual</v>
          </cell>
          <cell r="E433" t="str">
            <v>h</v>
          </cell>
          <cell r="F433">
            <v>16.059999999999999</v>
          </cell>
          <cell r="G433">
            <v>15.36</v>
          </cell>
          <cell r="H433">
            <v>16.059999999999999</v>
          </cell>
          <cell r="I433">
            <v>15.36</v>
          </cell>
        </row>
        <row r="434">
          <cell r="C434" t="str">
            <v>E205</v>
          </cell>
          <cell r="D434" t="str">
            <v>Perfuratriz sobre Esteiras : Atlas Copco : ROC 442PC - Crawler Drill</v>
          </cell>
          <cell r="E434" t="str">
            <v>h</v>
          </cell>
          <cell r="F434">
            <v>55.94</v>
          </cell>
          <cell r="G434">
            <v>17.27</v>
          </cell>
          <cell r="H434">
            <v>55.94</v>
          </cell>
          <cell r="I434">
            <v>17.27</v>
          </cell>
        </row>
        <row r="435">
          <cell r="C435" t="str">
            <v>E206</v>
          </cell>
          <cell r="D435" t="str">
            <v>Conjunto de Britagem : FAÇO : L-150A - 30 m3/h</v>
          </cell>
          <cell r="E435" t="str">
            <v>h</v>
          </cell>
          <cell r="F435">
            <v>375.25</v>
          </cell>
          <cell r="G435">
            <v>22.39</v>
          </cell>
          <cell r="H435">
            <v>375.25</v>
          </cell>
          <cell r="I435">
            <v>22.39</v>
          </cell>
        </row>
        <row r="436">
          <cell r="C436" t="str">
            <v>E207</v>
          </cell>
          <cell r="D436" t="str">
            <v>Conjunto de Britagem : FAÇO : C-130 - 9 a 20 m3/h</v>
          </cell>
          <cell r="E436" t="str">
            <v>h</v>
          </cell>
          <cell r="F436">
            <v>48.88</v>
          </cell>
          <cell r="G436">
            <v>16.739999999999998</v>
          </cell>
          <cell r="H436">
            <v>48.88</v>
          </cell>
          <cell r="I436">
            <v>16.739999999999998</v>
          </cell>
        </row>
        <row r="437">
          <cell r="C437" t="str">
            <v>E208</v>
          </cell>
          <cell r="D437" t="str">
            <v>Compressor de Ar : Atlas Copco : XAS 96 - 200 PCM</v>
          </cell>
          <cell r="E437" t="str">
            <v>h</v>
          </cell>
          <cell r="F437">
            <v>51.44</v>
          </cell>
          <cell r="G437">
            <v>17.27</v>
          </cell>
          <cell r="H437">
            <v>51.44</v>
          </cell>
          <cell r="I437">
            <v>17.27</v>
          </cell>
        </row>
        <row r="438">
          <cell r="C438" t="str">
            <v>E209</v>
          </cell>
          <cell r="D438" t="str">
            <v>Martelete : Atlas Copco : TEX28 - rompedor 28 kg</v>
          </cell>
          <cell r="E438" t="str">
            <v>h</v>
          </cell>
          <cell r="F438">
            <v>16.04</v>
          </cell>
          <cell r="G438">
            <v>15.36</v>
          </cell>
          <cell r="H438">
            <v>16.04</v>
          </cell>
          <cell r="I438">
            <v>15.36</v>
          </cell>
        </row>
        <row r="439">
          <cell r="C439" t="str">
            <v>E210</v>
          </cell>
          <cell r="D439" t="str">
            <v>Martelete : Atlas Copco : TEX33 - rompedor 33 kg</v>
          </cell>
          <cell r="E439" t="str">
            <v>h</v>
          </cell>
          <cell r="F439">
            <v>16.079999999999998</v>
          </cell>
          <cell r="G439">
            <v>15.36</v>
          </cell>
          <cell r="H439">
            <v>16.079999999999998</v>
          </cell>
          <cell r="I439">
            <v>15.36</v>
          </cell>
        </row>
        <row r="440">
          <cell r="C440" t="str">
            <v>E211</v>
          </cell>
          <cell r="D440" t="str">
            <v>Máquina para Pintura : Shulz : MS 20 BR - compres. de ar p/ pintura c/ filtro</v>
          </cell>
          <cell r="E440" t="str">
            <v>h</v>
          </cell>
          <cell r="F440">
            <v>1.1200000000000001</v>
          </cell>
          <cell r="G440">
            <v>0</v>
          </cell>
          <cell r="H440">
            <v>1.1200000000000001</v>
          </cell>
          <cell r="I440">
            <v>0</v>
          </cell>
        </row>
        <row r="441">
          <cell r="C441" t="str">
            <v>E223</v>
          </cell>
          <cell r="D441" t="str">
            <v xml:space="preserve">Compressor de Ar : Atlas Copco : XATS 176 - 360 PCM </v>
          </cell>
          <cell r="E441" t="str">
            <v>h</v>
          </cell>
          <cell r="F441">
            <v>64.77</v>
          </cell>
          <cell r="G441">
            <v>17.27</v>
          </cell>
          <cell r="H441">
            <v>64.77</v>
          </cell>
          <cell r="I441">
            <v>17.27</v>
          </cell>
        </row>
        <row r="442">
          <cell r="C442" t="str">
            <v>E225</v>
          </cell>
          <cell r="D442" t="str">
            <v>Conjunto de Britagem: FAÇO - 80 m3/h</v>
          </cell>
          <cell r="E442" t="str">
            <v>h</v>
          </cell>
          <cell r="F442">
            <v>484.34</v>
          </cell>
          <cell r="G442">
            <v>22.39</v>
          </cell>
          <cell r="H442">
            <v>484.34</v>
          </cell>
          <cell r="I442">
            <v>22.39</v>
          </cell>
        </row>
        <row r="443">
          <cell r="C443" t="str">
            <v>E226</v>
          </cell>
          <cell r="D443" t="str">
            <v>Conjunto de Britagem - p/ rachão : FAÇO : - 80 m3/h p/ produção de rachão</v>
          </cell>
          <cell r="E443" t="str">
            <v>h</v>
          </cell>
          <cell r="F443">
            <v>189.82</v>
          </cell>
          <cell r="G443">
            <v>22.39</v>
          </cell>
          <cell r="H443">
            <v>189.82</v>
          </cell>
          <cell r="I443">
            <v>22.39</v>
          </cell>
        </row>
        <row r="444">
          <cell r="C444" t="str">
            <v>E301</v>
          </cell>
          <cell r="D444" t="str">
            <v>Betoneira - 320 l (7 kW)</v>
          </cell>
          <cell r="E444" t="str">
            <v>h</v>
          </cell>
          <cell r="F444">
            <v>20.010000000000002</v>
          </cell>
          <cell r="G444">
            <v>17.27</v>
          </cell>
          <cell r="H444">
            <v>20.010000000000002</v>
          </cell>
          <cell r="I444">
            <v>17.27</v>
          </cell>
        </row>
        <row r="445">
          <cell r="C445" t="str">
            <v>E302</v>
          </cell>
          <cell r="D445" t="str">
            <v xml:space="preserve">Betoneira : Penedo :  -  320 l </v>
          </cell>
          <cell r="E445" t="str">
            <v>h</v>
          </cell>
          <cell r="F445">
            <v>19.38</v>
          </cell>
          <cell r="G445">
            <v>17.27</v>
          </cell>
          <cell r="H445">
            <v>19.38</v>
          </cell>
          <cell r="I445">
            <v>17.27</v>
          </cell>
        </row>
        <row r="446">
          <cell r="C446" t="str">
            <v>E303</v>
          </cell>
          <cell r="D446" t="str">
            <v>Betoneira : Alfa : - 750 l</v>
          </cell>
          <cell r="E446" t="str">
            <v>h</v>
          </cell>
          <cell r="F446">
            <v>25.26</v>
          </cell>
          <cell r="G446">
            <v>17.27</v>
          </cell>
          <cell r="H446">
            <v>25.26</v>
          </cell>
          <cell r="I446">
            <v>17.27</v>
          </cell>
        </row>
        <row r="447">
          <cell r="C447" t="str">
            <v>E304</v>
          </cell>
          <cell r="D447" t="str">
            <v xml:space="preserve">Transportador Manual : AJS :  -  carrinho de mão 80 l </v>
          </cell>
          <cell r="E447" t="str">
            <v>h</v>
          </cell>
          <cell r="F447">
            <v>0.13</v>
          </cell>
          <cell r="G447">
            <v>0</v>
          </cell>
          <cell r="H447">
            <v>0.13</v>
          </cell>
          <cell r="I447">
            <v>0</v>
          </cell>
        </row>
        <row r="448">
          <cell r="C448" t="str">
            <v>E305</v>
          </cell>
          <cell r="D448" t="str">
            <v>Transportador Manual : Laguna : A-15 - gerica 180 l</v>
          </cell>
          <cell r="E448" t="str">
            <v>h</v>
          </cell>
          <cell r="F448">
            <v>0.81</v>
          </cell>
          <cell r="G448">
            <v>0</v>
          </cell>
          <cell r="H448">
            <v>0.81</v>
          </cell>
          <cell r="I448">
            <v>0</v>
          </cell>
        </row>
        <row r="449">
          <cell r="C449" t="str">
            <v>E306</v>
          </cell>
          <cell r="D449" t="str">
            <v xml:space="preserve">(*) Vibrador de Concreto : Diversos : VIP45/MT2 -  de imersão </v>
          </cell>
          <cell r="E449" t="str">
            <v>h</v>
          </cell>
          <cell r="F449">
            <v>16.45</v>
          </cell>
          <cell r="G449">
            <v>15.35</v>
          </cell>
          <cell r="H449">
            <v>16.45</v>
          </cell>
          <cell r="I449">
            <v>15.35</v>
          </cell>
        </row>
        <row r="450">
          <cell r="C450" t="str">
            <v>E307</v>
          </cell>
          <cell r="D450" t="str">
            <v>(*) Fábric. Pré-Moldado Concreto : Servimaq :  -  tubos   D=0,2 m   M / F</v>
          </cell>
          <cell r="E450" t="str">
            <v>h</v>
          </cell>
          <cell r="F450">
            <v>4.8</v>
          </cell>
          <cell r="G450">
            <v>0</v>
          </cell>
          <cell r="H450">
            <v>4.8</v>
          </cell>
          <cell r="I450">
            <v>0</v>
          </cell>
        </row>
        <row r="451">
          <cell r="C451" t="str">
            <v>E308</v>
          </cell>
          <cell r="D451" t="str">
            <v>Fábric. Pré-Moldado Concreto : Servimaq : - tubos D=0,3 m M / F</v>
          </cell>
          <cell r="E451" t="str">
            <v>h</v>
          </cell>
          <cell r="F451">
            <v>5.23</v>
          </cell>
          <cell r="G451">
            <v>0</v>
          </cell>
          <cell r="H451">
            <v>5.23</v>
          </cell>
          <cell r="I451">
            <v>0</v>
          </cell>
        </row>
        <row r="452">
          <cell r="C452" t="str">
            <v>E309</v>
          </cell>
          <cell r="D452" t="str">
            <v>Fábric. Pré-Moldado Concreto : Servimaq : - tubos D=0,4 m M / F</v>
          </cell>
          <cell r="E452" t="str">
            <v>h</v>
          </cell>
          <cell r="F452">
            <v>5.25</v>
          </cell>
          <cell r="G452">
            <v>0</v>
          </cell>
          <cell r="H452">
            <v>5.25</v>
          </cell>
          <cell r="I452">
            <v>0</v>
          </cell>
        </row>
        <row r="453">
          <cell r="C453" t="str">
            <v>E310</v>
          </cell>
          <cell r="D453" t="str">
            <v>Fábric. Pré-Moldado Concreto : Servimaq : - tubos D=0,6 m M / F</v>
          </cell>
          <cell r="E453" t="str">
            <v>h</v>
          </cell>
          <cell r="F453">
            <v>6.04</v>
          </cell>
          <cell r="G453">
            <v>0</v>
          </cell>
          <cell r="H453">
            <v>6.04</v>
          </cell>
          <cell r="I453">
            <v>0</v>
          </cell>
        </row>
        <row r="454">
          <cell r="C454" t="str">
            <v>E311</v>
          </cell>
          <cell r="D454" t="str">
            <v>Fábric. Pré-Moldado Concreto : Servimaq : - tubos D=0,8 m M / F</v>
          </cell>
          <cell r="E454" t="str">
            <v>h</v>
          </cell>
          <cell r="F454">
            <v>7.76</v>
          </cell>
          <cell r="G454">
            <v>0</v>
          </cell>
          <cell r="H454">
            <v>7.76</v>
          </cell>
          <cell r="I454">
            <v>0</v>
          </cell>
        </row>
        <row r="455">
          <cell r="C455" t="str">
            <v>E312</v>
          </cell>
          <cell r="D455" t="str">
            <v>Fábric. Pré-Moldado Concreto : Servimaq : - tubos D=1,0 m M / F</v>
          </cell>
          <cell r="E455" t="str">
            <v>h</v>
          </cell>
          <cell r="F455">
            <v>7.85</v>
          </cell>
          <cell r="G455">
            <v>0</v>
          </cell>
          <cell r="H455">
            <v>7.85</v>
          </cell>
          <cell r="I455">
            <v>0</v>
          </cell>
        </row>
        <row r="456">
          <cell r="C456" t="str">
            <v>E313</v>
          </cell>
          <cell r="D456" t="str">
            <v>Fábric. Pré-Moldado Concreto : Servimaq : - tubos D=1,2 m M / F</v>
          </cell>
          <cell r="E456" t="str">
            <v>h</v>
          </cell>
          <cell r="F456">
            <v>8.27</v>
          </cell>
          <cell r="G456">
            <v>0</v>
          </cell>
          <cell r="H456">
            <v>8.27</v>
          </cell>
          <cell r="I456">
            <v>0</v>
          </cell>
        </row>
        <row r="457">
          <cell r="C457" t="str">
            <v>E314</v>
          </cell>
          <cell r="D457" t="str">
            <v>Fábric. Pré-Moldado Concreto : Servimaq : - tubos D=1,5 m M / F</v>
          </cell>
          <cell r="E457" t="str">
            <v>h</v>
          </cell>
          <cell r="F457">
            <v>7.01</v>
          </cell>
          <cell r="G457">
            <v>0</v>
          </cell>
          <cell r="H457">
            <v>7.01</v>
          </cell>
          <cell r="I457">
            <v>0</v>
          </cell>
        </row>
        <row r="458">
          <cell r="C458" t="str">
            <v>E316</v>
          </cell>
          <cell r="D458" t="str">
            <v>Fábric. Pré-Moldado Concreto : Servimaq : - inst. compl. - mourão</v>
          </cell>
          <cell r="E458" t="str">
            <v>h</v>
          </cell>
          <cell r="F458">
            <v>1.49</v>
          </cell>
          <cell r="G458">
            <v>0</v>
          </cell>
          <cell r="H458">
            <v>1.49</v>
          </cell>
          <cell r="I458">
            <v>0</v>
          </cell>
        </row>
        <row r="459">
          <cell r="C459" t="str">
            <v>E317</v>
          </cell>
          <cell r="D459" t="str">
            <v>Fábric. Pré-Moldado Concreto : Servimaq : - inst. compl. - balizador</v>
          </cell>
          <cell r="E459" t="str">
            <v>h</v>
          </cell>
          <cell r="F459">
            <v>2.0099999999999998</v>
          </cell>
          <cell r="G459">
            <v>0</v>
          </cell>
          <cell r="H459">
            <v>2.0099999999999998</v>
          </cell>
          <cell r="I459">
            <v>0</v>
          </cell>
        </row>
        <row r="460">
          <cell r="C460" t="str">
            <v>E318</v>
          </cell>
          <cell r="D460" t="str">
            <v>Fábric. Pré-Moldado Concreto : Servimaq : - inst. compl. - guarda-corpo</v>
          </cell>
          <cell r="E460" t="str">
            <v>h</v>
          </cell>
          <cell r="F460">
            <v>2.69</v>
          </cell>
          <cell r="G460">
            <v>0</v>
          </cell>
          <cell r="H460">
            <v>2.69</v>
          </cell>
          <cell r="I460">
            <v>0</v>
          </cell>
        </row>
        <row r="461">
          <cell r="C461" t="str">
            <v>E323</v>
          </cell>
          <cell r="D461" t="str">
            <v>Central de Concreto : Cifali : - 30m3/h - dosadora</v>
          </cell>
          <cell r="E461" t="str">
            <v>h</v>
          </cell>
          <cell r="F461">
            <v>57.8</v>
          </cell>
          <cell r="G461">
            <v>23.67</v>
          </cell>
          <cell r="H461">
            <v>57.8</v>
          </cell>
          <cell r="I461">
            <v>23.67</v>
          </cell>
        </row>
        <row r="462">
          <cell r="C462" t="str">
            <v>E330</v>
          </cell>
          <cell r="D462" t="str">
            <v>Espalhadora de concreto : Gomaco : PS 2600 -</v>
          </cell>
          <cell r="E462" t="str">
            <v>h</v>
          </cell>
          <cell r="F462">
            <v>271.36</v>
          </cell>
          <cell r="G462">
            <v>23.67</v>
          </cell>
          <cell r="H462">
            <v>271.36</v>
          </cell>
          <cell r="I462">
            <v>23.67</v>
          </cell>
        </row>
        <row r="463">
          <cell r="C463" t="str">
            <v>E331</v>
          </cell>
          <cell r="D463" t="str">
            <v>Acabadora de concreto : Gomaco : GP-2600 - com forma deslizante</v>
          </cell>
          <cell r="E463" t="str">
            <v>h</v>
          </cell>
          <cell r="F463">
            <v>331.92</v>
          </cell>
          <cell r="G463">
            <v>23.67</v>
          </cell>
          <cell r="H463">
            <v>331.92</v>
          </cell>
          <cell r="I463">
            <v>23.67</v>
          </cell>
        </row>
        <row r="464">
          <cell r="C464" t="str">
            <v>E332</v>
          </cell>
          <cell r="D464" t="str">
            <v>Texturizadora e Lançadora : Gomaco : TC 400 – sem estação meteorológica</v>
          </cell>
          <cell r="E464" t="str">
            <v>h</v>
          </cell>
          <cell r="F464">
            <v>90.68</v>
          </cell>
          <cell r="G464">
            <v>17.27</v>
          </cell>
          <cell r="H464">
            <v>90.68</v>
          </cell>
          <cell r="I464">
            <v>17.27</v>
          </cell>
        </row>
        <row r="465">
          <cell r="C465" t="str">
            <v>E333</v>
          </cell>
          <cell r="D465" t="str">
            <v>Serra de Disco Diamantado : EDCO : SS-35 - para concreto</v>
          </cell>
          <cell r="E465" t="str">
            <v>h</v>
          </cell>
          <cell r="F465">
            <v>36.49</v>
          </cell>
          <cell r="G465">
            <v>15.36</v>
          </cell>
          <cell r="H465">
            <v>36.49</v>
          </cell>
          <cell r="I465">
            <v>15.36</v>
          </cell>
        </row>
        <row r="466">
          <cell r="C466" t="str">
            <v>E334</v>
          </cell>
          <cell r="D466" t="str">
            <v>Seladora de Juntas : Crafco : EZ100</v>
          </cell>
          <cell r="E466" t="str">
            <v>h</v>
          </cell>
          <cell r="F466">
            <v>31.46</v>
          </cell>
          <cell r="G466">
            <v>15.36</v>
          </cell>
          <cell r="H466">
            <v>31.46</v>
          </cell>
          <cell r="I466">
            <v>15.36</v>
          </cell>
        </row>
        <row r="467">
          <cell r="C467" t="str">
            <v>E335</v>
          </cell>
          <cell r="D467" t="str">
            <v>Central de Concreto : CIBI : UNI-5 - 180m3 / h - dosadora e misturadora.</v>
          </cell>
          <cell r="E467" t="str">
            <v>h</v>
          </cell>
          <cell r="F467">
            <v>366.87</v>
          </cell>
          <cell r="G467">
            <v>23.67</v>
          </cell>
          <cell r="H467">
            <v>366.87</v>
          </cell>
          <cell r="I467">
            <v>23.67</v>
          </cell>
        </row>
        <row r="468">
          <cell r="C468" t="str">
            <v>E336</v>
          </cell>
          <cell r="D468" t="str">
            <v>Serra de Disco Diamantado : CSM - Maq. e Equip. para Construção : SP-8 (gasolina) - serra para cortar piso/asfalto</v>
          </cell>
          <cell r="E468" t="str">
            <v>h</v>
          </cell>
          <cell r="F468">
            <v>4.5999999999999996</v>
          </cell>
          <cell r="G468">
            <v>0</v>
          </cell>
          <cell r="H468">
            <v>4.5999999999999996</v>
          </cell>
          <cell r="I468">
            <v>0</v>
          </cell>
        </row>
        <row r="469">
          <cell r="C469" t="str">
            <v>E337</v>
          </cell>
          <cell r="D469" t="str">
            <v>Régua vibratória : Wacker : CRV 4 - 4,25m</v>
          </cell>
          <cell r="E469" t="str">
            <v>h</v>
          </cell>
          <cell r="F469">
            <v>18.010000000000002</v>
          </cell>
          <cell r="G469">
            <v>15.36</v>
          </cell>
          <cell r="H469">
            <v>18.010000000000002</v>
          </cell>
          <cell r="I469">
            <v>15.36</v>
          </cell>
        </row>
        <row r="470">
          <cell r="C470" t="str">
            <v>E338</v>
          </cell>
          <cell r="D470" t="str">
            <v>Serra de Juntas : Clipper : C-844 - para concreto</v>
          </cell>
          <cell r="E470" t="str">
            <v>h</v>
          </cell>
          <cell r="F470">
            <v>23.69</v>
          </cell>
          <cell r="G470">
            <v>15.36</v>
          </cell>
          <cell r="H470">
            <v>23.69</v>
          </cell>
          <cell r="I470">
            <v>15.36</v>
          </cell>
        </row>
        <row r="471">
          <cell r="C471" t="str">
            <v>E339</v>
          </cell>
          <cell r="D471" t="str">
            <v>Fábric. Pré-Moldado Concreto : Servimaq : - placas p/ pavimento</v>
          </cell>
          <cell r="E471" t="str">
            <v>h</v>
          </cell>
          <cell r="F471">
            <v>3.18</v>
          </cell>
          <cell r="G471">
            <v>0</v>
          </cell>
          <cell r="H471">
            <v>3.18</v>
          </cell>
          <cell r="I471">
            <v>0</v>
          </cell>
        </row>
        <row r="472">
          <cell r="C472" t="str">
            <v>E340</v>
          </cell>
          <cell r="D472" t="str">
            <v>Jateadora de Areia : Anco : KI-2460 – pressurizado</v>
          </cell>
          <cell r="E472" t="str">
            <v>h</v>
          </cell>
          <cell r="F472">
            <v>18.690000000000001</v>
          </cell>
          <cell r="G472">
            <v>15.36</v>
          </cell>
          <cell r="H472">
            <v>18.690000000000001</v>
          </cell>
          <cell r="I472">
            <v>15.36</v>
          </cell>
        </row>
        <row r="473">
          <cell r="C473" t="str">
            <v>E343</v>
          </cell>
          <cell r="D473" t="str">
            <v>Betoneira : Alfa : - 580 l</v>
          </cell>
          <cell r="E473" t="str">
            <v>h</v>
          </cell>
          <cell r="F473">
            <v>27.03</v>
          </cell>
          <cell r="G473">
            <v>17.27</v>
          </cell>
          <cell r="H473">
            <v>27.03</v>
          </cell>
          <cell r="I473">
            <v>17.27</v>
          </cell>
        </row>
        <row r="474">
          <cell r="C474" t="str">
            <v>E400</v>
          </cell>
          <cell r="D474" t="str">
            <v>(*) Caminhão Basculante : Mercedes Benz : ATEGO 1518/36  -  5 m3 - 8,8 t</v>
          </cell>
          <cell r="E474" t="str">
            <v>h</v>
          </cell>
          <cell r="F474">
            <v>93.02</v>
          </cell>
          <cell r="G474">
            <v>20.47</v>
          </cell>
          <cell r="H474">
            <v>93.02</v>
          </cell>
          <cell r="I474">
            <v>20.47</v>
          </cell>
        </row>
        <row r="475">
          <cell r="C475" t="str">
            <v>E402</v>
          </cell>
          <cell r="D475" t="str">
            <v>(*) Caminhão Carroceria : Mercedes Benz : 2423K -  de madeira 15 t</v>
          </cell>
          <cell r="E475" t="str">
            <v>h</v>
          </cell>
          <cell r="F475">
            <v>117.18</v>
          </cell>
          <cell r="G475">
            <v>20.47</v>
          </cell>
          <cell r="H475">
            <v>117.18</v>
          </cell>
          <cell r="I475">
            <v>20.47</v>
          </cell>
        </row>
        <row r="476">
          <cell r="C476" t="str">
            <v>E403</v>
          </cell>
          <cell r="D476" t="str">
            <v>(*) Caminhão Basculante : Mercedes Benz : LK 1620 -  6 m3 - 10,5 t</v>
          </cell>
          <cell r="E476" t="str">
            <v>h</v>
          </cell>
          <cell r="F476">
            <v>104.52</v>
          </cell>
          <cell r="G476">
            <v>20.47</v>
          </cell>
          <cell r="H476">
            <v>104.52</v>
          </cell>
          <cell r="I476">
            <v>20.47</v>
          </cell>
        </row>
        <row r="477">
          <cell r="C477" t="str">
            <v>E404</v>
          </cell>
          <cell r="D477" t="str">
            <v>(*) Caminhão Basculante : Mercedes Benz : 2423K -  10 m3 - 15 t</v>
          </cell>
          <cell r="E477" t="str">
            <v>h</v>
          </cell>
          <cell r="F477">
            <v>121.69</v>
          </cell>
          <cell r="G477">
            <v>20.47</v>
          </cell>
          <cell r="H477">
            <v>121.69</v>
          </cell>
          <cell r="I477">
            <v>20.47</v>
          </cell>
        </row>
        <row r="478">
          <cell r="C478" t="str">
            <v>E405</v>
          </cell>
          <cell r="D478" t="str">
            <v>Caminhão Basculante : Mercedes Benz : 2423 K - p/ rocha 8 m3 - 13 t</v>
          </cell>
          <cell r="E478" t="str">
            <v>h</v>
          </cell>
          <cell r="F478">
            <v>128.63</v>
          </cell>
          <cell r="G478">
            <v>20.47</v>
          </cell>
          <cell r="H478">
            <v>128.63</v>
          </cell>
          <cell r="I478">
            <v>20.47</v>
          </cell>
        </row>
        <row r="479">
          <cell r="C479" t="str">
            <v>E406</v>
          </cell>
          <cell r="D479" t="str">
            <v xml:space="preserve">(*) Caminhão Tanque : Mercedes Benz : ATEGO 1418/42 -  6.000 l </v>
          </cell>
          <cell r="E479" t="str">
            <v>h</v>
          </cell>
          <cell r="F479">
            <v>85.61</v>
          </cell>
          <cell r="G479">
            <v>20.47</v>
          </cell>
          <cell r="H479">
            <v>85.61</v>
          </cell>
          <cell r="I479">
            <v>20.47</v>
          </cell>
        </row>
        <row r="480">
          <cell r="C480" t="str">
            <v>E407</v>
          </cell>
          <cell r="D480" t="str">
            <v xml:space="preserve">(*) Caminhão Tanque : Mercedes Benz : 2423K -  10.000 l </v>
          </cell>
          <cell r="E480" t="str">
            <v>h</v>
          </cell>
          <cell r="F480">
            <v>120.08</v>
          </cell>
          <cell r="G480">
            <v>20.47</v>
          </cell>
          <cell r="H480">
            <v>120.08</v>
          </cell>
          <cell r="I480">
            <v>20.47</v>
          </cell>
        </row>
        <row r="481">
          <cell r="C481" t="str">
            <v>E408</v>
          </cell>
          <cell r="D481" t="str">
            <v>(*) Caminhão Carroceria : Mercedes Benz : 710 / 37 -  fixa 4t</v>
          </cell>
          <cell r="E481" t="str">
            <v>h</v>
          </cell>
          <cell r="F481">
            <v>60.81</v>
          </cell>
          <cell r="G481">
            <v>20.47</v>
          </cell>
          <cell r="H481">
            <v>60.81</v>
          </cell>
          <cell r="I481">
            <v>20.47</v>
          </cell>
        </row>
        <row r="482">
          <cell r="C482" t="str">
            <v>E409</v>
          </cell>
          <cell r="D482" t="str">
            <v>(*) Caminhão Carroceria : Mercedes Benz: ATEGO 1418/42 -  fixa 9 t</v>
          </cell>
          <cell r="E482" t="str">
            <v>h</v>
          </cell>
          <cell r="F482">
            <v>83.27</v>
          </cell>
          <cell r="G482">
            <v>20.47</v>
          </cell>
          <cell r="H482">
            <v>83.27</v>
          </cell>
          <cell r="I482">
            <v>20.47</v>
          </cell>
        </row>
        <row r="483">
          <cell r="C483" t="str">
            <v>E410</v>
          </cell>
          <cell r="D483" t="str">
            <v>Caminhão Basculante : Mercedes Benz : 1215 C - 4 m3 - 7,1 t</v>
          </cell>
          <cell r="E483" t="str">
            <v>h</v>
          </cell>
          <cell r="F483">
            <v>84.95</v>
          </cell>
          <cell r="G483">
            <v>20.47</v>
          </cell>
          <cell r="H483">
            <v>84.95</v>
          </cell>
          <cell r="I483">
            <v>20.47</v>
          </cell>
        </row>
        <row r="484">
          <cell r="C484" t="str">
            <v>E411</v>
          </cell>
          <cell r="D484" t="str">
            <v>Cavalo Mecânico com Reboque (170kW)</v>
          </cell>
          <cell r="E484" t="str">
            <v>h</v>
          </cell>
          <cell r="F484">
            <v>155.28</v>
          </cell>
          <cell r="G484">
            <v>21.75</v>
          </cell>
          <cell r="H484">
            <v>155.28</v>
          </cell>
          <cell r="I484">
            <v>21.75</v>
          </cell>
        </row>
        <row r="485">
          <cell r="C485" t="str">
            <v>E412</v>
          </cell>
          <cell r="D485" t="str">
            <v>Veículo Leve : Volkswagen : GOL 1000 - automóvel até 100 hp</v>
          </cell>
          <cell r="E485" t="str">
            <v>h</v>
          </cell>
          <cell r="F485">
            <v>51.33</v>
          </cell>
          <cell r="G485">
            <v>18.55</v>
          </cell>
          <cell r="H485">
            <v>51.33</v>
          </cell>
          <cell r="I485">
            <v>18.55</v>
          </cell>
        </row>
        <row r="486">
          <cell r="C486" t="str">
            <v>E416</v>
          </cell>
          <cell r="D486" t="str">
            <v>Veículo Leve : Chevrolet : S10 - pick up (4X4)</v>
          </cell>
          <cell r="E486" t="str">
            <v>h</v>
          </cell>
          <cell r="F486">
            <v>60.22</v>
          </cell>
          <cell r="G486">
            <v>18.55</v>
          </cell>
          <cell r="H486">
            <v>60.22</v>
          </cell>
          <cell r="I486">
            <v>18.55</v>
          </cell>
        </row>
        <row r="487">
          <cell r="C487" t="str">
            <v>E421</v>
          </cell>
          <cell r="D487" t="str">
            <v>Caminhão Tanque - 13.000 l (170 kW)</v>
          </cell>
          <cell r="E487" t="str">
            <v>h</v>
          </cell>
          <cell r="F487">
            <v>119.97</v>
          </cell>
          <cell r="G487">
            <v>20.47</v>
          </cell>
          <cell r="H487">
            <v>119.97</v>
          </cell>
          <cell r="I487">
            <v>20.47</v>
          </cell>
        </row>
        <row r="488">
          <cell r="C488" t="str">
            <v>E422</v>
          </cell>
          <cell r="D488" t="str">
            <v>Caminhão Tanque : Mercedes Benz : L1620/51 - 8.000 l</v>
          </cell>
          <cell r="E488" t="str">
            <v>h</v>
          </cell>
          <cell r="F488">
            <v>85.92</v>
          </cell>
          <cell r="G488">
            <v>20.47</v>
          </cell>
          <cell r="H488">
            <v>85.92</v>
          </cell>
          <cell r="I488">
            <v>20.47</v>
          </cell>
        </row>
        <row r="489">
          <cell r="C489" t="str">
            <v>E427</v>
          </cell>
          <cell r="D489" t="str">
            <v>Caminhão Betoneira : Volkswagen : 17-220 - 11,5 t 5m3</v>
          </cell>
          <cell r="E489" t="str">
            <v>h</v>
          </cell>
          <cell r="F489">
            <v>135.97999999999999</v>
          </cell>
          <cell r="G489">
            <v>20.47</v>
          </cell>
          <cell r="H489">
            <v>135.97999999999999</v>
          </cell>
          <cell r="I489">
            <v>20.47</v>
          </cell>
        </row>
        <row r="490">
          <cell r="C490" t="str">
            <v>E432</v>
          </cell>
          <cell r="D490" t="str">
            <v>(*) Caminhão Basculante : Volvo BM : FM 12 6X4 -  20 t</v>
          </cell>
          <cell r="E490" t="str">
            <v>h</v>
          </cell>
          <cell r="F490">
            <v>177.57</v>
          </cell>
          <cell r="G490">
            <v>20.47</v>
          </cell>
          <cell r="H490">
            <v>177.57</v>
          </cell>
          <cell r="I490">
            <v>20.47</v>
          </cell>
        </row>
        <row r="491">
          <cell r="C491" t="str">
            <v>E433</v>
          </cell>
          <cell r="D491" t="str">
            <v>(*) Caminhão Basculante : Volvo BM : NL-10-320  6x4 -  para rocha  18 t</v>
          </cell>
          <cell r="E491" t="str">
            <v>h</v>
          </cell>
          <cell r="F491">
            <v>186.3</v>
          </cell>
          <cell r="G491">
            <v>20.47</v>
          </cell>
          <cell r="H491">
            <v>186.3</v>
          </cell>
          <cell r="I491">
            <v>20.47</v>
          </cell>
        </row>
        <row r="492">
          <cell r="C492" t="str">
            <v>E434</v>
          </cell>
          <cell r="D492" t="str">
            <v>(*) Caminhão Carroceria : Mercedes Benz : L 1620/51 - c/ guindauto 6 t x m</v>
          </cell>
          <cell r="E492" t="str">
            <v>h</v>
          </cell>
          <cell r="F492">
            <v>94.47</v>
          </cell>
          <cell r="G492">
            <v>20.47</v>
          </cell>
          <cell r="H492">
            <v>94.47</v>
          </cell>
          <cell r="I492">
            <v>20.47</v>
          </cell>
        </row>
        <row r="493">
          <cell r="C493" t="str">
            <v>E501</v>
          </cell>
          <cell r="D493" t="str">
            <v>Grupo Gerador : Heimer : GEHM-40 - 36/40 KVA</v>
          </cell>
          <cell r="E493" t="str">
            <v>h</v>
          </cell>
          <cell r="F493">
            <v>34.1</v>
          </cell>
          <cell r="G493">
            <v>17.27</v>
          </cell>
          <cell r="H493">
            <v>34.1</v>
          </cell>
          <cell r="I493">
            <v>17.27</v>
          </cell>
        </row>
        <row r="494">
          <cell r="C494" t="str">
            <v>E502</v>
          </cell>
          <cell r="D494" t="str">
            <v>Grupo Gerador : Heimer : GEHM-150 - 136 / 150 KVA</v>
          </cell>
          <cell r="E494" t="str">
            <v>h</v>
          </cell>
          <cell r="F494">
            <v>74.709999999999994</v>
          </cell>
          <cell r="G494">
            <v>17.27</v>
          </cell>
          <cell r="H494">
            <v>74.709999999999994</v>
          </cell>
          <cell r="I494">
            <v>17.27</v>
          </cell>
        </row>
        <row r="495">
          <cell r="C495" t="str">
            <v>E503</v>
          </cell>
          <cell r="D495" t="str">
            <v>Grupo Gerador : Heimer : GEHM-180 - 164 / 180 KVA</v>
          </cell>
          <cell r="E495" t="str">
            <v>h</v>
          </cell>
          <cell r="F495">
            <v>87.13</v>
          </cell>
          <cell r="G495">
            <v>17.27</v>
          </cell>
          <cell r="H495">
            <v>87.13</v>
          </cell>
          <cell r="I495">
            <v>17.27</v>
          </cell>
        </row>
        <row r="496">
          <cell r="C496" t="str">
            <v>E504</v>
          </cell>
          <cell r="D496" t="str">
            <v xml:space="preserve">Grupo Gerador : Heimer : GEHMB-360 - 288 KVA </v>
          </cell>
          <cell r="E496" t="str">
            <v>h</v>
          </cell>
          <cell r="F496">
            <v>124.91</v>
          </cell>
          <cell r="G496">
            <v>17.27</v>
          </cell>
          <cell r="H496">
            <v>124.91</v>
          </cell>
          <cell r="I496">
            <v>17.27</v>
          </cell>
        </row>
        <row r="497">
          <cell r="C497" t="str">
            <v>E505</v>
          </cell>
          <cell r="D497" t="str">
            <v>Grupo Gerador : Heimer : GEHB-17 KVA - 17,0 / 15,5 KVA</v>
          </cell>
          <cell r="E497" t="str">
            <v>h</v>
          </cell>
          <cell r="F497">
            <v>25.64</v>
          </cell>
          <cell r="G497">
            <v>17.27</v>
          </cell>
          <cell r="H497">
            <v>25.64</v>
          </cell>
          <cell r="I497">
            <v>17.27</v>
          </cell>
        </row>
        <row r="498">
          <cell r="C498" t="str">
            <v>E507</v>
          </cell>
          <cell r="D498" t="str">
            <v>Grupo Gerador : Heimer : GEHP-110 - 100 / 110 KVA</v>
          </cell>
          <cell r="E498" t="str">
            <v>h</v>
          </cell>
          <cell r="F498">
            <v>60.04</v>
          </cell>
          <cell r="G498">
            <v>17.27</v>
          </cell>
          <cell r="H498">
            <v>60.04</v>
          </cell>
          <cell r="I498">
            <v>17.27</v>
          </cell>
        </row>
        <row r="499">
          <cell r="C499" t="str">
            <v>E508</v>
          </cell>
          <cell r="D499" t="str">
            <v>Grupo Gerador : Pramac : BL 6500 E - Manual/elétrico</v>
          </cell>
          <cell r="E499" t="str">
            <v>h</v>
          </cell>
          <cell r="F499">
            <v>23.35</v>
          </cell>
          <cell r="G499">
            <v>17.27</v>
          </cell>
          <cell r="H499">
            <v>23.35</v>
          </cell>
          <cell r="I499">
            <v>17.27</v>
          </cell>
        </row>
        <row r="500">
          <cell r="C500" t="str">
            <v>E509</v>
          </cell>
          <cell r="D500" t="str">
            <v>Grupo Gerador : Heimer : GEHMI-40 - 32,0  KVA</v>
          </cell>
          <cell r="E500" t="str">
            <v>h</v>
          </cell>
          <cell r="F500">
            <v>32.17</v>
          </cell>
          <cell r="G500">
            <v>17.27</v>
          </cell>
          <cell r="H500">
            <v>32.17</v>
          </cell>
          <cell r="I500">
            <v>17.27</v>
          </cell>
        </row>
        <row r="501">
          <cell r="C501" t="str">
            <v>E601</v>
          </cell>
          <cell r="D501" t="str">
            <v>Roçadeira : M. Ferguson / Marchesan : - em trator de pneus</v>
          </cell>
          <cell r="E501" t="str">
            <v>h</v>
          </cell>
          <cell r="F501">
            <v>65.59</v>
          </cell>
          <cell r="G501">
            <v>17.27</v>
          </cell>
          <cell r="H501">
            <v>65.59</v>
          </cell>
          <cell r="I501">
            <v>17.27</v>
          </cell>
        </row>
        <row r="502">
          <cell r="C502" t="str">
            <v>E602</v>
          </cell>
          <cell r="D502" t="str">
            <v>Roçadeira : Yanmar : XTA-TC145 - em micro trator</v>
          </cell>
          <cell r="E502" t="str">
            <v>h</v>
          </cell>
          <cell r="F502">
            <v>29.67</v>
          </cell>
          <cell r="G502">
            <v>17.27</v>
          </cell>
          <cell r="H502">
            <v>29.67</v>
          </cell>
          <cell r="I502">
            <v>17.27</v>
          </cell>
        </row>
        <row r="503">
          <cell r="C503" t="str">
            <v>E603</v>
          </cell>
          <cell r="D503" t="str">
            <v>Roçadeira : Stihl : FS-220 - mecânica (costal)</v>
          </cell>
          <cell r="E503" t="str">
            <v>h</v>
          </cell>
          <cell r="F503">
            <v>19.059999999999999</v>
          </cell>
          <cell r="G503">
            <v>15.36</v>
          </cell>
          <cell r="H503">
            <v>19.059999999999999</v>
          </cell>
          <cell r="I503">
            <v>15.36</v>
          </cell>
        </row>
        <row r="504">
          <cell r="C504" t="str">
            <v>E901</v>
          </cell>
          <cell r="D504" t="str">
            <v>Campânula de Ar Comprimido : Bhemel : - 3 m3</v>
          </cell>
          <cell r="E504" t="str">
            <v>h</v>
          </cell>
          <cell r="F504">
            <v>8.5500000000000007</v>
          </cell>
          <cell r="G504">
            <v>0</v>
          </cell>
          <cell r="H504">
            <v>8.5500000000000007</v>
          </cell>
          <cell r="I504">
            <v>0</v>
          </cell>
        </row>
        <row r="505">
          <cell r="C505" t="str">
            <v>E902</v>
          </cell>
          <cell r="D505" t="str">
            <v>Bate-Estacas : Magam : IM-750 PM - de gravidade p/ 600 a 800 kg</v>
          </cell>
          <cell r="E505" t="str">
            <v>h</v>
          </cell>
          <cell r="F505">
            <v>26.13</v>
          </cell>
          <cell r="G505">
            <v>12.91</v>
          </cell>
          <cell r="H505">
            <v>26.13</v>
          </cell>
          <cell r="I505">
            <v>12.91</v>
          </cell>
        </row>
        <row r="506">
          <cell r="C506" t="str">
            <v>E903</v>
          </cell>
          <cell r="D506" t="str">
            <v>Bate-Estacas : Magam : IM -1450 PM/E - de gravidade p/ 3.500 a 4000 kg</v>
          </cell>
          <cell r="E506" t="str">
            <v>h</v>
          </cell>
          <cell r="F506">
            <v>118.74</v>
          </cell>
          <cell r="G506">
            <v>17.27</v>
          </cell>
          <cell r="H506">
            <v>118.74</v>
          </cell>
          <cell r="I506">
            <v>17.27</v>
          </cell>
        </row>
        <row r="507">
          <cell r="C507" t="str">
            <v>E904</v>
          </cell>
          <cell r="D507" t="str">
            <v>Máquina de Bancada - serra circular de 12" (4 kW)</v>
          </cell>
          <cell r="E507" t="str">
            <v>h</v>
          </cell>
          <cell r="F507">
            <v>1.97</v>
          </cell>
          <cell r="G507">
            <v>0</v>
          </cell>
          <cell r="H507">
            <v>1.97</v>
          </cell>
          <cell r="I507">
            <v>0</v>
          </cell>
        </row>
        <row r="508">
          <cell r="C508" t="str">
            <v>E905</v>
          </cell>
          <cell r="D508" t="str">
            <v>Máquina Manual : Tirfor : TU-L 30 - talha guincho para 3 t</v>
          </cell>
          <cell r="E508" t="str">
            <v>h</v>
          </cell>
          <cell r="F508">
            <v>0.28000000000000003</v>
          </cell>
          <cell r="G508">
            <v>0</v>
          </cell>
          <cell r="H508">
            <v>0.28000000000000003</v>
          </cell>
          <cell r="I508">
            <v>0</v>
          </cell>
        </row>
        <row r="509">
          <cell r="C509" t="str">
            <v>E906</v>
          </cell>
          <cell r="D509" t="str">
            <v xml:space="preserve"> Compactador Manual : Wacker : ES600 -  soquete vibratório </v>
          </cell>
          <cell r="E509" t="str">
            <v>h</v>
          </cell>
          <cell r="F509">
            <v>17.59</v>
          </cell>
          <cell r="G509">
            <v>15.36</v>
          </cell>
          <cell r="H509">
            <v>17.59</v>
          </cell>
          <cell r="I509">
            <v>15.36</v>
          </cell>
        </row>
        <row r="510">
          <cell r="C510" t="str">
            <v>E907</v>
          </cell>
          <cell r="D510" t="str">
            <v>Conjunto Moto-Bomba : Hero : 180-SH-75 - com motor</v>
          </cell>
          <cell r="E510" t="str">
            <v>h</v>
          </cell>
          <cell r="F510">
            <v>12.62</v>
          </cell>
          <cell r="G510">
            <v>0</v>
          </cell>
          <cell r="H510">
            <v>12.62</v>
          </cell>
          <cell r="I510">
            <v>0</v>
          </cell>
        </row>
        <row r="511">
          <cell r="C511" t="str">
            <v>E908</v>
          </cell>
          <cell r="D511" t="str">
            <v>Máquina para Pintura : Consmaq : 44 - demarcação de faixas autoprop.</v>
          </cell>
          <cell r="E511" t="str">
            <v>h</v>
          </cell>
          <cell r="F511">
            <v>81.239999999999995</v>
          </cell>
          <cell r="G511">
            <v>23.67</v>
          </cell>
          <cell r="H511">
            <v>81.239999999999995</v>
          </cell>
          <cell r="I511">
            <v>23.67</v>
          </cell>
        </row>
        <row r="512">
          <cell r="C512" t="str">
            <v>E909</v>
          </cell>
          <cell r="D512" t="str">
            <v>(*)Equip. para Hidrosemeadura : M. Benz/Consmaq : 1420 - 5500 l</v>
          </cell>
          <cell r="E512" t="str">
            <v>h</v>
          </cell>
          <cell r="F512">
            <v>125.69</v>
          </cell>
          <cell r="G512">
            <v>20.47</v>
          </cell>
          <cell r="H512">
            <v>125.69</v>
          </cell>
          <cell r="I512">
            <v>20.47</v>
          </cell>
        </row>
        <row r="513">
          <cell r="C513" t="str">
            <v>E910</v>
          </cell>
          <cell r="D513" t="str">
            <v>Máquina Manual : Bosch : 1361 - esmerilhadeira de disco</v>
          </cell>
          <cell r="E513" t="str">
            <v>h</v>
          </cell>
          <cell r="F513">
            <v>0.1</v>
          </cell>
          <cell r="G513">
            <v>0</v>
          </cell>
          <cell r="H513">
            <v>0.1</v>
          </cell>
          <cell r="I513">
            <v>0</v>
          </cell>
        </row>
        <row r="514">
          <cell r="C514" t="str">
            <v>E911</v>
          </cell>
          <cell r="D514" t="str">
            <v>Tripé-Sonda : Maquesonda : MACH 850 - Tripé-Sonda com motor</v>
          </cell>
          <cell r="E514" t="str">
            <v>h</v>
          </cell>
          <cell r="F514">
            <v>24.48</v>
          </cell>
          <cell r="G514">
            <v>0</v>
          </cell>
          <cell r="H514">
            <v>24.48</v>
          </cell>
          <cell r="I514">
            <v>0</v>
          </cell>
        </row>
        <row r="515">
          <cell r="C515" t="str">
            <v>E912</v>
          </cell>
          <cell r="D515" t="str">
            <v>Máquina Manual : Bosch : 1184 - furadeira elétrica de Impacto</v>
          </cell>
          <cell r="E515" t="str">
            <v>h</v>
          </cell>
          <cell r="F515">
            <v>0.49</v>
          </cell>
          <cell r="G515">
            <v>0</v>
          </cell>
          <cell r="H515">
            <v>0.49</v>
          </cell>
          <cell r="I515">
            <v>0</v>
          </cell>
        </row>
        <row r="516">
          <cell r="C516" t="str">
            <v>E914</v>
          </cell>
          <cell r="D516" t="str">
            <v>Compactador Manual : Wacker : VPY-1750 – placa vibratória c/ motor</v>
          </cell>
          <cell r="E516" t="str">
            <v>h</v>
          </cell>
          <cell r="F516">
            <v>17.11</v>
          </cell>
          <cell r="G516">
            <v>15.36</v>
          </cell>
          <cell r="H516">
            <v>17.11</v>
          </cell>
          <cell r="I516">
            <v>15.36</v>
          </cell>
        </row>
        <row r="517">
          <cell r="C517" t="str">
            <v>E915</v>
          </cell>
          <cell r="D517" t="str">
            <v>Vassoura Mecânica : M. Benz/Consmaq : - equip. varred. aspirad.</v>
          </cell>
          <cell r="E517" t="str">
            <v>h</v>
          </cell>
          <cell r="F517">
            <v>81.790000000000006</v>
          </cell>
          <cell r="G517">
            <v>20.47</v>
          </cell>
          <cell r="H517">
            <v>81.790000000000006</v>
          </cell>
          <cell r="I517">
            <v>20.47</v>
          </cell>
        </row>
        <row r="518">
          <cell r="C518" t="str">
            <v>E916</v>
          </cell>
          <cell r="D518" t="str">
            <v xml:space="preserve">Máquina Manual : Stihl : - moto serra nº 8 </v>
          </cell>
          <cell r="E518" t="str">
            <v>h</v>
          </cell>
          <cell r="F518">
            <v>21.71</v>
          </cell>
          <cell r="G518">
            <v>15.36</v>
          </cell>
          <cell r="H518">
            <v>21.71</v>
          </cell>
          <cell r="I518">
            <v>15.36</v>
          </cell>
        </row>
        <row r="519">
          <cell r="C519" t="str">
            <v>E917</v>
          </cell>
          <cell r="D519" t="str">
            <v xml:space="preserve">Máquina de Bancada : Franho :  -  C-6A universal de corte p/ chapa </v>
          </cell>
          <cell r="E519" t="str">
            <v>h</v>
          </cell>
          <cell r="F519">
            <v>19.98</v>
          </cell>
          <cell r="G519">
            <v>15.36</v>
          </cell>
          <cell r="H519">
            <v>19.98</v>
          </cell>
          <cell r="I519">
            <v>15.36</v>
          </cell>
        </row>
        <row r="520">
          <cell r="C520" t="str">
            <v>E918</v>
          </cell>
          <cell r="D520" t="str">
            <v xml:space="preserve"> Máquina de Bancada : Harlo : VF-8 -  prensa excêntrica </v>
          </cell>
          <cell r="E520" t="str">
            <v>h</v>
          </cell>
          <cell r="F520">
            <v>3.54</v>
          </cell>
          <cell r="G520">
            <v>0</v>
          </cell>
          <cell r="H520">
            <v>3.54</v>
          </cell>
          <cell r="I520">
            <v>0</v>
          </cell>
        </row>
        <row r="521">
          <cell r="C521" t="str">
            <v>E919</v>
          </cell>
          <cell r="D521" t="str">
            <v xml:space="preserve"> Máquina de Bancada : Newton : GMN 1202 -  guilhotina   8 t </v>
          </cell>
          <cell r="E521" t="str">
            <v>h</v>
          </cell>
          <cell r="F521">
            <v>5.45</v>
          </cell>
          <cell r="G521">
            <v>0</v>
          </cell>
          <cell r="H521">
            <v>5.45</v>
          </cell>
          <cell r="I521">
            <v>0</v>
          </cell>
        </row>
        <row r="522">
          <cell r="C522" t="str">
            <v>E920</v>
          </cell>
          <cell r="D522" t="str">
            <v>Máquina para Pintura : Consmaq : FX45-HSP - de faixa a quente p/ mat. termop.</v>
          </cell>
          <cell r="E522" t="str">
            <v>h</v>
          </cell>
          <cell r="F522">
            <v>85.19</v>
          </cell>
          <cell r="G522">
            <v>23.67</v>
          </cell>
          <cell r="H522">
            <v>85.19</v>
          </cell>
          <cell r="I522">
            <v>23.67</v>
          </cell>
        </row>
        <row r="523">
          <cell r="C523" t="str">
            <v>E921</v>
          </cell>
          <cell r="D523" t="str">
            <v>Fusor : Consmaq : - 600 l</v>
          </cell>
          <cell r="E523" t="str">
            <v>h</v>
          </cell>
          <cell r="F523">
            <v>29.6</v>
          </cell>
          <cell r="G523">
            <v>0</v>
          </cell>
          <cell r="H523">
            <v>29.6</v>
          </cell>
          <cell r="I523">
            <v>0</v>
          </cell>
        </row>
        <row r="524">
          <cell r="C524" t="str">
            <v>E922</v>
          </cell>
          <cell r="D524" t="str">
            <v xml:space="preserve">Martelete : Bosch :  -  perfurador/ rompedor elétrico 11316 </v>
          </cell>
          <cell r="E524" t="str">
            <v>h</v>
          </cell>
          <cell r="F524">
            <v>16.28</v>
          </cell>
          <cell r="G524">
            <v>15.36</v>
          </cell>
          <cell r="H524">
            <v>16.28</v>
          </cell>
          <cell r="I524">
            <v>15.36</v>
          </cell>
        </row>
        <row r="525">
          <cell r="C525" t="str">
            <v>E923</v>
          </cell>
          <cell r="D525" t="str">
            <v>Máquina Manual : Bosch : - lixadeira 1353-7"</v>
          </cell>
          <cell r="E525" t="str">
            <v>h</v>
          </cell>
          <cell r="F525">
            <v>1.07</v>
          </cell>
          <cell r="G525">
            <v>0</v>
          </cell>
          <cell r="H525">
            <v>1.07</v>
          </cell>
          <cell r="I525">
            <v>0</v>
          </cell>
        </row>
        <row r="526">
          <cell r="C526" t="str">
            <v>E924</v>
          </cell>
          <cell r="D526" t="str">
            <v>Equip. para Solda : Max Bantam : 2000 – transformador solda elétr. 250 amp</v>
          </cell>
          <cell r="E526" t="str">
            <v>h</v>
          </cell>
          <cell r="F526">
            <v>3.41</v>
          </cell>
          <cell r="G526">
            <v>0</v>
          </cell>
          <cell r="H526">
            <v>3.41</v>
          </cell>
          <cell r="I526">
            <v>0</v>
          </cell>
        </row>
        <row r="527">
          <cell r="C527" t="str">
            <v>E925</v>
          </cell>
          <cell r="D527" t="str">
            <v>Aplicador de Material Termoplástico : Elgimaq : - por extrusão</v>
          </cell>
          <cell r="E527" t="str">
            <v>h</v>
          </cell>
          <cell r="F527">
            <v>21.66</v>
          </cell>
          <cell r="G527">
            <v>0</v>
          </cell>
          <cell r="H527">
            <v>21.66</v>
          </cell>
          <cell r="I527">
            <v>0</v>
          </cell>
        </row>
        <row r="528">
          <cell r="C528" t="str">
            <v>E926</v>
          </cell>
          <cell r="D528" t="str">
            <v xml:space="preserve">Teodolito </v>
          </cell>
          <cell r="E528" t="str">
            <v>h</v>
          </cell>
          <cell r="F528">
            <v>10.92</v>
          </cell>
          <cell r="G528">
            <v>0</v>
          </cell>
          <cell r="H528">
            <v>10.92</v>
          </cell>
          <cell r="I528">
            <v>0</v>
          </cell>
        </row>
        <row r="529">
          <cell r="C529" t="str">
            <v>E927</v>
          </cell>
          <cell r="D529" t="str">
            <v>Nível</v>
          </cell>
          <cell r="E529" t="str">
            <v>h</v>
          </cell>
          <cell r="F529">
            <v>4.87</v>
          </cell>
          <cell r="G529">
            <v>0</v>
          </cell>
          <cell r="H529">
            <v>4.87</v>
          </cell>
          <cell r="I529">
            <v>0</v>
          </cell>
        </row>
        <row r="530">
          <cell r="C530" t="str">
            <v>E928</v>
          </cell>
          <cell r="D530" t="str">
            <v>Conj. Umbrella. mira, balisas, etc.</v>
          </cell>
          <cell r="E530" t="str">
            <v>h</v>
          </cell>
          <cell r="F530">
            <v>1.93</v>
          </cell>
          <cell r="G530">
            <v>0</v>
          </cell>
          <cell r="H530">
            <v>1.93</v>
          </cell>
          <cell r="I530">
            <v>0</v>
          </cell>
        </row>
        <row r="531">
          <cell r="C531" t="str">
            <v>E929</v>
          </cell>
          <cell r="D531" t="str">
            <v>Caminhão Munck</v>
          </cell>
          <cell r="E531" t="str">
            <v>h</v>
          </cell>
          <cell r="F531">
            <v>45</v>
          </cell>
          <cell r="G531">
            <v>0</v>
          </cell>
          <cell r="H531">
            <v>45</v>
          </cell>
          <cell r="I531">
            <v>0</v>
          </cell>
        </row>
        <row r="532">
          <cell r="C532">
            <v>30397</v>
          </cell>
          <cell r="D532" t="str">
            <v>LIEDHERR Cap. 50t</v>
          </cell>
          <cell r="E532" t="str">
            <v>h</v>
          </cell>
          <cell r="F532">
            <v>392</v>
          </cell>
          <cell r="G532">
            <v>0</v>
          </cell>
          <cell r="H532">
            <v>392</v>
          </cell>
          <cell r="I532">
            <v>0</v>
          </cell>
        </row>
        <row r="533">
          <cell r="C533">
            <v>30968</v>
          </cell>
          <cell r="D533" t="str">
            <v>Caminhão prancha.</v>
          </cell>
          <cell r="E533" t="str">
            <v>h</v>
          </cell>
          <cell r="F533">
            <v>90</v>
          </cell>
          <cell r="G533">
            <v>8.98</v>
          </cell>
          <cell r="H533">
            <v>90</v>
          </cell>
          <cell r="I533">
            <v>8.98</v>
          </cell>
        </row>
        <row r="535">
          <cell r="C535" t="str">
            <v>Cód.</v>
          </cell>
          <cell r="D535" t="str">
            <v>SERVIÇOS</v>
          </cell>
          <cell r="E535" t="str">
            <v>Und</v>
          </cell>
          <cell r="F535" t="str">
            <v>Prod.</v>
          </cell>
          <cell r="G535" t="str">
            <v>Improd.</v>
          </cell>
          <cell r="H535" t="str">
            <v>Prod.</v>
          </cell>
          <cell r="I535" t="str">
            <v>Improd.</v>
          </cell>
        </row>
        <row r="536">
          <cell r="C536" t="str">
            <v>1 A 01 603 01</v>
          </cell>
          <cell r="D536" t="str">
            <v>Argamassa cimento-areia 1:3</v>
          </cell>
          <cell r="E536" t="str">
            <v>m³</v>
          </cell>
        </row>
        <row r="537">
          <cell r="C537" t="str">
            <v>1 A 01 155 01</v>
          </cell>
          <cell r="D537" t="str">
            <v>Rachão e pedra-de-mão produzidos - (construção e restauração).</v>
          </cell>
          <cell r="E537" t="str">
            <v>m³</v>
          </cell>
        </row>
      </sheetData>
      <sheetData sheetId="5" refreshError="1">
        <row r="2">
          <cell r="C2" t="str">
            <v>COMPOSIÇÃO AUXILIAR</v>
          </cell>
        </row>
        <row r="9">
          <cell r="C9" t="str">
            <v>ORGÃO:</v>
          </cell>
          <cell r="H9" t="str">
            <v>EDITAL:</v>
          </cell>
        </row>
        <row r="10">
          <cell r="C10" t="str">
            <v>SECRETARIA DE TRANSPORTES - SETRA</v>
          </cell>
          <cell r="H10" t="str">
            <v>CONCORRÊNCIA Nº 063/2012 – CEL</v>
          </cell>
        </row>
        <row r="11">
          <cell r="C11" t="str">
            <v>RODOVIA:</v>
          </cell>
          <cell r="D11" t="str">
            <v>TRECHO:</v>
          </cell>
          <cell r="F11" t="str">
            <v>EXTENSÃO:</v>
          </cell>
          <cell r="H11" t="str">
            <v>DATA:</v>
          </cell>
        </row>
        <row r="12">
          <cell r="C12" t="str">
            <v>PE-310</v>
          </cell>
          <cell r="D12" t="str">
            <v>Entr. BR-232 (Custódia)/Iguaraci</v>
          </cell>
          <cell r="F12">
            <v>34</v>
          </cell>
          <cell r="H12">
            <v>41478</v>
          </cell>
        </row>
        <row r="13">
          <cell r="C13" t="str">
            <v>SERVIÇO:</v>
          </cell>
        </row>
        <row r="14">
          <cell r="C14" t="str">
            <v>Adequação da Implantaçãp e Pavimentação da Rodovia PE-310</v>
          </cell>
        </row>
        <row r="18">
          <cell r="A18" t="str">
            <v>1 A 00 301 00</v>
          </cell>
          <cell r="C18" t="str">
            <v>SERVIÇO:</v>
          </cell>
          <cell r="D18" t="str">
            <v>Fornecimento de Aço CA-25</v>
          </cell>
          <cell r="F18" t="str">
            <v>PRODUÇÃO DA EQUIPE - (C):</v>
          </cell>
          <cell r="J18">
            <v>1</v>
          </cell>
          <cell r="K18" t="str">
            <v>kg</v>
          </cell>
          <cell r="M18">
            <v>2.79</v>
          </cell>
        </row>
        <row r="19">
          <cell r="F19" t="str">
            <v>UNITÁRIO</v>
          </cell>
          <cell r="H19" t="str">
            <v>C. OPERACIONAL</v>
          </cell>
        </row>
        <row r="20">
          <cell r="C20" t="str">
            <v>ÍTEM</v>
          </cell>
          <cell r="D20" t="str">
            <v>E Q U I P A M E N T O</v>
          </cell>
          <cell r="E20" t="str">
            <v>QUANT.</v>
          </cell>
          <cell r="F20" t="str">
            <v>PROD</v>
          </cell>
          <cell r="G20" t="str">
            <v>IMPROD</v>
          </cell>
          <cell r="H20" t="str">
            <v>PROD</v>
          </cell>
          <cell r="I20" t="str">
            <v>IMPROD</v>
          </cell>
          <cell r="J20" t="str">
            <v>CUSTO HORÁRIO</v>
          </cell>
        </row>
        <row r="21">
          <cell r="D21" t="str">
            <v/>
          </cell>
          <cell r="G21" t="str">
            <v/>
          </cell>
          <cell r="H21" t="str">
            <v/>
          </cell>
          <cell r="I21" t="str">
            <v/>
          </cell>
          <cell r="J21" t="str">
            <v/>
          </cell>
        </row>
        <row r="22">
          <cell r="D22" t="str">
            <v/>
          </cell>
          <cell r="G22" t="str">
            <v/>
          </cell>
          <cell r="H22" t="str">
            <v/>
          </cell>
          <cell r="I22" t="str">
            <v/>
          </cell>
          <cell r="J22" t="str">
            <v/>
          </cell>
        </row>
        <row r="23">
          <cell r="D23" t="str">
            <v/>
          </cell>
          <cell r="G23" t="str">
            <v/>
          </cell>
          <cell r="H23" t="str">
            <v/>
          </cell>
          <cell r="I23" t="str">
            <v/>
          </cell>
          <cell r="J23" t="str">
            <v/>
          </cell>
        </row>
        <row r="24">
          <cell r="D24" t="str">
            <v/>
          </cell>
          <cell r="G24" t="str">
            <v/>
          </cell>
          <cell r="H24" t="str">
            <v/>
          </cell>
          <cell r="I24" t="str">
            <v/>
          </cell>
          <cell r="J24" t="str">
            <v/>
          </cell>
        </row>
        <row r="25">
          <cell r="D25" t="str">
            <v/>
          </cell>
          <cell r="G25" t="str">
            <v/>
          </cell>
          <cell r="H25" t="str">
            <v/>
          </cell>
          <cell r="I25" t="str">
            <v/>
          </cell>
          <cell r="J25" t="str">
            <v/>
          </cell>
        </row>
        <row r="26">
          <cell r="D26" t="str">
            <v/>
          </cell>
          <cell r="G26" t="str">
            <v/>
          </cell>
          <cell r="H26" t="str">
            <v/>
          </cell>
          <cell r="I26" t="str">
            <v/>
          </cell>
          <cell r="J26" t="str">
            <v/>
          </cell>
        </row>
        <row r="27">
          <cell r="D27" t="str">
            <v/>
          </cell>
          <cell r="G27" t="str">
            <v/>
          </cell>
          <cell r="H27" t="str">
            <v/>
          </cell>
          <cell r="I27" t="str">
            <v/>
          </cell>
          <cell r="J27" t="str">
            <v/>
          </cell>
        </row>
        <row r="28">
          <cell r="F28" t="str">
            <v>CUSTO HORÁRIO DO EQUIPAMENTO - (A)</v>
          </cell>
          <cell r="J28">
            <v>0</v>
          </cell>
        </row>
        <row r="29">
          <cell r="C29" t="str">
            <v>ÍTEM</v>
          </cell>
          <cell r="D29" t="str">
            <v>M Ã O    D E   O B R A</v>
          </cell>
          <cell r="E29" t="str">
            <v>QUANT.</v>
          </cell>
          <cell r="F29" t="str">
            <v>SALÁRIO HORA</v>
          </cell>
          <cell r="J29" t="str">
            <v>CUSTO HORÁRIO</v>
          </cell>
        </row>
        <row r="30">
          <cell r="D30" t="str">
            <v/>
          </cell>
          <cell r="F30" t="str">
            <v/>
          </cell>
          <cell r="G30" t="str">
            <v/>
          </cell>
          <cell r="H30" t="str">
            <v/>
          </cell>
          <cell r="I30" t="str">
            <v/>
          </cell>
          <cell r="J30" t="str">
            <v/>
          </cell>
        </row>
        <row r="31">
          <cell r="D31" t="str">
            <v/>
          </cell>
          <cell r="F31" t="str">
            <v/>
          </cell>
          <cell r="G31" t="str">
            <v/>
          </cell>
          <cell r="H31" t="str">
            <v/>
          </cell>
          <cell r="I31" t="str">
            <v/>
          </cell>
          <cell r="J31" t="str">
            <v/>
          </cell>
        </row>
        <row r="32">
          <cell r="D32" t="str">
            <v/>
          </cell>
          <cell r="F32" t="str">
            <v/>
          </cell>
          <cell r="G32" t="str">
            <v/>
          </cell>
          <cell r="H32" t="str">
            <v/>
          </cell>
          <cell r="I32" t="str">
            <v/>
          </cell>
          <cell r="J32" t="str">
            <v/>
          </cell>
        </row>
        <row r="33">
          <cell r="D33" t="str">
            <v/>
          </cell>
          <cell r="F33" t="str">
            <v/>
          </cell>
          <cell r="G33" t="str">
            <v/>
          </cell>
          <cell r="H33" t="str">
            <v/>
          </cell>
          <cell r="I33" t="str">
            <v/>
          </cell>
          <cell r="J33" t="str">
            <v/>
          </cell>
        </row>
        <row r="34">
          <cell r="D34" t="str">
            <v/>
          </cell>
          <cell r="F34" t="str">
            <v/>
          </cell>
          <cell r="G34" t="str">
            <v/>
          </cell>
          <cell r="H34" t="str">
            <v/>
          </cell>
          <cell r="I34" t="str">
            <v/>
          </cell>
          <cell r="J34" t="str">
            <v/>
          </cell>
        </row>
        <row r="35">
          <cell r="F35" t="str">
            <v>CUSTO HORÁRIO DE MÃO DE OBRA - (B)</v>
          </cell>
          <cell r="J35">
            <v>0</v>
          </cell>
        </row>
        <row r="36">
          <cell r="F36" t="str">
            <v>FERRAMENTAS</v>
          </cell>
          <cell r="H36">
            <v>0.2051</v>
          </cell>
          <cell r="J36">
            <v>0</v>
          </cell>
        </row>
        <row r="37">
          <cell r="F37" t="str">
            <v>CUSTO HORÁRIO TOTAL - (A + B)</v>
          </cell>
          <cell r="J37">
            <v>0</v>
          </cell>
        </row>
        <row r="38">
          <cell r="F38" t="str">
            <v>CUSTO UNITÁRIO DE EXECUÇÃO - (D)</v>
          </cell>
          <cell r="J38">
            <v>0</v>
          </cell>
        </row>
        <row r="39">
          <cell r="C39" t="str">
            <v>ÍTEM</v>
          </cell>
          <cell r="D39" t="str">
            <v>M A T E R I A L</v>
          </cell>
          <cell r="E39" t="str">
            <v>UNID</v>
          </cell>
          <cell r="F39" t="str">
            <v>CONSUMO</v>
          </cell>
          <cell r="H39" t="str">
            <v xml:space="preserve"> PREÇO UNITÁRIO</v>
          </cell>
          <cell r="J39" t="str">
            <v>CUSTO UNITÁRIO</v>
          </cell>
        </row>
        <row r="40">
          <cell r="C40" t="str">
            <v>AM01</v>
          </cell>
          <cell r="D40" t="str">
            <v>Aço D=4,2 mm CA 25</v>
          </cell>
          <cell r="E40" t="str">
            <v>kg</v>
          </cell>
          <cell r="F40">
            <v>0.33329999999999999</v>
          </cell>
          <cell r="H40">
            <v>2.77</v>
          </cell>
          <cell r="I40" t="e">
            <v>#N/A</v>
          </cell>
          <cell r="J40">
            <v>0.92</v>
          </cell>
        </row>
        <row r="41">
          <cell r="C41" t="str">
            <v>AM02</v>
          </cell>
          <cell r="D41" t="str">
            <v>Aço D=6,3 mm CA 25</v>
          </cell>
          <cell r="E41" t="str">
            <v>kg</v>
          </cell>
          <cell r="F41">
            <v>0.33329999999999999</v>
          </cell>
          <cell r="H41">
            <v>2.93</v>
          </cell>
          <cell r="J41">
            <v>0.97</v>
          </cell>
        </row>
        <row r="42">
          <cell r="C42" t="str">
            <v>AM03</v>
          </cell>
          <cell r="D42" t="str">
            <v>Aço D=10 mm CA 25</v>
          </cell>
          <cell r="E42" t="str">
            <v>kg</v>
          </cell>
          <cell r="F42">
            <v>0.33329999999999999</v>
          </cell>
          <cell r="H42">
            <v>2.73</v>
          </cell>
          <cell r="J42">
            <v>0.9</v>
          </cell>
        </row>
        <row r="43">
          <cell r="D43" t="str">
            <v/>
          </cell>
          <cell r="E43" t="str">
            <v/>
          </cell>
          <cell r="J43">
            <v>0</v>
          </cell>
        </row>
        <row r="44">
          <cell r="D44" t="str">
            <v/>
          </cell>
          <cell r="E44" t="str">
            <v/>
          </cell>
          <cell r="J44">
            <v>0</v>
          </cell>
        </row>
        <row r="45">
          <cell r="F45" t="str">
            <v>CUSTO TOTAL DE MATERIAL - (E)</v>
          </cell>
          <cell r="J45">
            <v>2.79</v>
          </cell>
        </row>
        <row r="46">
          <cell r="C46" t="str">
            <v>CODIGO</v>
          </cell>
          <cell r="D46" t="str">
            <v>ATIVIDADES AUXILIARES</v>
          </cell>
          <cell r="E46" t="str">
            <v>UNID</v>
          </cell>
          <cell r="F46" t="str">
            <v>QUANTIDADE</v>
          </cell>
          <cell r="H46" t="str">
            <v xml:space="preserve"> PREÇO UNITÁRIO</v>
          </cell>
          <cell r="J46" t="str">
            <v>CUSTO UNITÁRIO</v>
          </cell>
        </row>
        <row r="47">
          <cell r="D47" t="str">
            <v/>
          </cell>
          <cell r="E47" t="str">
            <v/>
          </cell>
          <cell r="H47" t="str">
            <v/>
          </cell>
          <cell r="J47" t="str">
            <v/>
          </cell>
        </row>
        <row r="48">
          <cell r="D48" t="str">
            <v/>
          </cell>
          <cell r="E48" t="str">
            <v/>
          </cell>
          <cell r="H48" t="str">
            <v/>
          </cell>
          <cell r="J48" t="str">
            <v/>
          </cell>
        </row>
        <row r="49">
          <cell r="D49" t="str">
            <v/>
          </cell>
          <cell r="E49" t="str">
            <v/>
          </cell>
          <cell r="H49" t="str">
            <v/>
          </cell>
          <cell r="J49" t="str">
            <v/>
          </cell>
        </row>
        <row r="50">
          <cell r="D50" t="str">
            <v/>
          </cell>
          <cell r="E50" t="str">
            <v/>
          </cell>
          <cell r="H50" t="str">
            <v/>
          </cell>
          <cell r="J50" t="str">
            <v/>
          </cell>
        </row>
        <row r="51">
          <cell r="D51" t="str">
            <v/>
          </cell>
          <cell r="E51" t="str">
            <v/>
          </cell>
          <cell r="H51" t="str">
            <v/>
          </cell>
          <cell r="J51" t="str">
            <v/>
          </cell>
        </row>
        <row r="52">
          <cell r="C52" t="str">
            <v>OBSERVAÇÕES:</v>
          </cell>
          <cell r="F52" t="str">
            <v>CUSTO ATIVIDADES AUXILIARES - (F)</v>
          </cell>
          <cell r="J52">
            <v>0</v>
          </cell>
        </row>
        <row r="53">
          <cell r="F53" t="str">
            <v>CUSTO UNITÁRIO DIRETO TOTAL</v>
          </cell>
          <cell r="J53">
            <v>2.79</v>
          </cell>
        </row>
        <row r="54">
          <cell r="F54" t="str">
            <v xml:space="preserve">BONIFICAÇÃO </v>
          </cell>
          <cell r="H54">
            <v>0</v>
          </cell>
          <cell r="J54">
            <v>0</v>
          </cell>
        </row>
        <row r="55">
          <cell r="F55" t="str">
            <v>PREÇO UNITÁRIO  TOTAL</v>
          </cell>
          <cell r="J55">
            <v>2.79</v>
          </cell>
        </row>
        <row r="59">
          <cell r="A59" t="str">
            <v>1 A 00 302 00</v>
          </cell>
          <cell r="C59" t="str">
            <v>SERVIÇO:</v>
          </cell>
          <cell r="D59" t="str">
            <v>Fornecimento de Aço CA-50</v>
          </cell>
          <cell r="F59" t="str">
            <v>PRODUÇÃO DA EQUIPE - (C):</v>
          </cell>
          <cell r="J59">
            <v>1</v>
          </cell>
          <cell r="K59" t="str">
            <v>kg</v>
          </cell>
          <cell r="M59">
            <v>2.82</v>
          </cell>
        </row>
        <row r="60">
          <cell r="F60" t="str">
            <v>UNITÁRIO</v>
          </cell>
          <cell r="H60" t="str">
            <v>C. OPERACIONAL</v>
          </cell>
        </row>
        <row r="61">
          <cell r="C61" t="str">
            <v>ÍTEM</v>
          </cell>
          <cell r="D61" t="str">
            <v>E Q U I P A M E N T O</v>
          </cell>
          <cell r="E61" t="str">
            <v>QUANT.</v>
          </cell>
          <cell r="F61" t="str">
            <v>PROD</v>
          </cell>
          <cell r="G61" t="str">
            <v>IMPROD</v>
          </cell>
          <cell r="H61" t="str">
            <v>PROD</v>
          </cell>
          <cell r="I61" t="str">
            <v>IMPROD</v>
          </cell>
          <cell r="J61" t="str">
            <v>CUSTO HORÁRIO</v>
          </cell>
        </row>
        <row r="62">
          <cell r="D62" t="str">
            <v/>
          </cell>
          <cell r="G62" t="str">
            <v/>
          </cell>
          <cell r="H62" t="str">
            <v/>
          </cell>
          <cell r="I62" t="str">
            <v/>
          </cell>
          <cell r="J62" t="str">
            <v/>
          </cell>
        </row>
        <row r="63">
          <cell r="D63" t="str">
            <v/>
          </cell>
          <cell r="G63" t="str">
            <v/>
          </cell>
          <cell r="H63" t="str">
            <v/>
          </cell>
          <cell r="I63" t="str">
            <v/>
          </cell>
          <cell r="J63" t="str">
            <v/>
          </cell>
        </row>
        <row r="64">
          <cell r="D64" t="str">
            <v/>
          </cell>
          <cell r="G64" t="str">
            <v/>
          </cell>
          <cell r="H64" t="str">
            <v/>
          </cell>
          <cell r="I64" t="str">
            <v/>
          </cell>
          <cell r="J64" t="str">
            <v/>
          </cell>
        </row>
        <row r="65">
          <cell r="D65" t="str">
            <v/>
          </cell>
          <cell r="G65" t="str">
            <v/>
          </cell>
          <cell r="H65" t="str">
            <v/>
          </cell>
          <cell r="I65" t="str">
            <v/>
          </cell>
          <cell r="J65" t="str">
            <v/>
          </cell>
        </row>
        <row r="66">
          <cell r="D66" t="str">
            <v/>
          </cell>
          <cell r="G66" t="str">
            <v/>
          </cell>
          <cell r="H66" t="str">
            <v/>
          </cell>
          <cell r="I66" t="str">
            <v/>
          </cell>
          <cell r="J66" t="str">
            <v/>
          </cell>
        </row>
        <row r="67">
          <cell r="D67" t="str">
            <v/>
          </cell>
          <cell r="G67" t="str">
            <v/>
          </cell>
          <cell r="H67" t="str">
            <v/>
          </cell>
          <cell r="I67" t="str">
            <v/>
          </cell>
          <cell r="J67" t="str">
            <v/>
          </cell>
        </row>
        <row r="68">
          <cell r="D68" t="str">
            <v/>
          </cell>
          <cell r="G68" t="str">
            <v/>
          </cell>
          <cell r="H68" t="str">
            <v/>
          </cell>
          <cell r="I68" t="str">
            <v/>
          </cell>
          <cell r="J68" t="str">
            <v/>
          </cell>
        </row>
        <row r="69">
          <cell r="F69" t="str">
            <v>CUSTO HORÁRIO DO EQUIPAMENTO - (A)</v>
          </cell>
          <cell r="J69">
            <v>0</v>
          </cell>
        </row>
        <row r="70">
          <cell r="C70" t="str">
            <v>ÍTEM</v>
          </cell>
          <cell r="D70" t="str">
            <v>M Ã O    D E   O B R A</v>
          </cell>
          <cell r="E70" t="str">
            <v>QUANT.</v>
          </cell>
          <cell r="F70" t="str">
            <v>SALÁRIO HORA</v>
          </cell>
          <cell r="J70" t="str">
            <v>CUSTO HORÁRIO</v>
          </cell>
        </row>
        <row r="71">
          <cell r="D71" t="str">
            <v/>
          </cell>
          <cell r="F71" t="str">
            <v/>
          </cell>
          <cell r="G71" t="str">
            <v/>
          </cell>
          <cell r="H71" t="str">
            <v/>
          </cell>
          <cell r="I71" t="str">
            <v/>
          </cell>
          <cell r="J71" t="str">
            <v/>
          </cell>
        </row>
        <row r="72">
          <cell r="D72" t="str">
            <v/>
          </cell>
          <cell r="F72" t="str">
            <v/>
          </cell>
          <cell r="G72" t="str">
            <v/>
          </cell>
          <cell r="H72" t="str">
            <v/>
          </cell>
          <cell r="I72" t="str">
            <v/>
          </cell>
          <cell r="J72" t="str">
            <v/>
          </cell>
        </row>
        <row r="73">
          <cell r="D73" t="str">
            <v/>
          </cell>
          <cell r="F73" t="str">
            <v/>
          </cell>
          <cell r="G73" t="str">
            <v/>
          </cell>
          <cell r="H73" t="str">
            <v/>
          </cell>
          <cell r="I73" t="str">
            <v/>
          </cell>
          <cell r="J73" t="str">
            <v/>
          </cell>
        </row>
        <row r="74">
          <cell r="D74" t="str">
            <v/>
          </cell>
          <cell r="F74" t="str">
            <v/>
          </cell>
          <cell r="G74" t="str">
            <v/>
          </cell>
          <cell r="H74" t="str">
            <v/>
          </cell>
          <cell r="I74" t="str">
            <v/>
          </cell>
          <cell r="J74" t="str">
            <v/>
          </cell>
        </row>
        <row r="75">
          <cell r="D75" t="str">
            <v/>
          </cell>
          <cell r="F75" t="str">
            <v/>
          </cell>
          <cell r="G75" t="str">
            <v/>
          </cell>
          <cell r="H75" t="str">
            <v/>
          </cell>
          <cell r="I75" t="str">
            <v/>
          </cell>
          <cell r="J75" t="str">
            <v/>
          </cell>
        </row>
        <row r="76">
          <cell r="F76" t="str">
            <v>CUSTO HORÁRIO DE MÃO DE OBRA - (B)</v>
          </cell>
          <cell r="J76">
            <v>0</v>
          </cell>
        </row>
        <row r="77">
          <cell r="F77" t="str">
            <v>FERRAMENTAS</v>
          </cell>
          <cell r="H77">
            <v>0.2051</v>
          </cell>
          <cell r="J77">
            <v>0</v>
          </cell>
        </row>
        <row r="78">
          <cell r="F78" t="str">
            <v>CUSTO HORÁRIO TOTAL - (A + B)</v>
          </cell>
          <cell r="J78">
            <v>0</v>
          </cell>
        </row>
        <row r="79">
          <cell r="F79" t="str">
            <v>CUSTO UNITÁRIO DE EXECUÇÃO - (D)</v>
          </cell>
          <cell r="J79">
            <v>0</v>
          </cell>
        </row>
        <row r="80">
          <cell r="C80" t="str">
            <v>ÍTEM</v>
          </cell>
          <cell r="D80" t="str">
            <v>M A T E R I A L</v>
          </cell>
          <cell r="E80" t="str">
            <v>UNID</v>
          </cell>
          <cell r="F80" t="str">
            <v>CONSUMO</v>
          </cell>
          <cell r="H80" t="str">
            <v xml:space="preserve"> PREÇO UNITÁRIO</v>
          </cell>
          <cell r="J80" t="str">
            <v>CUSTO UNITÁRIO</v>
          </cell>
        </row>
        <row r="81">
          <cell r="C81" t="str">
            <v>AM04</v>
          </cell>
          <cell r="D81" t="str">
            <v>Aço D=6,3 mm CA 50</v>
          </cell>
          <cell r="E81" t="str">
            <v>kg</v>
          </cell>
          <cell r="F81">
            <v>0.5</v>
          </cell>
          <cell r="H81">
            <v>2.93</v>
          </cell>
          <cell r="I81" t="e">
            <v>#N/A</v>
          </cell>
          <cell r="J81">
            <v>1.46</v>
          </cell>
        </row>
        <row r="82">
          <cell r="C82" t="str">
            <v>AM05</v>
          </cell>
          <cell r="D82" t="str">
            <v>Aço D=10 mm CA 50</v>
          </cell>
          <cell r="E82" t="str">
            <v>kg</v>
          </cell>
          <cell r="F82">
            <v>0.5</v>
          </cell>
          <cell r="H82">
            <v>2.73</v>
          </cell>
          <cell r="J82">
            <v>1.36</v>
          </cell>
        </row>
        <row r="83">
          <cell r="D83" t="str">
            <v/>
          </cell>
          <cell r="E83" t="str">
            <v/>
          </cell>
          <cell r="J83">
            <v>0</v>
          </cell>
        </row>
        <row r="84">
          <cell r="D84" t="str">
            <v/>
          </cell>
          <cell r="E84" t="str">
            <v/>
          </cell>
          <cell r="J84">
            <v>0</v>
          </cell>
        </row>
        <row r="85">
          <cell r="D85" t="str">
            <v/>
          </cell>
          <cell r="E85" t="str">
            <v/>
          </cell>
          <cell r="J85">
            <v>0</v>
          </cell>
        </row>
        <row r="86">
          <cell r="F86" t="str">
            <v>CUSTO TOTAL DE MATERIAL - (E)</v>
          </cell>
          <cell r="J86">
            <v>2.82</v>
          </cell>
        </row>
        <row r="87">
          <cell r="C87" t="str">
            <v>CODIGO</v>
          </cell>
          <cell r="D87" t="str">
            <v>ATIVIDADES AUXILIARES</v>
          </cell>
          <cell r="E87" t="str">
            <v>UNID</v>
          </cell>
          <cell r="F87" t="str">
            <v>QUANTIDADE</v>
          </cell>
          <cell r="H87" t="str">
            <v xml:space="preserve"> PREÇO UNITÁRIO</v>
          </cell>
          <cell r="J87" t="str">
            <v>CUSTO UNITÁRIO</v>
          </cell>
        </row>
        <row r="88">
          <cell r="D88" t="str">
            <v/>
          </cell>
          <cell r="E88" t="str">
            <v/>
          </cell>
          <cell r="H88" t="str">
            <v/>
          </cell>
          <cell r="J88" t="str">
            <v/>
          </cell>
        </row>
        <row r="89">
          <cell r="D89" t="str">
            <v/>
          </cell>
          <cell r="E89" t="str">
            <v/>
          </cell>
          <cell r="H89" t="str">
            <v/>
          </cell>
          <cell r="J89" t="str">
            <v/>
          </cell>
        </row>
        <row r="90">
          <cell r="D90" t="str">
            <v/>
          </cell>
          <cell r="E90" t="str">
            <v/>
          </cell>
          <cell r="H90" t="str">
            <v/>
          </cell>
          <cell r="J90" t="str">
            <v/>
          </cell>
        </row>
        <row r="91">
          <cell r="D91" t="str">
            <v/>
          </cell>
          <cell r="E91" t="str">
            <v/>
          </cell>
          <cell r="H91" t="str">
            <v/>
          </cell>
          <cell r="J91" t="str">
            <v/>
          </cell>
        </row>
        <row r="92">
          <cell r="D92" t="str">
            <v/>
          </cell>
          <cell r="E92" t="str">
            <v/>
          </cell>
          <cell r="H92" t="str">
            <v/>
          </cell>
          <cell r="J92" t="str">
            <v/>
          </cell>
        </row>
        <row r="93">
          <cell r="C93" t="str">
            <v>OBSERVAÇÕES:</v>
          </cell>
          <cell r="F93" t="str">
            <v>CUSTO ATIVIDADES AUXILIARES - (F)</v>
          </cell>
          <cell r="J93">
            <v>0</v>
          </cell>
        </row>
        <row r="94">
          <cell r="F94" t="str">
            <v>CUSTO UNITÁRIO DIRETO TOTAL</v>
          </cell>
          <cell r="J94">
            <v>2.82</v>
          </cell>
        </row>
        <row r="95">
          <cell r="F95" t="str">
            <v xml:space="preserve">BONIFICAÇÃO </v>
          </cell>
          <cell r="H95">
            <v>0</v>
          </cell>
          <cell r="J95">
            <v>0</v>
          </cell>
        </row>
        <row r="96">
          <cell r="F96" t="str">
            <v>PREÇO UNITÁRIO  TOTAL</v>
          </cell>
          <cell r="J96">
            <v>2.82</v>
          </cell>
        </row>
        <row r="100">
          <cell r="A100" t="str">
            <v>1 A 00 303 00</v>
          </cell>
          <cell r="C100" t="str">
            <v>SERVIÇO:</v>
          </cell>
          <cell r="D100" t="str">
            <v>Fornecimento de Aço CA-60</v>
          </cell>
          <cell r="F100" t="str">
            <v>PRODUÇÃO DA EQUIPE - (C):</v>
          </cell>
          <cell r="J100">
            <v>1</v>
          </cell>
          <cell r="K100" t="str">
            <v>kg</v>
          </cell>
          <cell r="M100">
            <v>2.97</v>
          </cell>
        </row>
        <row r="101">
          <cell r="F101" t="str">
            <v>UNITÁRIO</v>
          </cell>
          <cell r="H101" t="str">
            <v>C. OPERACIONAL</v>
          </cell>
        </row>
        <row r="102">
          <cell r="C102" t="str">
            <v>ÍTEM</v>
          </cell>
          <cell r="D102" t="str">
            <v>E Q U I P A M E N T O</v>
          </cell>
          <cell r="E102" t="str">
            <v>QUANT.</v>
          </cell>
          <cell r="F102" t="str">
            <v>PROD</v>
          </cell>
          <cell r="G102" t="str">
            <v>IMPROD</v>
          </cell>
          <cell r="H102" t="str">
            <v>PROD</v>
          </cell>
          <cell r="I102" t="str">
            <v>IMPROD</v>
          </cell>
          <cell r="J102" t="str">
            <v>CUSTO HORÁRIO</v>
          </cell>
        </row>
        <row r="103">
          <cell r="D103" t="str">
            <v/>
          </cell>
          <cell r="G103" t="str">
            <v/>
          </cell>
          <cell r="H103" t="str">
            <v/>
          </cell>
          <cell r="I103" t="str">
            <v/>
          </cell>
          <cell r="J103" t="str">
            <v/>
          </cell>
        </row>
        <row r="104">
          <cell r="D104" t="str">
            <v/>
          </cell>
          <cell r="G104" t="str">
            <v/>
          </cell>
          <cell r="H104" t="str">
            <v/>
          </cell>
          <cell r="I104" t="str">
            <v/>
          </cell>
          <cell r="J104" t="str">
            <v/>
          </cell>
        </row>
        <row r="105">
          <cell r="D105" t="str">
            <v/>
          </cell>
          <cell r="G105" t="str">
            <v/>
          </cell>
          <cell r="H105" t="str">
            <v/>
          </cell>
          <cell r="I105" t="str">
            <v/>
          </cell>
          <cell r="J105" t="str">
            <v/>
          </cell>
        </row>
        <row r="106">
          <cell r="D106" t="str">
            <v/>
          </cell>
          <cell r="G106" t="str">
            <v/>
          </cell>
          <cell r="H106" t="str">
            <v/>
          </cell>
          <cell r="I106" t="str">
            <v/>
          </cell>
          <cell r="J106" t="str">
            <v/>
          </cell>
        </row>
        <row r="107">
          <cell r="D107" t="str">
            <v/>
          </cell>
          <cell r="G107" t="str">
            <v/>
          </cell>
          <cell r="H107" t="str">
            <v/>
          </cell>
          <cell r="I107" t="str">
            <v/>
          </cell>
          <cell r="J107" t="str">
            <v/>
          </cell>
        </row>
        <row r="108">
          <cell r="F108" t="str">
            <v>CUSTO HORÁRIO DO EQUIPAMENTO - (A)</v>
          </cell>
          <cell r="J108">
            <v>0</v>
          </cell>
        </row>
        <row r="109">
          <cell r="C109" t="str">
            <v>ÍTEM</v>
          </cell>
          <cell r="D109" t="str">
            <v>M Ã O    D E   O B R A</v>
          </cell>
          <cell r="E109" t="str">
            <v>QUANT.</v>
          </cell>
          <cell r="F109" t="str">
            <v>SALÁRIO HORA</v>
          </cell>
          <cell r="J109" t="str">
            <v>CUSTO HORÁRIO</v>
          </cell>
        </row>
        <row r="110">
          <cell r="D110" t="str">
            <v/>
          </cell>
          <cell r="F110" t="str">
            <v/>
          </cell>
          <cell r="G110" t="str">
            <v/>
          </cell>
          <cell r="H110" t="str">
            <v/>
          </cell>
          <cell r="I110" t="str">
            <v/>
          </cell>
          <cell r="J110" t="str">
            <v/>
          </cell>
        </row>
        <row r="111">
          <cell r="D111" t="str">
            <v/>
          </cell>
          <cell r="F111" t="str">
            <v/>
          </cell>
          <cell r="G111" t="str">
            <v/>
          </cell>
          <cell r="H111" t="str">
            <v/>
          </cell>
          <cell r="I111" t="str">
            <v/>
          </cell>
          <cell r="J111" t="str">
            <v/>
          </cell>
        </row>
        <row r="112">
          <cell r="D112" t="str">
            <v/>
          </cell>
          <cell r="F112" t="str">
            <v/>
          </cell>
          <cell r="G112" t="str">
            <v/>
          </cell>
          <cell r="H112" t="str">
            <v/>
          </cell>
          <cell r="I112" t="str">
            <v/>
          </cell>
          <cell r="J112" t="str">
            <v/>
          </cell>
        </row>
        <row r="113">
          <cell r="D113" t="str">
            <v/>
          </cell>
          <cell r="F113" t="str">
            <v/>
          </cell>
          <cell r="G113" t="str">
            <v/>
          </cell>
          <cell r="H113" t="str">
            <v/>
          </cell>
          <cell r="I113" t="str">
            <v/>
          </cell>
          <cell r="J113" t="str">
            <v/>
          </cell>
        </row>
        <row r="114">
          <cell r="D114" t="str">
            <v/>
          </cell>
          <cell r="F114" t="str">
            <v/>
          </cell>
          <cell r="G114" t="str">
            <v/>
          </cell>
          <cell r="H114" t="str">
            <v/>
          </cell>
          <cell r="I114" t="str">
            <v/>
          </cell>
          <cell r="J114" t="str">
            <v/>
          </cell>
        </row>
        <row r="115">
          <cell r="F115" t="str">
            <v>CUSTO HORÁRIO DE MÃO DE OBRA - (B)</v>
          </cell>
          <cell r="J115">
            <v>0</v>
          </cell>
        </row>
        <row r="116">
          <cell r="F116" t="str">
            <v>FERRAMENTAS</v>
          </cell>
          <cell r="H116">
            <v>0.05</v>
          </cell>
          <cell r="J116">
            <v>0</v>
          </cell>
        </row>
        <row r="117">
          <cell r="F117" t="str">
            <v>CUSTO HORÁRIO TOTAL - (A + B)</v>
          </cell>
          <cell r="J117">
            <v>0</v>
          </cell>
        </row>
        <row r="118">
          <cell r="F118" t="str">
            <v>CUSTO UNITÁRIO DE EXECUÇÃO - (D)</v>
          </cell>
          <cell r="J118">
            <v>0</v>
          </cell>
        </row>
        <row r="119">
          <cell r="C119" t="str">
            <v>ÍTEM</v>
          </cell>
          <cell r="D119" t="str">
            <v>M A T E R I A L</v>
          </cell>
          <cell r="E119" t="str">
            <v>UNID</v>
          </cell>
          <cell r="F119" t="str">
            <v>CONSUMO</v>
          </cell>
          <cell r="H119" t="str">
            <v xml:space="preserve"> PREÇO UNITÁRIO</v>
          </cell>
          <cell r="J119" t="str">
            <v>CUSTO UNITÁRIO</v>
          </cell>
        </row>
        <row r="120">
          <cell r="C120" t="str">
            <v>AM06</v>
          </cell>
          <cell r="D120" t="str">
            <v>Aço D=4,2 mm CA 60</v>
          </cell>
          <cell r="E120" t="str">
            <v>kg</v>
          </cell>
          <cell r="F120">
            <v>0.33329999999999999</v>
          </cell>
          <cell r="H120">
            <v>2.77</v>
          </cell>
          <cell r="I120" t="str">
            <v/>
          </cell>
          <cell r="J120">
            <v>0.92</v>
          </cell>
        </row>
        <row r="121">
          <cell r="C121" t="str">
            <v>AM07</v>
          </cell>
          <cell r="D121" t="str">
            <v>Aço D=5,0 mm CA 60</v>
          </cell>
          <cell r="E121" t="str">
            <v>kg</v>
          </cell>
          <cell r="F121">
            <v>0.33329999999999999</v>
          </cell>
          <cell r="H121">
            <v>2.77</v>
          </cell>
          <cell r="I121" t="str">
            <v/>
          </cell>
          <cell r="J121">
            <v>0.92</v>
          </cell>
        </row>
        <row r="122">
          <cell r="C122" t="str">
            <v>AM08</v>
          </cell>
          <cell r="D122" t="str">
            <v>Aço D=6,0 mm CA 60</v>
          </cell>
          <cell r="E122" t="str">
            <v>kg</v>
          </cell>
          <cell r="F122">
            <v>0.33339999999999997</v>
          </cell>
          <cell r="H122">
            <v>3.4</v>
          </cell>
          <cell r="I122" t="str">
            <v/>
          </cell>
          <cell r="J122">
            <v>1.1299999999999999</v>
          </cell>
        </row>
        <row r="123">
          <cell r="D123" t="str">
            <v/>
          </cell>
          <cell r="E123" t="str">
            <v/>
          </cell>
          <cell r="H123" t="str">
            <v/>
          </cell>
          <cell r="I123" t="str">
            <v/>
          </cell>
          <cell r="J123" t="str">
            <v/>
          </cell>
        </row>
        <row r="124">
          <cell r="D124" t="str">
            <v/>
          </cell>
          <cell r="E124" t="str">
            <v/>
          </cell>
          <cell r="H124" t="str">
            <v/>
          </cell>
          <cell r="I124" t="str">
            <v/>
          </cell>
          <cell r="J124" t="str">
            <v/>
          </cell>
        </row>
        <row r="125">
          <cell r="F125" t="str">
            <v>CUSTO TOTAL DE MATERIAL - (E)</v>
          </cell>
          <cell r="J125">
            <v>2.97</v>
          </cell>
        </row>
        <row r="126">
          <cell r="C126" t="str">
            <v>CODIGO</v>
          </cell>
          <cell r="D126" t="str">
            <v>ATIVIDADES AUXILIARES</v>
          </cell>
          <cell r="E126" t="str">
            <v>UNID</v>
          </cell>
          <cell r="F126" t="str">
            <v>QUANTIDADE</v>
          </cell>
          <cell r="H126" t="str">
            <v xml:space="preserve"> PREÇO UNITÁRIO</v>
          </cell>
          <cell r="J126" t="str">
            <v>CUSTO UNITÁRIO</v>
          </cell>
        </row>
        <row r="127">
          <cell r="D127" t="str">
            <v/>
          </cell>
          <cell r="E127" t="str">
            <v/>
          </cell>
          <cell r="H127" t="str">
            <v/>
          </cell>
          <cell r="J127" t="str">
            <v/>
          </cell>
        </row>
        <row r="128">
          <cell r="D128" t="str">
            <v/>
          </cell>
          <cell r="E128" t="str">
            <v/>
          </cell>
          <cell r="H128" t="str">
            <v/>
          </cell>
          <cell r="J128" t="str">
            <v/>
          </cell>
        </row>
        <row r="129">
          <cell r="D129" t="str">
            <v/>
          </cell>
          <cell r="E129" t="str">
            <v/>
          </cell>
          <cell r="H129" t="str">
            <v/>
          </cell>
          <cell r="J129" t="str">
            <v/>
          </cell>
        </row>
        <row r="130">
          <cell r="D130" t="str">
            <v/>
          </cell>
          <cell r="E130" t="str">
            <v/>
          </cell>
          <cell r="H130" t="str">
            <v/>
          </cell>
          <cell r="J130" t="str">
            <v/>
          </cell>
        </row>
        <row r="131">
          <cell r="D131" t="str">
            <v/>
          </cell>
          <cell r="E131" t="str">
            <v/>
          </cell>
          <cell r="H131" t="str">
            <v/>
          </cell>
          <cell r="J131" t="str">
            <v/>
          </cell>
        </row>
        <row r="132">
          <cell r="C132" t="str">
            <v>OBSERVAÇÕES:</v>
          </cell>
          <cell r="F132" t="str">
            <v>CUSTO ATIVIDADES AUXILIARES - (F)</v>
          </cell>
          <cell r="J132">
            <v>0</v>
          </cell>
        </row>
        <row r="133">
          <cell r="F133" t="str">
            <v>CUSTO UNITÁRIO DIRETO TOTAL</v>
          </cell>
          <cell r="J133">
            <v>2.97</v>
          </cell>
        </row>
        <row r="134">
          <cell r="F134" t="str">
            <v xml:space="preserve">BONIFICAÇÃO </v>
          </cell>
          <cell r="H134">
            <v>0</v>
          </cell>
          <cell r="J134">
            <v>0</v>
          </cell>
        </row>
        <row r="135">
          <cell r="F135" t="str">
            <v>PREÇO UNITÁRIO  TOTAL</v>
          </cell>
          <cell r="J135">
            <v>2.97</v>
          </cell>
        </row>
        <row r="139">
          <cell r="A139" t="str">
            <v>1 A 00 716 00</v>
          </cell>
          <cell r="C139" t="str">
            <v>SERVIÇO:</v>
          </cell>
          <cell r="D139" t="str">
            <v>Areia comercial</v>
          </cell>
          <cell r="F139" t="str">
            <v>PRODUÇÃO DA EQUIPE - (C):</v>
          </cell>
          <cell r="J139">
            <v>1</v>
          </cell>
          <cell r="K139" t="str">
            <v>m³</v>
          </cell>
          <cell r="M139">
            <v>60</v>
          </cell>
        </row>
        <row r="140">
          <cell r="F140" t="str">
            <v>UNITÁRIO</v>
          </cell>
          <cell r="H140" t="str">
            <v>C. OPERACIONAL</v>
          </cell>
        </row>
        <row r="141">
          <cell r="C141" t="str">
            <v>ÍTEM</v>
          </cell>
          <cell r="D141" t="str">
            <v>E Q U I P A M E N T O</v>
          </cell>
          <cell r="E141" t="str">
            <v>QUANT.</v>
          </cell>
          <cell r="F141" t="str">
            <v>PROD</v>
          </cell>
          <cell r="G141" t="str">
            <v>IMPROD</v>
          </cell>
          <cell r="H141" t="str">
            <v>PROD</v>
          </cell>
          <cell r="I141" t="str">
            <v>IMPROD</v>
          </cell>
          <cell r="J141" t="str">
            <v>CUSTO HORÁRIO</v>
          </cell>
        </row>
        <row r="142">
          <cell r="D142" t="str">
            <v/>
          </cell>
          <cell r="G142" t="str">
            <v/>
          </cell>
          <cell r="H142" t="str">
            <v/>
          </cell>
          <cell r="I142" t="str">
            <v/>
          </cell>
          <cell r="J142" t="str">
            <v/>
          </cell>
        </row>
        <row r="143">
          <cell r="D143" t="str">
            <v/>
          </cell>
          <cell r="G143" t="str">
            <v/>
          </cell>
          <cell r="H143" t="str">
            <v/>
          </cell>
          <cell r="I143" t="str">
            <v/>
          </cell>
          <cell r="J143" t="str">
            <v/>
          </cell>
        </row>
        <row r="144">
          <cell r="D144" t="str">
            <v/>
          </cell>
          <cell r="G144" t="str">
            <v/>
          </cell>
          <cell r="H144" t="str">
            <v/>
          </cell>
          <cell r="I144" t="str">
            <v/>
          </cell>
          <cell r="J144" t="str">
            <v/>
          </cell>
        </row>
        <row r="145">
          <cell r="D145" t="str">
            <v/>
          </cell>
          <cell r="G145" t="str">
            <v/>
          </cell>
          <cell r="H145" t="str">
            <v/>
          </cell>
          <cell r="I145" t="str">
            <v/>
          </cell>
          <cell r="J145" t="str">
            <v/>
          </cell>
        </row>
        <row r="146">
          <cell r="D146" t="str">
            <v/>
          </cell>
          <cell r="G146" t="str">
            <v/>
          </cell>
          <cell r="H146" t="str">
            <v/>
          </cell>
          <cell r="I146" t="str">
            <v/>
          </cell>
          <cell r="J146" t="str">
            <v/>
          </cell>
        </row>
        <row r="147">
          <cell r="D147" t="str">
            <v/>
          </cell>
          <cell r="G147" t="str">
            <v/>
          </cell>
          <cell r="H147" t="str">
            <v/>
          </cell>
          <cell r="I147" t="str">
            <v/>
          </cell>
          <cell r="J147" t="str">
            <v/>
          </cell>
        </row>
        <row r="148">
          <cell r="D148" t="str">
            <v/>
          </cell>
          <cell r="G148" t="str">
            <v/>
          </cell>
          <cell r="H148" t="str">
            <v/>
          </cell>
          <cell r="I148" t="str">
            <v/>
          </cell>
          <cell r="J148" t="str">
            <v/>
          </cell>
        </row>
        <row r="149">
          <cell r="F149" t="str">
            <v>CUSTO HORÁRIO DO EQUIPAMENTO - (A)</v>
          </cell>
          <cell r="J149">
            <v>0</v>
          </cell>
        </row>
        <row r="150">
          <cell r="C150" t="str">
            <v>ÍTEM</v>
          </cell>
          <cell r="D150" t="str">
            <v>M Ã O    D E   O B R A</v>
          </cell>
          <cell r="E150" t="str">
            <v>QUANT.</v>
          </cell>
          <cell r="F150" t="str">
            <v>SALÁRIO HORA</v>
          </cell>
          <cell r="J150" t="str">
            <v>CUSTO HORÁRIO</v>
          </cell>
        </row>
        <row r="151">
          <cell r="D151" t="str">
            <v/>
          </cell>
          <cell r="F151" t="str">
            <v/>
          </cell>
          <cell r="G151" t="str">
            <v/>
          </cell>
          <cell r="H151" t="str">
            <v/>
          </cell>
          <cell r="I151" t="str">
            <v/>
          </cell>
          <cell r="J151" t="str">
            <v/>
          </cell>
        </row>
        <row r="152">
          <cell r="D152" t="str">
            <v/>
          </cell>
          <cell r="F152" t="str">
            <v/>
          </cell>
          <cell r="G152" t="str">
            <v/>
          </cell>
          <cell r="H152" t="str">
            <v/>
          </cell>
          <cell r="I152" t="str">
            <v/>
          </cell>
          <cell r="J152" t="str">
            <v/>
          </cell>
        </row>
        <row r="153">
          <cell r="D153" t="str">
            <v/>
          </cell>
          <cell r="F153" t="str">
            <v/>
          </cell>
          <cell r="G153" t="str">
            <v/>
          </cell>
          <cell r="H153" t="str">
            <v/>
          </cell>
          <cell r="I153" t="str">
            <v/>
          </cell>
          <cell r="J153" t="str">
            <v/>
          </cell>
        </row>
        <row r="154">
          <cell r="D154" t="str">
            <v/>
          </cell>
          <cell r="F154" t="str">
            <v/>
          </cell>
          <cell r="G154" t="str">
            <v/>
          </cell>
          <cell r="H154" t="str">
            <v/>
          </cell>
          <cell r="I154" t="str">
            <v/>
          </cell>
          <cell r="J154" t="str">
            <v/>
          </cell>
        </row>
        <row r="155">
          <cell r="D155" t="str">
            <v/>
          </cell>
          <cell r="F155" t="str">
            <v/>
          </cell>
          <cell r="G155" t="str">
            <v/>
          </cell>
          <cell r="H155" t="str">
            <v/>
          </cell>
          <cell r="I155" t="str">
            <v/>
          </cell>
          <cell r="J155" t="str">
            <v/>
          </cell>
        </row>
        <row r="156">
          <cell r="F156" t="str">
            <v>CUSTO HORÁRIO DE MÃO DE OBRA - (B)</v>
          </cell>
          <cell r="J156">
            <v>0</v>
          </cell>
        </row>
        <row r="157">
          <cell r="F157" t="str">
            <v>FERRAMENTAS</v>
          </cell>
          <cell r="H157">
            <v>0.2051</v>
          </cell>
          <cell r="J157">
            <v>0</v>
          </cell>
        </row>
        <row r="158">
          <cell r="F158" t="str">
            <v>CUSTO HORÁRIO TOTAL - (A + B)</v>
          </cell>
          <cell r="J158">
            <v>0</v>
          </cell>
        </row>
        <row r="159">
          <cell r="F159" t="str">
            <v>CUSTO UNITÁRIO DE EXECUÇÃO - (D)</v>
          </cell>
          <cell r="J159">
            <v>0</v>
          </cell>
        </row>
        <row r="160">
          <cell r="C160" t="str">
            <v>ÍTEM</v>
          </cell>
          <cell r="D160" t="str">
            <v>M A T E R I A L</v>
          </cell>
          <cell r="E160" t="str">
            <v>UNID</v>
          </cell>
          <cell r="F160" t="str">
            <v>CONSUMO</v>
          </cell>
          <cell r="H160" t="str">
            <v xml:space="preserve"> PREÇO UNITÁRIO</v>
          </cell>
          <cell r="J160" t="str">
            <v>CUSTO UNITÁRIO</v>
          </cell>
        </row>
        <row r="161">
          <cell r="C161" t="str">
            <v>M704</v>
          </cell>
          <cell r="D161" t="str">
            <v>Areia lavada comercial DMT até 50 km</v>
          </cell>
          <cell r="E161" t="str">
            <v>m3</v>
          </cell>
          <cell r="F161">
            <v>1</v>
          </cell>
          <cell r="H161">
            <v>60</v>
          </cell>
          <cell r="I161" t="e">
            <v>#N/A</v>
          </cell>
          <cell r="J161">
            <v>60</v>
          </cell>
        </row>
        <row r="162">
          <cell r="D162" t="str">
            <v/>
          </cell>
          <cell r="E162" t="str">
            <v/>
          </cell>
          <cell r="H162" t="str">
            <v/>
          </cell>
          <cell r="I162" t="str">
            <v/>
          </cell>
        </row>
        <row r="163">
          <cell r="D163" t="str">
            <v/>
          </cell>
          <cell r="E163" t="str">
            <v/>
          </cell>
          <cell r="H163" t="str">
            <v/>
          </cell>
          <cell r="I163" t="str">
            <v/>
          </cell>
        </row>
        <row r="164">
          <cell r="D164" t="str">
            <v/>
          </cell>
          <cell r="E164" t="str">
            <v/>
          </cell>
          <cell r="H164" t="str">
            <v/>
          </cell>
          <cell r="I164" t="str">
            <v/>
          </cell>
        </row>
        <row r="165">
          <cell r="D165" t="str">
            <v/>
          </cell>
          <cell r="E165" t="str">
            <v/>
          </cell>
          <cell r="H165" t="str">
            <v/>
          </cell>
          <cell r="I165" t="str">
            <v/>
          </cell>
        </row>
        <row r="166">
          <cell r="F166" t="str">
            <v>CUSTO TOTAL DE MATERIAL - (E)</v>
          </cell>
          <cell r="J166">
            <v>60</v>
          </cell>
        </row>
        <row r="167">
          <cell r="C167" t="str">
            <v>CODIGO</v>
          </cell>
          <cell r="D167" t="str">
            <v>ATIVIDADES AUXILIARES</v>
          </cell>
          <cell r="E167" t="str">
            <v>UNID</v>
          </cell>
          <cell r="F167" t="str">
            <v>QUANTIDADE</v>
          </cell>
          <cell r="H167" t="str">
            <v xml:space="preserve"> PREÇO UNITÁRIO</v>
          </cell>
          <cell r="J167" t="str">
            <v>CUSTO UNITÁRIO</v>
          </cell>
        </row>
        <row r="168">
          <cell r="D168" t="str">
            <v/>
          </cell>
          <cell r="E168" t="str">
            <v/>
          </cell>
          <cell r="H168" t="str">
            <v/>
          </cell>
          <cell r="J168" t="str">
            <v/>
          </cell>
        </row>
        <row r="169">
          <cell r="D169" t="str">
            <v/>
          </cell>
          <cell r="E169" t="str">
            <v/>
          </cell>
          <cell r="H169" t="str">
            <v/>
          </cell>
          <cell r="J169" t="str">
            <v/>
          </cell>
        </row>
        <row r="170">
          <cell r="D170" t="str">
            <v/>
          </cell>
          <cell r="E170" t="str">
            <v/>
          </cell>
          <cell r="H170" t="str">
            <v/>
          </cell>
          <cell r="J170" t="str">
            <v/>
          </cell>
        </row>
        <row r="171">
          <cell r="D171" t="str">
            <v/>
          </cell>
          <cell r="E171" t="str">
            <v/>
          </cell>
          <cell r="H171" t="str">
            <v/>
          </cell>
          <cell r="J171" t="str">
            <v/>
          </cell>
        </row>
        <row r="172">
          <cell r="D172" t="str">
            <v/>
          </cell>
          <cell r="E172" t="str">
            <v/>
          </cell>
          <cell r="H172" t="str">
            <v/>
          </cell>
          <cell r="J172" t="str">
            <v/>
          </cell>
        </row>
        <row r="173">
          <cell r="C173" t="str">
            <v>OBSERVAÇÕES:</v>
          </cell>
          <cell r="F173" t="str">
            <v>CUSTO ATIVIDADES AUXILIARES - (F)</v>
          </cell>
          <cell r="J173">
            <v>0</v>
          </cell>
        </row>
        <row r="174">
          <cell r="F174" t="str">
            <v>CUSTO UNITÁRIO DIRETO TOTAL</v>
          </cell>
          <cell r="J174">
            <v>60</v>
          </cell>
        </row>
        <row r="175">
          <cell r="F175" t="str">
            <v xml:space="preserve">BONIFICAÇÃO </v>
          </cell>
          <cell r="H175">
            <v>0</v>
          </cell>
          <cell r="J175">
            <v>0</v>
          </cell>
        </row>
        <row r="176">
          <cell r="F176" t="str">
            <v>PREÇO UNITÁRIO  TOTAL</v>
          </cell>
          <cell r="J176">
            <v>60</v>
          </cell>
        </row>
        <row r="180">
          <cell r="C180" t="str">
            <v>SERVIÇO:</v>
          </cell>
          <cell r="D180" t="str">
            <v>Brita Comercial com transporte até 50 km</v>
          </cell>
          <cell r="F180" t="str">
            <v>PRODUÇÃO DA EQUIPE - (C):</v>
          </cell>
          <cell r="J180">
            <v>1</v>
          </cell>
          <cell r="K180" t="str">
            <v>m³</v>
          </cell>
          <cell r="M180">
            <v>72.790000000000006</v>
          </cell>
        </row>
        <row r="181">
          <cell r="F181" t="str">
            <v>UNITÁRIO</v>
          </cell>
          <cell r="H181" t="str">
            <v>C. OPERACIONAL</v>
          </cell>
        </row>
        <row r="182">
          <cell r="C182" t="str">
            <v>ÍTEM</v>
          </cell>
          <cell r="D182" t="str">
            <v>E Q U I P A M E N T O</v>
          </cell>
          <cell r="E182" t="str">
            <v>QUANT.</v>
          </cell>
          <cell r="F182" t="str">
            <v>PROD</v>
          </cell>
          <cell r="G182" t="str">
            <v>IMPROD</v>
          </cell>
          <cell r="H182" t="str">
            <v>PROD</v>
          </cell>
          <cell r="I182" t="str">
            <v>IMPROD</v>
          </cell>
          <cell r="J182" t="str">
            <v>CUSTO HORÁRIO</v>
          </cell>
        </row>
        <row r="183">
          <cell r="D183" t="str">
            <v/>
          </cell>
          <cell r="G183" t="str">
            <v/>
          </cell>
          <cell r="H183" t="str">
            <v/>
          </cell>
          <cell r="I183" t="str">
            <v/>
          </cell>
          <cell r="J183" t="str">
            <v/>
          </cell>
        </row>
        <row r="184">
          <cell r="D184" t="str">
            <v/>
          </cell>
          <cell r="G184" t="str">
            <v/>
          </cell>
          <cell r="H184" t="str">
            <v/>
          </cell>
          <cell r="I184" t="str">
            <v/>
          </cell>
          <cell r="J184" t="str">
            <v/>
          </cell>
        </row>
        <row r="185">
          <cell r="D185" t="str">
            <v/>
          </cell>
          <cell r="G185" t="str">
            <v/>
          </cell>
          <cell r="H185" t="str">
            <v/>
          </cell>
          <cell r="I185" t="str">
            <v/>
          </cell>
          <cell r="J185" t="str">
            <v/>
          </cell>
        </row>
        <row r="186">
          <cell r="D186" t="str">
            <v/>
          </cell>
          <cell r="G186" t="str">
            <v/>
          </cell>
          <cell r="H186" t="str">
            <v/>
          </cell>
          <cell r="I186" t="str">
            <v/>
          </cell>
          <cell r="J186" t="str">
            <v/>
          </cell>
        </row>
        <row r="187">
          <cell r="D187" t="str">
            <v/>
          </cell>
          <cell r="G187" t="str">
            <v/>
          </cell>
          <cell r="H187" t="str">
            <v/>
          </cell>
          <cell r="I187" t="str">
            <v/>
          </cell>
          <cell r="J187" t="str">
            <v/>
          </cell>
        </row>
        <row r="188">
          <cell r="D188" t="str">
            <v/>
          </cell>
          <cell r="G188" t="str">
            <v/>
          </cell>
          <cell r="H188" t="str">
            <v/>
          </cell>
          <cell r="I188" t="str">
            <v/>
          </cell>
          <cell r="J188" t="str">
            <v/>
          </cell>
        </row>
        <row r="189">
          <cell r="D189" t="str">
            <v/>
          </cell>
          <cell r="G189" t="str">
            <v/>
          </cell>
          <cell r="H189" t="str">
            <v/>
          </cell>
          <cell r="I189" t="str">
            <v/>
          </cell>
          <cell r="J189" t="str">
            <v/>
          </cell>
        </row>
        <row r="190">
          <cell r="F190" t="str">
            <v>CUSTO HORÁRIO DO EQUIPAMENTO - (A)</v>
          </cell>
          <cell r="J190">
            <v>0</v>
          </cell>
        </row>
        <row r="191">
          <cell r="C191" t="str">
            <v>ÍTEM</v>
          </cell>
          <cell r="D191" t="str">
            <v>M Ã O    D E   O B R A</v>
          </cell>
          <cell r="E191" t="str">
            <v>QUANT.</v>
          </cell>
          <cell r="F191" t="str">
            <v>SALÁRIO HORA</v>
          </cell>
          <cell r="J191" t="str">
            <v>CUSTO HORÁRIO</v>
          </cell>
        </row>
        <row r="192">
          <cell r="D192" t="str">
            <v/>
          </cell>
          <cell r="F192" t="str">
            <v/>
          </cell>
          <cell r="G192" t="str">
            <v/>
          </cell>
          <cell r="H192" t="str">
            <v/>
          </cell>
          <cell r="I192" t="str">
            <v/>
          </cell>
          <cell r="J192" t="str">
            <v/>
          </cell>
        </row>
        <row r="193">
          <cell r="D193" t="str">
            <v/>
          </cell>
          <cell r="F193" t="str">
            <v/>
          </cell>
          <cell r="G193" t="str">
            <v/>
          </cell>
          <cell r="H193" t="str">
            <v/>
          </cell>
          <cell r="I193" t="str">
            <v/>
          </cell>
          <cell r="J193" t="str">
            <v/>
          </cell>
        </row>
        <row r="194">
          <cell r="D194" t="str">
            <v/>
          </cell>
          <cell r="F194" t="str">
            <v/>
          </cell>
          <cell r="G194" t="str">
            <v/>
          </cell>
          <cell r="H194" t="str">
            <v/>
          </cell>
          <cell r="I194" t="str">
            <v/>
          </cell>
          <cell r="J194" t="str">
            <v/>
          </cell>
        </row>
        <row r="195">
          <cell r="D195" t="str">
            <v/>
          </cell>
          <cell r="F195" t="str">
            <v/>
          </cell>
          <cell r="G195" t="str">
            <v/>
          </cell>
          <cell r="H195" t="str">
            <v/>
          </cell>
          <cell r="I195" t="str">
            <v/>
          </cell>
          <cell r="J195" t="str">
            <v/>
          </cell>
        </row>
        <row r="196">
          <cell r="D196" t="str">
            <v/>
          </cell>
          <cell r="F196" t="str">
            <v/>
          </cell>
          <cell r="G196" t="str">
            <v/>
          </cell>
          <cell r="H196" t="str">
            <v/>
          </cell>
          <cell r="I196" t="str">
            <v/>
          </cell>
          <cell r="J196" t="str">
            <v/>
          </cell>
        </row>
        <row r="197">
          <cell r="F197" t="str">
            <v>CUSTO HORÁRIO DE MÃO DE OBRA - (B)</v>
          </cell>
          <cell r="J197">
            <v>0</v>
          </cell>
        </row>
        <row r="198">
          <cell r="F198" t="str">
            <v>FERRAMENTAS</v>
          </cell>
          <cell r="H198">
            <v>0.2051</v>
          </cell>
          <cell r="J198">
            <v>0</v>
          </cell>
        </row>
        <row r="199">
          <cell r="F199" t="str">
            <v>CUSTO HORÁRIO TOTAL - (A + B)</v>
          </cell>
          <cell r="J199">
            <v>0</v>
          </cell>
        </row>
        <row r="200">
          <cell r="F200" t="str">
            <v>CUSTO UNITÁRIO DE EXECUÇÃO - (D)</v>
          </cell>
          <cell r="J200">
            <v>0</v>
          </cell>
        </row>
        <row r="201">
          <cell r="C201" t="str">
            <v>ÍTEM</v>
          </cell>
          <cell r="D201" t="str">
            <v>M A T E R I A L</v>
          </cell>
          <cell r="E201" t="str">
            <v>UNID</v>
          </cell>
          <cell r="F201" t="str">
            <v>CONSUMO</v>
          </cell>
          <cell r="H201" t="str">
            <v xml:space="preserve"> PREÇO UNITÁRIO</v>
          </cell>
          <cell r="J201" t="str">
            <v>CUSTO UNITÁRIO</v>
          </cell>
        </row>
        <row r="202">
          <cell r="C202" t="str">
            <v>AM35</v>
          </cell>
          <cell r="D202" t="str">
            <v>Brita 1 (Comercial) com DMT até 50 km 19mm</v>
          </cell>
          <cell r="E202" t="str">
            <v>m3</v>
          </cell>
          <cell r="F202">
            <v>0.33329999999999999</v>
          </cell>
          <cell r="H202">
            <v>72.8</v>
          </cell>
          <cell r="I202" t="e">
            <v>#N/A</v>
          </cell>
          <cell r="J202">
            <v>24.26</v>
          </cell>
        </row>
        <row r="203">
          <cell r="C203" t="str">
            <v>AM36</v>
          </cell>
          <cell r="D203" t="str">
            <v>Brita 2 (Comercial) com DMT até 50 km 25mm</v>
          </cell>
          <cell r="E203" t="str">
            <v>m3</v>
          </cell>
          <cell r="F203">
            <v>0.33329999999999999</v>
          </cell>
          <cell r="H203">
            <v>72.8</v>
          </cell>
          <cell r="J203">
            <v>24.26</v>
          </cell>
        </row>
        <row r="204">
          <cell r="C204" t="str">
            <v>AM37</v>
          </cell>
          <cell r="D204" t="str">
            <v>Brita 3 (Comercial) com DMT até 50 km 38mm</v>
          </cell>
          <cell r="E204" t="str">
            <v>m3</v>
          </cell>
          <cell r="F204">
            <v>0.33339999999999997</v>
          </cell>
          <cell r="H204">
            <v>72.8</v>
          </cell>
          <cell r="J204">
            <v>24.27</v>
          </cell>
        </row>
        <row r="205">
          <cell r="D205" t="str">
            <v/>
          </cell>
          <cell r="E205" t="str">
            <v/>
          </cell>
          <cell r="J205" t="str">
            <v/>
          </cell>
        </row>
        <row r="206">
          <cell r="D206" t="str">
            <v/>
          </cell>
          <cell r="E206" t="str">
            <v/>
          </cell>
          <cell r="J206" t="str">
            <v/>
          </cell>
        </row>
        <row r="207">
          <cell r="F207" t="str">
            <v>CUSTO TOTAL DE MATERIAL - (E)</v>
          </cell>
          <cell r="J207">
            <v>72.790000000000006</v>
          </cell>
        </row>
        <row r="208">
          <cell r="C208" t="str">
            <v>CODIGO</v>
          </cell>
          <cell r="D208" t="str">
            <v>ATIVIDADES AUXILIARES</v>
          </cell>
          <cell r="E208" t="str">
            <v>UNID</v>
          </cell>
          <cell r="F208" t="str">
            <v>QUANTIDADE</v>
          </cell>
          <cell r="H208" t="str">
            <v xml:space="preserve"> PREÇO UNITÁRIO</v>
          </cell>
          <cell r="J208" t="str">
            <v>CUSTO UNITÁRIO</v>
          </cell>
        </row>
        <row r="209">
          <cell r="D209" t="str">
            <v/>
          </cell>
          <cell r="E209" t="str">
            <v/>
          </cell>
          <cell r="H209" t="str">
            <v/>
          </cell>
          <cell r="J209" t="str">
            <v/>
          </cell>
        </row>
        <row r="210">
          <cell r="D210" t="str">
            <v/>
          </cell>
          <cell r="E210" t="str">
            <v/>
          </cell>
          <cell r="H210" t="str">
            <v/>
          </cell>
          <cell r="J210" t="str">
            <v/>
          </cell>
        </row>
        <row r="211">
          <cell r="D211" t="str">
            <v/>
          </cell>
          <cell r="E211" t="str">
            <v/>
          </cell>
          <cell r="H211" t="str">
            <v/>
          </cell>
          <cell r="J211" t="str">
            <v/>
          </cell>
        </row>
        <row r="212">
          <cell r="D212" t="str">
            <v/>
          </cell>
          <cell r="E212" t="str">
            <v/>
          </cell>
          <cell r="H212" t="str">
            <v/>
          </cell>
          <cell r="J212" t="str">
            <v/>
          </cell>
        </row>
        <row r="213">
          <cell r="D213" t="str">
            <v/>
          </cell>
          <cell r="E213" t="str">
            <v/>
          </cell>
          <cell r="H213" t="str">
            <v/>
          </cell>
          <cell r="J213" t="str">
            <v/>
          </cell>
        </row>
        <row r="214">
          <cell r="C214" t="str">
            <v>OBSERVAÇÕES:</v>
          </cell>
          <cell r="F214" t="str">
            <v>CUSTO ATIVIDADES AUXILIARES - (F)</v>
          </cell>
          <cell r="J214">
            <v>0</v>
          </cell>
        </row>
        <row r="215">
          <cell r="F215" t="str">
            <v>CUSTO UNITÁRIO DIRETO TOTAL</v>
          </cell>
          <cell r="J215">
            <v>72.790000000000006</v>
          </cell>
        </row>
        <row r="216">
          <cell r="F216" t="str">
            <v xml:space="preserve">BONIFICAÇÃO </v>
          </cell>
          <cell r="H216">
            <v>0</v>
          </cell>
          <cell r="J216">
            <v>0</v>
          </cell>
        </row>
        <row r="217">
          <cell r="F217" t="str">
            <v>PREÇO UNITÁRIO  TOTAL</v>
          </cell>
          <cell r="J217">
            <v>72.790000000000006</v>
          </cell>
        </row>
        <row r="221">
          <cell r="A221" t="str">
            <v>1 A 00 903 51</v>
          </cell>
          <cell r="C221" t="str">
            <v>SERVIÇO:</v>
          </cell>
          <cell r="D221" t="str">
            <v>Dentes para bueiros duplos Ø=1,00 m AC/BC</v>
          </cell>
          <cell r="F221" t="str">
            <v>PRODUÇÃO DA EQUIPE - (C):</v>
          </cell>
          <cell r="J221">
            <v>1</v>
          </cell>
          <cell r="K221" t="str">
            <v>und</v>
          </cell>
          <cell r="M221" t="e">
            <v>#N/A</v>
          </cell>
        </row>
        <row r="222">
          <cell r="F222" t="str">
            <v>UNITÁRIO</v>
          </cell>
          <cell r="H222" t="str">
            <v>C. OPERACIONAL</v>
          </cell>
        </row>
        <row r="223">
          <cell r="C223" t="str">
            <v>ÍTEM</v>
          </cell>
          <cell r="D223" t="str">
            <v>E Q U I P A M E N T O</v>
          </cell>
          <cell r="E223" t="str">
            <v>QUANT.</v>
          </cell>
          <cell r="F223" t="str">
            <v>PROD</v>
          </cell>
          <cell r="G223" t="str">
            <v>IMPROD</v>
          </cell>
          <cell r="H223" t="str">
            <v>PROD</v>
          </cell>
          <cell r="I223" t="str">
            <v>IMPROD</v>
          </cell>
          <cell r="J223" t="str">
            <v>CUSTO HORÁRIO</v>
          </cell>
        </row>
        <row r="224">
          <cell r="D224" t="str">
            <v/>
          </cell>
          <cell r="G224" t="str">
            <v/>
          </cell>
          <cell r="H224" t="str">
            <v/>
          </cell>
          <cell r="I224" t="str">
            <v/>
          </cell>
          <cell r="J224" t="str">
            <v/>
          </cell>
        </row>
        <row r="225">
          <cell r="D225" t="str">
            <v/>
          </cell>
          <cell r="G225" t="str">
            <v/>
          </cell>
          <cell r="H225" t="str">
            <v/>
          </cell>
          <cell r="I225" t="str">
            <v/>
          </cell>
          <cell r="J225" t="str">
            <v/>
          </cell>
        </row>
        <row r="226">
          <cell r="D226" t="str">
            <v/>
          </cell>
          <cell r="G226" t="str">
            <v/>
          </cell>
          <cell r="H226" t="str">
            <v/>
          </cell>
          <cell r="I226" t="str">
            <v/>
          </cell>
          <cell r="J226" t="str">
            <v/>
          </cell>
        </row>
        <row r="227">
          <cell r="D227" t="str">
            <v/>
          </cell>
          <cell r="G227" t="str">
            <v/>
          </cell>
          <cell r="H227" t="str">
            <v/>
          </cell>
          <cell r="I227" t="str">
            <v/>
          </cell>
          <cell r="J227" t="str">
            <v/>
          </cell>
        </row>
        <row r="228">
          <cell r="D228" t="str">
            <v/>
          </cell>
          <cell r="G228" t="str">
            <v/>
          </cell>
          <cell r="H228" t="str">
            <v/>
          </cell>
          <cell r="I228" t="str">
            <v/>
          </cell>
          <cell r="J228" t="str">
            <v/>
          </cell>
        </row>
        <row r="229">
          <cell r="F229" t="str">
            <v>CUSTO HORÁRIO DO EQUIPAMENTO - (A)</v>
          </cell>
          <cell r="J229">
            <v>0</v>
          </cell>
        </row>
        <row r="230">
          <cell r="C230" t="str">
            <v>ÍTEM</v>
          </cell>
          <cell r="D230" t="str">
            <v>M Ã O    D E   O B R A</v>
          </cell>
          <cell r="E230" t="str">
            <v>QUANT.</v>
          </cell>
          <cell r="F230" t="str">
            <v>SALÁRIO HORA</v>
          </cell>
          <cell r="J230" t="str">
            <v>CUSTO HORÁRIO</v>
          </cell>
        </row>
        <row r="231">
          <cell r="C231" t="str">
            <v>T604</v>
          </cell>
          <cell r="D231" t="str">
            <v>Pedreiro</v>
          </cell>
          <cell r="E231">
            <v>0.8</v>
          </cell>
          <cell r="F231">
            <v>9.44</v>
          </cell>
          <cell r="G231" t="e">
            <v>#N/A</v>
          </cell>
          <cell r="H231" t="e">
            <v>#N/A</v>
          </cell>
          <cell r="I231" t="e">
            <v>#N/A</v>
          </cell>
          <cell r="J231">
            <v>7.55</v>
          </cell>
        </row>
        <row r="232">
          <cell r="C232" t="str">
            <v>T701</v>
          </cell>
          <cell r="D232" t="str">
            <v>Servente</v>
          </cell>
          <cell r="E232">
            <v>1.6</v>
          </cell>
          <cell r="F232">
            <v>6.99</v>
          </cell>
          <cell r="G232" t="e">
            <v>#N/A</v>
          </cell>
          <cell r="H232" t="e">
            <v>#N/A</v>
          </cell>
          <cell r="I232" t="e">
            <v>#N/A</v>
          </cell>
          <cell r="J232">
            <v>11.18</v>
          </cell>
        </row>
        <row r="233">
          <cell r="D233" t="str">
            <v/>
          </cell>
          <cell r="F233" t="str">
            <v/>
          </cell>
          <cell r="G233" t="str">
            <v/>
          </cell>
          <cell r="H233" t="str">
            <v/>
          </cell>
          <cell r="I233" t="str">
            <v/>
          </cell>
          <cell r="J233" t="str">
            <v/>
          </cell>
        </row>
        <row r="234">
          <cell r="D234" t="str">
            <v/>
          </cell>
          <cell r="F234" t="str">
            <v/>
          </cell>
          <cell r="G234" t="str">
            <v/>
          </cell>
          <cell r="H234" t="str">
            <v/>
          </cell>
          <cell r="I234" t="str">
            <v/>
          </cell>
          <cell r="J234" t="str">
            <v/>
          </cell>
        </row>
        <row r="235">
          <cell r="D235" t="str">
            <v/>
          </cell>
          <cell r="F235" t="str">
            <v/>
          </cell>
          <cell r="G235" t="str">
            <v/>
          </cell>
          <cell r="H235" t="str">
            <v/>
          </cell>
          <cell r="I235" t="str">
            <v/>
          </cell>
          <cell r="J235" t="str">
            <v/>
          </cell>
        </row>
        <row r="236">
          <cell r="F236" t="str">
            <v>CUSTO HORÁRIO DE MÃO DE OBRA - (B)</v>
          </cell>
          <cell r="J236">
            <v>18.73</v>
          </cell>
        </row>
        <row r="237">
          <cell r="F237" t="str">
            <v>FERRAMENTAS</v>
          </cell>
          <cell r="H237">
            <v>0.05</v>
          </cell>
          <cell r="J237">
            <v>0.93</v>
          </cell>
        </row>
        <row r="238">
          <cell r="F238" t="str">
            <v>CUSTO HORÁRIO TOTAL - (A + B)</v>
          </cell>
          <cell r="J238">
            <v>19.66</v>
          </cell>
        </row>
        <row r="239">
          <cell r="F239" t="str">
            <v>CUSTO UNITÁRIO DE EXECUÇÃO - (D)</v>
          </cell>
          <cell r="J239">
            <v>19.66</v>
          </cell>
        </row>
        <row r="240">
          <cell r="C240" t="str">
            <v>ÍTEM</v>
          </cell>
          <cell r="D240" t="str">
            <v>M A T E R I A L</v>
          </cell>
          <cell r="E240" t="str">
            <v>UNID</v>
          </cell>
          <cell r="F240" t="str">
            <v>CONSUMO</v>
          </cell>
          <cell r="H240" t="str">
            <v xml:space="preserve"> PREÇO UNITÁRIO</v>
          </cell>
          <cell r="J240" t="str">
            <v>CUSTO UNITÁRIO</v>
          </cell>
        </row>
        <row r="241">
          <cell r="D241" t="str">
            <v/>
          </cell>
          <cell r="E241" t="str">
            <v/>
          </cell>
          <cell r="H241" t="str">
            <v/>
          </cell>
          <cell r="I241" t="str">
            <v/>
          </cell>
          <cell r="J241" t="str">
            <v/>
          </cell>
        </row>
        <row r="242">
          <cell r="D242" t="str">
            <v/>
          </cell>
          <cell r="E242" t="str">
            <v/>
          </cell>
          <cell r="H242" t="str">
            <v/>
          </cell>
          <cell r="I242" t="str">
            <v/>
          </cell>
          <cell r="J242" t="str">
            <v/>
          </cell>
        </row>
        <row r="243">
          <cell r="D243" t="str">
            <v/>
          </cell>
          <cell r="E243" t="str">
            <v/>
          </cell>
          <cell r="H243" t="str">
            <v/>
          </cell>
          <cell r="I243" t="str">
            <v/>
          </cell>
          <cell r="J243" t="str">
            <v/>
          </cell>
        </row>
        <row r="244">
          <cell r="D244" t="str">
            <v/>
          </cell>
          <cell r="E244" t="str">
            <v/>
          </cell>
          <cell r="H244" t="str">
            <v/>
          </cell>
          <cell r="I244" t="str">
            <v/>
          </cell>
          <cell r="J244" t="str">
            <v/>
          </cell>
        </row>
        <row r="245">
          <cell r="D245" t="str">
            <v/>
          </cell>
          <cell r="E245" t="str">
            <v/>
          </cell>
          <cell r="H245" t="str">
            <v/>
          </cell>
          <cell r="I245" t="str">
            <v/>
          </cell>
          <cell r="J245" t="str">
            <v/>
          </cell>
        </row>
        <row r="246">
          <cell r="F246" t="str">
            <v>CUSTO TOTAL DE MATERIAL - (E)</v>
          </cell>
          <cell r="J246">
            <v>0</v>
          </cell>
        </row>
        <row r="247">
          <cell r="C247" t="str">
            <v>CODIGO</v>
          </cell>
          <cell r="D247" t="str">
            <v>ATIVIDADES AUXILIARES</v>
          </cell>
          <cell r="E247" t="str">
            <v>UNID</v>
          </cell>
          <cell r="F247" t="str">
            <v>QUANTIDADE</v>
          </cell>
          <cell r="H247" t="str">
            <v xml:space="preserve"> PREÇO UNITÁRIO</v>
          </cell>
          <cell r="J247" t="str">
            <v>CUSTO UNITÁRIO</v>
          </cell>
        </row>
        <row r="248">
          <cell r="C248" t="str">
            <v>1 A 01 580 02</v>
          </cell>
          <cell r="D248" t="str">
            <v>Fornecimento, preparo e colocação formas aço CA 50</v>
          </cell>
          <cell r="E248" t="str">
            <v>kg</v>
          </cell>
          <cell r="F248">
            <v>3.02</v>
          </cell>
          <cell r="H248">
            <v>5.72</v>
          </cell>
          <cell r="J248">
            <v>17.27</v>
          </cell>
        </row>
        <row r="249">
          <cell r="C249" t="str">
            <v>1 A 01 512 60</v>
          </cell>
          <cell r="D249" t="str">
            <v>Concreto ciclópico fck=12 MPa AC/BC/PC</v>
          </cell>
          <cell r="E249" t="str">
            <v>m³</v>
          </cell>
          <cell r="F249">
            <v>0.46</v>
          </cell>
          <cell r="H249" t="e">
            <v>#N/A</v>
          </cell>
          <cell r="J249" t="e">
            <v>#N/A</v>
          </cell>
        </row>
        <row r="250">
          <cell r="D250" t="str">
            <v/>
          </cell>
          <cell r="E250" t="str">
            <v/>
          </cell>
          <cell r="H250" t="str">
            <v/>
          </cell>
          <cell r="J250" t="str">
            <v/>
          </cell>
        </row>
        <row r="251">
          <cell r="D251" t="str">
            <v/>
          </cell>
          <cell r="E251" t="str">
            <v/>
          </cell>
          <cell r="H251" t="str">
            <v/>
          </cell>
          <cell r="J251" t="str">
            <v/>
          </cell>
        </row>
        <row r="252">
          <cell r="D252" t="str">
            <v/>
          </cell>
          <cell r="E252" t="str">
            <v/>
          </cell>
          <cell r="H252" t="str">
            <v/>
          </cell>
          <cell r="J252" t="str">
            <v/>
          </cell>
        </row>
        <row r="253">
          <cell r="C253" t="str">
            <v>OBSERVAÇÕES:</v>
          </cell>
          <cell r="F253" t="str">
            <v>CUSTO ATIVIDADES AUXILIARES - (F)</v>
          </cell>
          <cell r="J253" t="e">
            <v>#N/A</v>
          </cell>
        </row>
        <row r="254">
          <cell r="F254" t="str">
            <v>CUSTO UNITÁRIO DIRETO TOTAL</v>
          </cell>
          <cell r="J254" t="e">
            <v>#N/A</v>
          </cell>
        </row>
        <row r="255">
          <cell r="F255" t="str">
            <v xml:space="preserve">BONIFICAÇÃO </v>
          </cell>
          <cell r="H255">
            <v>0</v>
          </cell>
          <cell r="J255" t="e">
            <v>#N/A</v>
          </cell>
        </row>
        <row r="256">
          <cell r="F256" t="str">
            <v>PREÇO UNITÁRIO  TOTAL</v>
          </cell>
          <cell r="J256" t="e">
            <v>#N/A</v>
          </cell>
        </row>
        <row r="260">
          <cell r="A260" t="str">
            <v>1 A 00 912 51</v>
          </cell>
          <cell r="C260" t="str">
            <v>SERVIÇO:</v>
          </cell>
          <cell r="D260" t="str">
            <v>Dentes para bueiros triplos D=1,20 m AC/BC/PC</v>
          </cell>
          <cell r="F260" t="str">
            <v>PRODUÇÃO DA EQUIPE - (C):</v>
          </cell>
          <cell r="J260">
            <v>1</v>
          </cell>
          <cell r="K260" t="str">
            <v>und</v>
          </cell>
          <cell r="M260" t="e">
            <v>#N/A</v>
          </cell>
        </row>
        <row r="261">
          <cell r="F261" t="str">
            <v>UNITÁRIO</v>
          </cell>
          <cell r="H261" t="str">
            <v>C. OPERACIONAL</v>
          </cell>
        </row>
        <row r="262">
          <cell r="C262" t="str">
            <v>ÍTEM</v>
          </cell>
          <cell r="D262" t="str">
            <v>E Q U I P A M E N T O</v>
          </cell>
          <cell r="E262" t="str">
            <v>QUANT.</v>
          </cell>
          <cell r="F262" t="str">
            <v>PROD</v>
          </cell>
          <cell r="G262" t="str">
            <v>IMPROD</v>
          </cell>
          <cell r="H262" t="str">
            <v>PROD</v>
          </cell>
          <cell r="I262" t="str">
            <v>IMPROD</v>
          </cell>
          <cell r="J262" t="str">
            <v>CUSTO HORÁRIO</v>
          </cell>
        </row>
        <row r="263">
          <cell r="D263" t="str">
            <v/>
          </cell>
          <cell r="G263" t="str">
            <v/>
          </cell>
          <cell r="H263" t="str">
            <v/>
          </cell>
          <cell r="I263" t="str">
            <v/>
          </cell>
          <cell r="J263" t="str">
            <v/>
          </cell>
        </row>
        <row r="264">
          <cell r="D264" t="str">
            <v/>
          </cell>
          <cell r="G264" t="str">
            <v/>
          </cell>
          <cell r="H264" t="str">
            <v/>
          </cell>
          <cell r="I264" t="str">
            <v/>
          </cell>
          <cell r="J264" t="str">
            <v/>
          </cell>
        </row>
        <row r="265">
          <cell r="D265" t="str">
            <v/>
          </cell>
          <cell r="G265" t="str">
            <v/>
          </cell>
          <cell r="H265" t="str">
            <v/>
          </cell>
          <cell r="I265" t="str">
            <v/>
          </cell>
          <cell r="J265" t="str">
            <v/>
          </cell>
        </row>
        <row r="266">
          <cell r="D266" t="str">
            <v/>
          </cell>
          <cell r="G266" t="str">
            <v/>
          </cell>
          <cell r="H266" t="str">
            <v/>
          </cell>
          <cell r="I266" t="str">
            <v/>
          </cell>
          <cell r="J266" t="str">
            <v/>
          </cell>
        </row>
        <row r="267">
          <cell r="D267" t="str">
            <v/>
          </cell>
          <cell r="G267" t="str">
            <v/>
          </cell>
          <cell r="H267" t="str">
            <v/>
          </cell>
          <cell r="I267" t="str">
            <v/>
          </cell>
          <cell r="J267" t="str">
            <v/>
          </cell>
        </row>
        <row r="268">
          <cell r="F268" t="str">
            <v>CUSTO HORÁRIO DO EQUIPAMENTO - (A)</v>
          </cell>
          <cell r="J268">
            <v>0</v>
          </cell>
        </row>
        <row r="269">
          <cell r="C269" t="str">
            <v>ÍTEM</v>
          </cell>
          <cell r="D269" t="str">
            <v>M Ã O    D E   O B R A</v>
          </cell>
          <cell r="E269" t="str">
            <v>QUANT.</v>
          </cell>
          <cell r="F269" t="str">
            <v>SALÁRIO HORA</v>
          </cell>
          <cell r="J269" t="str">
            <v>CUSTO HORÁRIO</v>
          </cell>
        </row>
        <row r="270">
          <cell r="C270" t="str">
            <v>T604</v>
          </cell>
          <cell r="D270" t="str">
            <v>Pedreiro</v>
          </cell>
          <cell r="E270">
            <v>0.6</v>
          </cell>
          <cell r="F270">
            <v>9.44</v>
          </cell>
          <cell r="G270" t="e">
            <v>#N/A</v>
          </cell>
          <cell r="H270" t="e">
            <v>#N/A</v>
          </cell>
          <cell r="I270" t="e">
            <v>#N/A</v>
          </cell>
          <cell r="J270">
            <v>5.66</v>
          </cell>
        </row>
        <row r="271">
          <cell r="C271" t="str">
            <v>T701</v>
          </cell>
          <cell r="D271" t="str">
            <v>Servente</v>
          </cell>
          <cell r="E271">
            <v>1.2</v>
          </cell>
          <cell r="F271">
            <v>6.99</v>
          </cell>
          <cell r="G271" t="e">
            <v>#N/A</v>
          </cell>
          <cell r="H271" t="e">
            <v>#N/A</v>
          </cell>
          <cell r="I271" t="e">
            <v>#N/A</v>
          </cell>
          <cell r="J271">
            <v>8.3800000000000008</v>
          </cell>
        </row>
        <row r="272">
          <cell r="D272" t="str">
            <v/>
          </cell>
          <cell r="F272" t="str">
            <v/>
          </cell>
          <cell r="G272" t="str">
            <v/>
          </cell>
          <cell r="H272" t="str">
            <v/>
          </cell>
          <cell r="I272" t="str">
            <v/>
          </cell>
          <cell r="J272" t="str">
            <v/>
          </cell>
        </row>
        <row r="273">
          <cell r="D273" t="str">
            <v/>
          </cell>
          <cell r="F273" t="str">
            <v/>
          </cell>
          <cell r="G273" t="str">
            <v/>
          </cell>
          <cell r="H273" t="str">
            <v/>
          </cell>
          <cell r="I273" t="str">
            <v/>
          </cell>
          <cell r="J273" t="str">
            <v/>
          </cell>
        </row>
        <row r="274">
          <cell r="D274" t="str">
            <v/>
          </cell>
          <cell r="F274" t="str">
            <v/>
          </cell>
          <cell r="G274" t="str">
            <v/>
          </cell>
          <cell r="H274" t="str">
            <v/>
          </cell>
          <cell r="I274" t="str">
            <v/>
          </cell>
          <cell r="J274" t="str">
            <v/>
          </cell>
        </row>
        <row r="275">
          <cell r="F275" t="str">
            <v>CUSTO HORÁRIO DE MÃO DE OBRA - (B)</v>
          </cell>
          <cell r="J275">
            <v>14.04</v>
          </cell>
        </row>
        <row r="276">
          <cell r="F276" t="str">
            <v>FERRAMENTAS</v>
          </cell>
          <cell r="H276">
            <v>0.05</v>
          </cell>
          <cell r="J276">
            <v>0.7</v>
          </cell>
        </row>
        <row r="277">
          <cell r="F277" t="str">
            <v>CUSTO HORÁRIO TOTAL - (A + B)</v>
          </cell>
          <cell r="J277">
            <v>14.74</v>
          </cell>
        </row>
        <row r="278">
          <cell r="F278" t="str">
            <v>CUSTO UNITÁRIO DE EXECUÇÃO - (D)</v>
          </cell>
          <cell r="J278">
            <v>14.74</v>
          </cell>
        </row>
        <row r="279">
          <cell r="C279" t="str">
            <v>ÍTEM</v>
          </cell>
          <cell r="D279" t="str">
            <v>M A T E R I A L</v>
          </cell>
          <cell r="E279" t="str">
            <v>UNID</v>
          </cell>
          <cell r="F279" t="str">
            <v>CONSUMO</v>
          </cell>
          <cell r="H279" t="str">
            <v xml:space="preserve"> PREÇO UNITÁRIO</v>
          </cell>
          <cell r="J279" t="str">
            <v>CUSTO UNITÁRIO</v>
          </cell>
        </row>
        <row r="280">
          <cell r="D280" t="str">
            <v/>
          </cell>
          <cell r="E280" t="str">
            <v/>
          </cell>
          <cell r="H280" t="str">
            <v/>
          </cell>
          <cell r="I280" t="str">
            <v/>
          </cell>
          <cell r="J280" t="str">
            <v/>
          </cell>
        </row>
        <row r="281">
          <cell r="D281" t="str">
            <v/>
          </cell>
          <cell r="E281" t="str">
            <v/>
          </cell>
          <cell r="H281" t="str">
            <v/>
          </cell>
          <cell r="I281" t="str">
            <v/>
          </cell>
          <cell r="J281" t="str">
            <v/>
          </cell>
        </row>
        <row r="282">
          <cell r="D282" t="str">
            <v/>
          </cell>
          <cell r="E282" t="str">
            <v/>
          </cell>
          <cell r="H282" t="str">
            <v/>
          </cell>
          <cell r="I282" t="str">
            <v/>
          </cell>
          <cell r="J282" t="str">
            <v/>
          </cell>
        </row>
        <row r="283">
          <cell r="D283" t="str">
            <v/>
          </cell>
          <cell r="E283" t="str">
            <v/>
          </cell>
          <cell r="H283" t="str">
            <v/>
          </cell>
          <cell r="I283" t="str">
            <v/>
          </cell>
          <cell r="J283" t="str">
            <v/>
          </cell>
        </row>
        <row r="284">
          <cell r="D284" t="str">
            <v/>
          </cell>
          <cell r="E284" t="str">
            <v/>
          </cell>
          <cell r="H284" t="str">
            <v/>
          </cell>
          <cell r="I284" t="str">
            <v/>
          </cell>
          <cell r="J284" t="str">
            <v/>
          </cell>
        </row>
        <row r="285">
          <cell r="F285" t="str">
            <v>CUSTO TOTAL DE MATERIAL - (E)</v>
          </cell>
          <cell r="J285">
            <v>0</v>
          </cell>
        </row>
        <row r="286">
          <cell r="C286" t="str">
            <v>CODIGO</v>
          </cell>
          <cell r="D286" t="str">
            <v>ATIVIDADES AUXILIARES</v>
          </cell>
          <cell r="E286" t="str">
            <v>UNID</v>
          </cell>
          <cell r="F286" t="str">
            <v>QUANTIDADE</v>
          </cell>
          <cell r="H286" t="str">
            <v xml:space="preserve"> PREÇO UNITÁRIO</v>
          </cell>
          <cell r="J286" t="str">
            <v>CUSTO UNITÁRIO</v>
          </cell>
        </row>
        <row r="287">
          <cell r="C287" t="str">
            <v>1 A 01 512 60</v>
          </cell>
          <cell r="D287" t="str">
            <v>Concreto ciclópico fck=12 MPa AC/BC/PC</v>
          </cell>
          <cell r="E287" t="str">
            <v>m³</v>
          </cell>
          <cell r="F287">
            <v>0.8</v>
          </cell>
          <cell r="H287" t="e">
            <v>#N/A</v>
          </cell>
          <cell r="J287" t="e">
            <v>#N/A</v>
          </cell>
        </row>
        <row r="288">
          <cell r="C288" t="str">
            <v>1 A 01 580 02</v>
          </cell>
          <cell r="D288" t="str">
            <v>Fornecimento, preparo e colocação formas aço CA 50</v>
          </cell>
          <cell r="E288" t="str">
            <v>kg</v>
          </cell>
          <cell r="F288">
            <v>4.91</v>
          </cell>
          <cell r="H288">
            <v>5.72</v>
          </cell>
          <cell r="J288">
            <v>28.08</v>
          </cell>
        </row>
        <row r="289">
          <cell r="D289" t="str">
            <v/>
          </cell>
          <cell r="E289" t="str">
            <v/>
          </cell>
          <cell r="H289" t="str">
            <v/>
          </cell>
          <cell r="J289" t="str">
            <v/>
          </cell>
        </row>
        <row r="290">
          <cell r="D290" t="str">
            <v/>
          </cell>
          <cell r="E290" t="str">
            <v/>
          </cell>
          <cell r="H290" t="str">
            <v/>
          </cell>
          <cell r="J290" t="str">
            <v/>
          </cell>
        </row>
        <row r="291">
          <cell r="D291" t="str">
            <v/>
          </cell>
          <cell r="E291" t="str">
            <v/>
          </cell>
          <cell r="H291" t="str">
            <v/>
          </cell>
          <cell r="J291" t="str">
            <v/>
          </cell>
        </row>
        <row r="292">
          <cell r="C292" t="str">
            <v>OBSERVAÇÕES:</v>
          </cell>
          <cell r="F292" t="str">
            <v>CUSTO ATIVIDADES AUXILIARES - (F)</v>
          </cell>
          <cell r="J292" t="e">
            <v>#N/A</v>
          </cell>
        </row>
        <row r="293">
          <cell r="F293" t="str">
            <v>CUSTO UNITÁRIO DIRETO TOTAL</v>
          </cell>
          <cell r="J293" t="e">
            <v>#N/A</v>
          </cell>
        </row>
        <row r="294">
          <cell r="F294" t="str">
            <v xml:space="preserve">BONIFICAÇÃO </v>
          </cell>
          <cell r="H294">
            <v>0</v>
          </cell>
          <cell r="J294" t="e">
            <v>#N/A</v>
          </cell>
        </row>
        <row r="295">
          <cell r="F295" t="str">
            <v>PREÇO UNITÁRIO  TOTAL</v>
          </cell>
          <cell r="J295" t="e">
            <v>#N/A</v>
          </cell>
        </row>
        <row r="301">
          <cell r="A301" t="str">
            <v>1 A 00 961 00</v>
          </cell>
          <cell r="C301" t="str">
            <v>SERVIÇO:</v>
          </cell>
          <cell r="D301" t="str">
            <v>Peças de Desgaste do Britador 30m3/h</v>
          </cell>
          <cell r="F301" t="str">
            <v>PRODUÇÃO DA EQUIPE - (C):</v>
          </cell>
          <cell r="J301">
            <v>1</v>
          </cell>
          <cell r="K301" t="str">
            <v>CJH</v>
          </cell>
          <cell r="M301">
            <v>60.95</v>
          </cell>
        </row>
        <row r="302">
          <cell r="F302" t="str">
            <v>UNITÁRIO</v>
          </cell>
          <cell r="H302" t="str">
            <v>C. OPERACIONAL</v>
          </cell>
        </row>
        <row r="303">
          <cell r="C303" t="str">
            <v>ÍTEM</v>
          </cell>
          <cell r="D303" t="str">
            <v>E Q U I P A M E N T O</v>
          </cell>
          <cell r="E303" t="str">
            <v>QUANT.</v>
          </cell>
          <cell r="F303" t="str">
            <v>PROD</v>
          </cell>
          <cell r="G303" t="str">
            <v>IMPROD</v>
          </cell>
          <cell r="H303" t="str">
            <v>PROD</v>
          </cell>
          <cell r="I303" t="str">
            <v>IMPROD</v>
          </cell>
          <cell r="J303" t="str">
            <v>CUSTO HORÁRIO</v>
          </cell>
        </row>
        <row r="304">
          <cell r="D304" t="str">
            <v/>
          </cell>
          <cell r="G304" t="str">
            <v/>
          </cell>
          <cell r="H304" t="str">
            <v/>
          </cell>
          <cell r="I304" t="str">
            <v/>
          </cell>
          <cell r="J304" t="str">
            <v/>
          </cell>
        </row>
        <row r="305">
          <cell r="D305" t="str">
            <v/>
          </cell>
          <cell r="G305" t="str">
            <v/>
          </cell>
          <cell r="H305" t="str">
            <v/>
          </cell>
          <cell r="I305" t="str">
            <v/>
          </cell>
          <cell r="J305" t="str">
            <v/>
          </cell>
        </row>
        <row r="306">
          <cell r="D306" t="str">
            <v/>
          </cell>
          <cell r="G306" t="str">
            <v/>
          </cell>
          <cell r="H306" t="str">
            <v/>
          </cell>
          <cell r="I306" t="str">
            <v/>
          </cell>
          <cell r="J306" t="str">
            <v/>
          </cell>
        </row>
        <row r="307">
          <cell r="D307" t="str">
            <v/>
          </cell>
          <cell r="G307" t="str">
            <v/>
          </cell>
          <cell r="H307" t="str">
            <v/>
          </cell>
          <cell r="I307" t="str">
            <v/>
          </cell>
          <cell r="J307" t="str">
            <v/>
          </cell>
        </row>
        <row r="308">
          <cell r="D308" t="str">
            <v/>
          </cell>
          <cell r="G308" t="str">
            <v/>
          </cell>
          <cell r="H308" t="str">
            <v/>
          </cell>
          <cell r="I308" t="str">
            <v/>
          </cell>
          <cell r="J308" t="str">
            <v/>
          </cell>
        </row>
        <row r="309">
          <cell r="D309" t="str">
            <v/>
          </cell>
          <cell r="G309" t="str">
            <v/>
          </cell>
          <cell r="H309" t="str">
            <v/>
          </cell>
          <cell r="I309" t="str">
            <v/>
          </cell>
          <cell r="J309" t="str">
            <v/>
          </cell>
        </row>
        <row r="310">
          <cell r="D310" t="str">
            <v/>
          </cell>
          <cell r="G310" t="str">
            <v/>
          </cell>
          <cell r="H310" t="str">
            <v/>
          </cell>
          <cell r="I310" t="str">
            <v/>
          </cell>
          <cell r="J310" t="str">
            <v/>
          </cell>
        </row>
        <row r="311">
          <cell r="F311" t="str">
            <v>CUSTO HORÁRIO DO EQUIPAMENTO - (A)</v>
          </cell>
          <cell r="J311">
            <v>0</v>
          </cell>
        </row>
        <row r="312">
          <cell r="C312" t="str">
            <v>ÍTEM</v>
          </cell>
          <cell r="D312" t="str">
            <v>M Ã O    D E   O B R A</v>
          </cell>
          <cell r="E312" t="str">
            <v>QUANT.</v>
          </cell>
          <cell r="F312" t="str">
            <v>SALÁRIO HORA</v>
          </cell>
          <cell r="J312" t="str">
            <v>CUSTO HORÁRIO</v>
          </cell>
        </row>
        <row r="313">
          <cell r="D313" t="str">
            <v/>
          </cell>
          <cell r="F313" t="str">
            <v/>
          </cell>
          <cell r="G313" t="str">
            <v/>
          </cell>
          <cell r="H313" t="str">
            <v/>
          </cell>
          <cell r="I313" t="str">
            <v/>
          </cell>
          <cell r="J313" t="str">
            <v/>
          </cell>
        </row>
        <row r="314">
          <cell r="D314" t="str">
            <v/>
          </cell>
          <cell r="F314" t="str">
            <v/>
          </cell>
          <cell r="G314" t="str">
            <v/>
          </cell>
          <cell r="H314" t="str">
            <v/>
          </cell>
          <cell r="I314" t="str">
            <v/>
          </cell>
          <cell r="J314" t="str">
            <v/>
          </cell>
        </row>
        <row r="315">
          <cell r="D315" t="str">
            <v/>
          </cell>
          <cell r="F315" t="str">
            <v/>
          </cell>
          <cell r="G315" t="str">
            <v/>
          </cell>
          <cell r="H315" t="str">
            <v/>
          </cell>
          <cell r="I315" t="str">
            <v/>
          </cell>
          <cell r="J315" t="str">
            <v/>
          </cell>
        </row>
        <row r="316">
          <cell r="D316" t="str">
            <v/>
          </cell>
          <cell r="F316" t="str">
            <v/>
          </cell>
          <cell r="G316" t="str">
            <v/>
          </cell>
          <cell r="H316" t="str">
            <v/>
          </cell>
          <cell r="I316" t="str">
            <v/>
          </cell>
          <cell r="J316" t="str">
            <v/>
          </cell>
        </row>
        <row r="317">
          <cell r="D317" t="str">
            <v/>
          </cell>
          <cell r="F317" t="str">
            <v/>
          </cell>
          <cell r="G317" t="str">
            <v/>
          </cell>
          <cell r="H317" t="str">
            <v/>
          </cell>
          <cell r="I317" t="str">
            <v/>
          </cell>
          <cell r="J317" t="str">
            <v/>
          </cell>
        </row>
        <row r="318">
          <cell r="F318" t="str">
            <v>CUSTO HORÁRIO DE MÃO DE OBRA - (B)</v>
          </cell>
          <cell r="J318">
            <v>0</v>
          </cell>
        </row>
        <row r="319">
          <cell r="F319" t="str">
            <v>FERRAMENTAS</v>
          </cell>
          <cell r="H319">
            <v>0.2051</v>
          </cell>
          <cell r="J319">
            <v>0</v>
          </cell>
        </row>
        <row r="320">
          <cell r="F320" t="str">
            <v>CUSTO HORÁRIO TOTAL - (A + B)</v>
          </cell>
          <cell r="J320">
            <v>0</v>
          </cell>
        </row>
        <row r="321">
          <cell r="F321" t="str">
            <v>CUSTO UNITÁRIO DE EXECUÇÃO - (D)</v>
          </cell>
          <cell r="J321">
            <v>0</v>
          </cell>
        </row>
        <row r="322">
          <cell r="C322" t="str">
            <v>ÍTEM</v>
          </cell>
          <cell r="D322" t="str">
            <v>M A T E R I A L</v>
          </cell>
          <cell r="E322" t="str">
            <v>UNID</v>
          </cell>
          <cell r="F322" t="str">
            <v>CONSUMO</v>
          </cell>
          <cell r="H322" t="str">
            <v xml:space="preserve"> PREÇO UNITÁRIO</v>
          </cell>
          <cell r="J322" t="str">
            <v>CUSTO UNITÁRIO</v>
          </cell>
        </row>
        <row r="323">
          <cell r="C323" t="str">
            <v>AM09</v>
          </cell>
          <cell r="D323" t="str">
            <v>Mandíbula móvel p/ britador 6240C</v>
          </cell>
          <cell r="E323" t="str">
            <v>u/h</v>
          </cell>
          <cell r="F323">
            <v>1</v>
          </cell>
          <cell r="H323">
            <v>15.42</v>
          </cell>
          <cell r="J323">
            <v>15.42</v>
          </cell>
        </row>
        <row r="324">
          <cell r="C324" t="str">
            <v>AM10</v>
          </cell>
          <cell r="D324" t="str">
            <v>Mandíbula fixa p/ britador 6240C</v>
          </cell>
          <cell r="E324" t="str">
            <v>u/h</v>
          </cell>
          <cell r="F324">
            <v>1</v>
          </cell>
          <cell r="H324">
            <v>28.2</v>
          </cell>
          <cell r="J324">
            <v>28.2</v>
          </cell>
        </row>
        <row r="325">
          <cell r="C325" t="str">
            <v>AM11</v>
          </cell>
          <cell r="D325" t="str">
            <v>Revestimento móvel p/ britador 60TS</v>
          </cell>
          <cell r="E325" t="str">
            <v>u/h</v>
          </cell>
          <cell r="F325">
            <v>1</v>
          </cell>
          <cell r="H325">
            <v>7.61</v>
          </cell>
          <cell r="J325">
            <v>7.61</v>
          </cell>
        </row>
        <row r="326">
          <cell r="C326" t="str">
            <v>AM12</v>
          </cell>
          <cell r="D326" t="str">
            <v>Revestimento fixo p/ britador 60TS</v>
          </cell>
          <cell r="E326" t="str">
            <v>u/h</v>
          </cell>
          <cell r="F326">
            <v>1</v>
          </cell>
          <cell r="H326">
            <v>9.7200000000000006</v>
          </cell>
          <cell r="J326">
            <v>9.7200000000000006</v>
          </cell>
        </row>
        <row r="327">
          <cell r="D327" t="str">
            <v/>
          </cell>
          <cell r="E327" t="str">
            <v/>
          </cell>
          <cell r="H327">
            <v>0</v>
          </cell>
          <cell r="J327" t="str">
            <v/>
          </cell>
        </row>
        <row r="328">
          <cell r="F328" t="str">
            <v>CUSTO TOTAL DE MATERIAL - (E)</v>
          </cell>
          <cell r="J328">
            <v>60.95</v>
          </cell>
        </row>
        <row r="329">
          <cell r="C329" t="str">
            <v>CODIGO</v>
          </cell>
          <cell r="D329" t="str">
            <v>ATIVIDADES AUXILIARES</v>
          </cell>
          <cell r="E329" t="str">
            <v>UNID</v>
          </cell>
          <cell r="F329" t="str">
            <v>QUANTIDADE</v>
          </cell>
          <cell r="H329" t="str">
            <v xml:space="preserve"> PREÇO UNITÁRIO</v>
          </cell>
          <cell r="J329" t="str">
            <v>CUSTO UNITÁRIO</v>
          </cell>
        </row>
        <row r="330">
          <cell r="D330" t="str">
            <v/>
          </cell>
          <cell r="E330" t="str">
            <v/>
          </cell>
          <cell r="H330" t="str">
            <v/>
          </cell>
          <cell r="J330" t="str">
            <v/>
          </cell>
        </row>
        <row r="331">
          <cell r="D331" t="str">
            <v/>
          </cell>
          <cell r="E331" t="str">
            <v/>
          </cell>
          <cell r="H331" t="str">
            <v/>
          </cell>
          <cell r="J331" t="str">
            <v/>
          </cell>
        </row>
        <row r="332">
          <cell r="D332" t="str">
            <v/>
          </cell>
          <cell r="E332" t="str">
            <v/>
          </cell>
          <cell r="H332" t="str">
            <v/>
          </cell>
          <cell r="J332" t="str">
            <v/>
          </cell>
        </row>
        <row r="333">
          <cell r="D333" t="str">
            <v/>
          </cell>
          <cell r="E333" t="str">
            <v/>
          </cell>
          <cell r="H333" t="str">
            <v/>
          </cell>
          <cell r="J333" t="str">
            <v/>
          </cell>
        </row>
        <row r="334">
          <cell r="D334" t="str">
            <v/>
          </cell>
          <cell r="E334" t="str">
            <v/>
          </cell>
          <cell r="H334" t="str">
            <v/>
          </cell>
          <cell r="J334" t="str">
            <v/>
          </cell>
        </row>
        <row r="335">
          <cell r="C335" t="str">
            <v>OBSERVAÇÕES:</v>
          </cell>
          <cell r="F335" t="str">
            <v>CUSTO ATIVIDADES AUXILIARES - (F)</v>
          </cell>
          <cell r="J335">
            <v>0</v>
          </cell>
        </row>
        <row r="336">
          <cell r="F336" t="str">
            <v>CUSTO UNITÁRIO DIRETO TOTAL</v>
          </cell>
          <cell r="J336">
            <v>60.95</v>
          </cell>
        </row>
        <row r="337">
          <cell r="F337" t="str">
            <v xml:space="preserve">BONIFICAÇÃO </v>
          </cell>
          <cell r="H337">
            <v>0</v>
          </cell>
          <cell r="J337">
            <v>0</v>
          </cell>
        </row>
        <row r="338">
          <cell r="F338" t="str">
            <v>PREÇO UNITÁRIO  TOTAL</v>
          </cell>
          <cell r="J338">
            <v>60.95</v>
          </cell>
        </row>
        <row r="342">
          <cell r="A342" t="str">
            <v>1 A 00 963 00</v>
          </cell>
          <cell r="C342" t="str">
            <v>SERVIÇO:</v>
          </cell>
          <cell r="D342" t="str">
            <v>Peças de Desgaste do Britador 80m3/h</v>
          </cell>
          <cell r="F342" t="str">
            <v>PRODUÇÃO DA EQUIPE - (C):</v>
          </cell>
          <cell r="J342">
            <v>1</v>
          </cell>
          <cell r="K342" t="str">
            <v>cjh</v>
          </cell>
          <cell r="M342">
            <v>148.97</v>
          </cell>
        </row>
        <row r="343">
          <cell r="F343" t="str">
            <v>UNITÁRIO</v>
          </cell>
          <cell r="H343" t="str">
            <v>C. OPERACIONAL</v>
          </cell>
        </row>
        <row r="344">
          <cell r="C344" t="str">
            <v>ÍTEM</v>
          </cell>
          <cell r="D344" t="str">
            <v>E Q U I P A M E N T O</v>
          </cell>
          <cell r="E344" t="str">
            <v>QUANT.</v>
          </cell>
          <cell r="F344" t="str">
            <v>PROD</v>
          </cell>
          <cell r="G344" t="str">
            <v>IMPROD</v>
          </cell>
          <cell r="H344" t="str">
            <v>PROD</v>
          </cell>
          <cell r="I344" t="str">
            <v>IMPROD</v>
          </cell>
          <cell r="J344" t="str">
            <v>CUSTO HORÁRIO</v>
          </cell>
        </row>
        <row r="345">
          <cell r="D345" t="str">
            <v/>
          </cell>
          <cell r="G345" t="str">
            <v/>
          </cell>
          <cell r="H345" t="str">
            <v/>
          </cell>
          <cell r="I345" t="str">
            <v/>
          </cell>
          <cell r="J345" t="str">
            <v/>
          </cell>
        </row>
        <row r="346">
          <cell r="D346" t="str">
            <v/>
          </cell>
          <cell r="G346" t="str">
            <v/>
          </cell>
          <cell r="H346" t="str">
            <v/>
          </cell>
          <cell r="I346" t="str">
            <v/>
          </cell>
          <cell r="J346" t="str">
            <v/>
          </cell>
        </row>
        <row r="347">
          <cell r="D347" t="str">
            <v/>
          </cell>
          <cell r="G347" t="str">
            <v/>
          </cell>
          <cell r="H347" t="str">
            <v/>
          </cell>
          <cell r="I347" t="str">
            <v/>
          </cell>
          <cell r="J347" t="str">
            <v/>
          </cell>
        </row>
        <row r="348">
          <cell r="D348" t="str">
            <v/>
          </cell>
          <cell r="G348" t="str">
            <v/>
          </cell>
          <cell r="H348" t="str">
            <v/>
          </cell>
          <cell r="I348" t="str">
            <v/>
          </cell>
          <cell r="J348" t="str">
            <v/>
          </cell>
        </row>
        <row r="349">
          <cell r="D349" t="str">
            <v/>
          </cell>
          <cell r="G349" t="str">
            <v/>
          </cell>
          <cell r="H349" t="str">
            <v/>
          </cell>
          <cell r="I349" t="str">
            <v/>
          </cell>
          <cell r="J349" t="str">
            <v/>
          </cell>
        </row>
        <row r="350">
          <cell r="F350" t="str">
            <v>CUSTO HORÁRIO DO EQUIPAMENTO - (A)</v>
          </cell>
          <cell r="J350">
            <v>0</v>
          </cell>
        </row>
        <row r="351">
          <cell r="C351" t="str">
            <v>ÍTEM</v>
          </cell>
          <cell r="D351" t="str">
            <v>M Ã O    D E   O B R A</v>
          </cell>
          <cell r="E351" t="str">
            <v>QUANT.</v>
          </cell>
          <cell r="F351" t="str">
            <v>SALÁRIO HORA</v>
          </cell>
          <cell r="J351" t="str">
            <v>CUSTO HORÁRIO</v>
          </cell>
        </row>
        <row r="352">
          <cell r="D352" t="str">
            <v/>
          </cell>
          <cell r="F352" t="str">
            <v/>
          </cell>
          <cell r="G352" t="str">
            <v/>
          </cell>
          <cell r="H352" t="str">
            <v/>
          </cell>
          <cell r="I352" t="str">
            <v/>
          </cell>
          <cell r="J352" t="str">
            <v/>
          </cell>
        </row>
        <row r="353">
          <cell r="D353" t="str">
            <v/>
          </cell>
          <cell r="F353" t="str">
            <v/>
          </cell>
          <cell r="G353" t="str">
            <v/>
          </cell>
          <cell r="H353" t="str">
            <v/>
          </cell>
          <cell r="I353" t="str">
            <v/>
          </cell>
          <cell r="J353" t="str">
            <v/>
          </cell>
        </row>
        <row r="354">
          <cell r="D354" t="str">
            <v/>
          </cell>
          <cell r="F354" t="str">
            <v/>
          </cell>
          <cell r="G354" t="str">
            <v/>
          </cell>
          <cell r="H354" t="str">
            <v/>
          </cell>
          <cell r="I354" t="str">
            <v/>
          </cell>
          <cell r="J354" t="str">
            <v/>
          </cell>
        </row>
        <row r="355">
          <cell r="D355" t="str">
            <v/>
          </cell>
          <cell r="F355" t="str">
            <v/>
          </cell>
          <cell r="G355" t="str">
            <v/>
          </cell>
          <cell r="H355" t="str">
            <v/>
          </cell>
          <cell r="I355" t="str">
            <v/>
          </cell>
          <cell r="J355" t="str">
            <v/>
          </cell>
        </row>
        <row r="356">
          <cell r="D356" t="str">
            <v/>
          </cell>
          <cell r="F356" t="str">
            <v/>
          </cell>
          <cell r="G356" t="str">
            <v/>
          </cell>
          <cell r="H356" t="str">
            <v/>
          </cell>
          <cell r="I356" t="str">
            <v/>
          </cell>
          <cell r="J356" t="str">
            <v/>
          </cell>
        </row>
        <row r="357">
          <cell r="F357" t="str">
            <v>CUSTO HORÁRIO DE MÃO DE OBRA - (B)</v>
          </cell>
          <cell r="J357">
            <v>0</v>
          </cell>
        </row>
        <row r="358">
          <cell r="F358" t="str">
            <v>FERRAMENTAS</v>
          </cell>
          <cell r="H358">
            <v>0.05</v>
          </cell>
          <cell r="J358">
            <v>0</v>
          </cell>
        </row>
        <row r="359">
          <cell r="F359" t="str">
            <v>CUSTO HORÁRIO TOTAL - (A + B)</v>
          </cell>
          <cell r="J359">
            <v>0</v>
          </cell>
        </row>
        <row r="360">
          <cell r="F360" t="str">
            <v>CUSTO UNITÁRIO DE EXECUÇÃO - (D)</v>
          </cell>
          <cell r="J360">
            <v>0</v>
          </cell>
        </row>
        <row r="361">
          <cell r="C361" t="str">
            <v>ÍTEM</v>
          </cell>
          <cell r="D361" t="str">
            <v>M A T E R I A L</v>
          </cell>
          <cell r="E361" t="str">
            <v>UNID</v>
          </cell>
          <cell r="F361" t="str">
            <v>CONSUMO</v>
          </cell>
          <cell r="H361" t="str">
            <v xml:space="preserve"> PREÇO UNITÁRIO</v>
          </cell>
          <cell r="J361" t="str">
            <v>CUSTO UNITÁRIO</v>
          </cell>
        </row>
        <row r="362">
          <cell r="C362" t="str">
            <v>AM25</v>
          </cell>
          <cell r="D362" t="str">
            <v>Mandíbula móvel para britador 80x50</v>
          </cell>
          <cell r="E362" t="str">
            <v>u/h</v>
          </cell>
          <cell r="F362">
            <v>1</v>
          </cell>
          <cell r="H362">
            <v>27.04</v>
          </cell>
          <cell r="I362" t="str">
            <v/>
          </cell>
          <cell r="J362">
            <v>27.04</v>
          </cell>
        </row>
        <row r="363">
          <cell r="C363" t="str">
            <v>AM26</v>
          </cell>
          <cell r="D363" t="str">
            <v>Mandíbula fixa para britador 80x50</v>
          </cell>
          <cell r="E363" t="str">
            <v>u/h</v>
          </cell>
          <cell r="F363">
            <v>1</v>
          </cell>
          <cell r="H363">
            <v>15.56</v>
          </cell>
          <cell r="I363" t="str">
            <v/>
          </cell>
          <cell r="J363">
            <v>15.56</v>
          </cell>
        </row>
        <row r="364">
          <cell r="C364" t="str">
            <v>AM27</v>
          </cell>
          <cell r="D364" t="str">
            <v>Revestimento móvel p/ britador 90TS</v>
          </cell>
          <cell r="E364" t="str">
            <v>u/h</v>
          </cell>
          <cell r="F364">
            <v>1</v>
          </cell>
          <cell r="H364">
            <v>12.93</v>
          </cell>
          <cell r="I364" t="str">
            <v/>
          </cell>
          <cell r="J364">
            <v>12.93</v>
          </cell>
        </row>
        <row r="365">
          <cell r="C365" t="str">
            <v>AM28</v>
          </cell>
          <cell r="D365" t="str">
            <v>Revestimento fixo p/ britador 90TS</v>
          </cell>
          <cell r="E365" t="str">
            <v>u/h</v>
          </cell>
          <cell r="F365">
            <v>1</v>
          </cell>
          <cell r="H365">
            <v>24.38</v>
          </cell>
          <cell r="I365" t="str">
            <v/>
          </cell>
          <cell r="J365">
            <v>24.38</v>
          </cell>
        </row>
        <row r="366">
          <cell r="C366" t="str">
            <v>AM29</v>
          </cell>
          <cell r="D366" t="str">
            <v>Revestimento móvel p/ britador 90TF</v>
          </cell>
          <cell r="E366" t="str">
            <v>u/h</v>
          </cell>
          <cell r="F366">
            <v>1</v>
          </cell>
          <cell r="H366">
            <v>44.68</v>
          </cell>
          <cell r="I366" t="str">
            <v/>
          </cell>
          <cell r="J366">
            <v>44.68</v>
          </cell>
        </row>
        <row r="367">
          <cell r="C367" t="str">
            <v>AM30</v>
          </cell>
          <cell r="D367" t="str">
            <v>Revestimento fixo p/ britador 90TF</v>
          </cell>
          <cell r="E367" t="str">
            <v>u/h</v>
          </cell>
          <cell r="F367">
            <v>1</v>
          </cell>
          <cell r="H367">
            <v>24.38</v>
          </cell>
          <cell r="I367" t="str">
            <v/>
          </cell>
          <cell r="J367">
            <v>24.38</v>
          </cell>
        </row>
        <row r="368">
          <cell r="F368" t="str">
            <v>CUSTO TOTAL DE MATERIAL - (E)</v>
          </cell>
          <cell r="J368">
            <v>148.97</v>
          </cell>
        </row>
        <row r="369">
          <cell r="C369" t="str">
            <v>CODIGO</v>
          </cell>
          <cell r="D369" t="str">
            <v>ATIVIDADES AUXILIARES</v>
          </cell>
          <cell r="E369" t="str">
            <v>UNID</v>
          </cell>
          <cell r="F369" t="str">
            <v>QUANTIDADE</v>
          </cell>
          <cell r="H369" t="str">
            <v xml:space="preserve"> PREÇO UNITÁRIO</v>
          </cell>
          <cell r="J369" t="str">
            <v>CUSTO UNITÁRIO</v>
          </cell>
        </row>
        <row r="370">
          <cell r="D370" t="str">
            <v/>
          </cell>
          <cell r="E370" t="str">
            <v/>
          </cell>
          <cell r="H370" t="str">
            <v/>
          </cell>
          <cell r="J370" t="str">
            <v/>
          </cell>
        </row>
        <row r="371">
          <cell r="D371" t="str">
            <v/>
          </cell>
          <cell r="E371" t="str">
            <v/>
          </cell>
          <cell r="H371" t="str">
            <v/>
          </cell>
          <cell r="J371" t="str">
            <v/>
          </cell>
        </row>
        <row r="372">
          <cell r="D372" t="str">
            <v/>
          </cell>
          <cell r="E372" t="str">
            <v/>
          </cell>
          <cell r="H372" t="str">
            <v/>
          </cell>
          <cell r="J372" t="str">
            <v/>
          </cell>
        </row>
        <row r="373">
          <cell r="D373" t="str">
            <v/>
          </cell>
          <cell r="E373" t="str">
            <v/>
          </cell>
          <cell r="H373" t="str">
            <v/>
          </cell>
          <cell r="J373" t="str">
            <v/>
          </cell>
        </row>
        <row r="374">
          <cell r="D374" t="str">
            <v/>
          </cell>
          <cell r="E374" t="str">
            <v/>
          </cell>
          <cell r="H374" t="str">
            <v/>
          </cell>
          <cell r="J374" t="str">
            <v/>
          </cell>
        </row>
        <row r="375">
          <cell r="C375" t="str">
            <v>OBSERVAÇÕES:</v>
          </cell>
          <cell r="F375" t="str">
            <v>CUSTO ATIVIDADES AUXILIARES - (F)</v>
          </cell>
          <cell r="J375">
            <v>0</v>
          </cell>
        </row>
        <row r="376">
          <cell r="F376" t="str">
            <v>CUSTO UNITÁRIO DIRETO TOTAL</v>
          </cell>
          <cell r="J376">
            <v>148.97</v>
          </cell>
        </row>
        <row r="377">
          <cell r="F377" t="str">
            <v xml:space="preserve">BONIFICAÇÃO </v>
          </cell>
          <cell r="H377">
            <v>0</v>
          </cell>
          <cell r="J377">
            <v>0</v>
          </cell>
        </row>
        <row r="378">
          <cell r="F378" t="str">
            <v>PREÇO UNITÁRIO  TOTAL</v>
          </cell>
          <cell r="J378">
            <v>148.97</v>
          </cell>
        </row>
        <row r="382">
          <cell r="A382" t="str">
            <v>1 A 00 964 00</v>
          </cell>
          <cell r="C382" t="str">
            <v>SERVIÇO:</v>
          </cell>
          <cell r="D382" t="str">
            <v>Peças de desgaste britador produção de rachão</v>
          </cell>
          <cell r="F382" t="str">
            <v>PRODUÇÃO DA EQUIPE - (C):</v>
          </cell>
          <cell r="J382">
            <v>1</v>
          </cell>
          <cell r="K382" t="str">
            <v>cjh</v>
          </cell>
          <cell r="M382">
            <v>42.6</v>
          </cell>
        </row>
        <row r="383">
          <cell r="F383" t="str">
            <v>UNITÁRIO</v>
          </cell>
          <cell r="H383" t="str">
            <v>C. OPERACIONAL</v>
          </cell>
        </row>
        <row r="384">
          <cell r="C384" t="str">
            <v>ÍTEM</v>
          </cell>
          <cell r="D384" t="str">
            <v>E Q U I P A M E N T O</v>
          </cell>
          <cell r="E384" t="str">
            <v>QUANT.</v>
          </cell>
          <cell r="F384" t="str">
            <v>PROD</v>
          </cell>
          <cell r="G384" t="str">
            <v>IMPROD</v>
          </cell>
          <cell r="H384" t="str">
            <v>PROD</v>
          </cell>
          <cell r="I384" t="str">
            <v>IMPROD</v>
          </cell>
          <cell r="J384" t="str">
            <v>CUSTO HORÁRIO</v>
          </cell>
        </row>
        <row r="385">
          <cell r="D385" t="str">
            <v/>
          </cell>
          <cell r="G385" t="str">
            <v/>
          </cell>
          <cell r="H385" t="str">
            <v/>
          </cell>
          <cell r="I385" t="str">
            <v/>
          </cell>
          <cell r="J385" t="str">
            <v/>
          </cell>
        </row>
        <row r="386">
          <cell r="D386" t="str">
            <v/>
          </cell>
          <cell r="G386" t="str">
            <v/>
          </cell>
          <cell r="H386" t="str">
            <v/>
          </cell>
          <cell r="I386" t="str">
            <v/>
          </cell>
          <cell r="J386" t="str">
            <v/>
          </cell>
        </row>
        <row r="387">
          <cell r="D387" t="str">
            <v/>
          </cell>
          <cell r="G387" t="str">
            <v/>
          </cell>
          <cell r="H387" t="str">
            <v/>
          </cell>
          <cell r="I387" t="str">
            <v/>
          </cell>
          <cell r="J387" t="str">
            <v/>
          </cell>
        </row>
        <row r="388">
          <cell r="D388" t="str">
            <v/>
          </cell>
          <cell r="G388" t="str">
            <v/>
          </cell>
          <cell r="H388" t="str">
            <v/>
          </cell>
          <cell r="I388" t="str">
            <v/>
          </cell>
          <cell r="J388" t="str">
            <v/>
          </cell>
        </row>
        <row r="389">
          <cell r="D389" t="str">
            <v/>
          </cell>
          <cell r="G389" t="str">
            <v/>
          </cell>
          <cell r="H389" t="str">
            <v/>
          </cell>
          <cell r="I389" t="str">
            <v/>
          </cell>
          <cell r="J389" t="str">
            <v/>
          </cell>
        </row>
        <row r="390">
          <cell r="F390" t="str">
            <v>CUSTO HORÁRIO DO EQUIPAMENTO - (A)</v>
          </cell>
          <cell r="J390">
            <v>0</v>
          </cell>
        </row>
        <row r="391">
          <cell r="C391" t="str">
            <v>ÍTEM</v>
          </cell>
          <cell r="D391" t="str">
            <v>M Ã O    D E   O B R A</v>
          </cell>
          <cell r="E391" t="str">
            <v>QUANT.</v>
          </cell>
          <cell r="F391" t="str">
            <v>SALÁRIO HORA</v>
          </cell>
          <cell r="J391" t="str">
            <v>CUSTO HORÁRIO</v>
          </cell>
        </row>
        <row r="392">
          <cell r="D392" t="str">
            <v/>
          </cell>
          <cell r="F392" t="str">
            <v/>
          </cell>
          <cell r="G392" t="str">
            <v/>
          </cell>
          <cell r="H392" t="str">
            <v/>
          </cell>
          <cell r="I392" t="str">
            <v/>
          </cell>
          <cell r="J392" t="str">
            <v/>
          </cell>
        </row>
        <row r="393">
          <cell r="D393" t="str">
            <v/>
          </cell>
          <cell r="F393" t="str">
            <v/>
          </cell>
          <cell r="G393" t="str">
            <v/>
          </cell>
          <cell r="H393" t="str">
            <v/>
          </cell>
          <cell r="I393" t="str">
            <v/>
          </cell>
          <cell r="J393" t="str">
            <v/>
          </cell>
        </row>
        <row r="394">
          <cell r="D394" t="str">
            <v/>
          </cell>
          <cell r="F394" t="str">
            <v/>
          </cell>
          <cell r="G394" t="str">
            <v/>
          </cell>
          <cell r="H394" t="str">
            <v/>
          </cell>
          <cell r="I394" t="str">
            <v/>
          </cell>
          <cell r="J394" t="str">
            <v/>
          </cell>
        </row>
        <row r="395">
          <cell r="D395" t="str">
            <v/>
          </cell>
          <cell r="F395" t="str">
            <v/>
          </cell>
          <cell r="G395" t="str">
            <v/>
          </cell>
          <cell r="H395" t="str">
            <v/>
          </cell>
          <cell r="I395" t="str">
            <v/>
          </cell>
          <cell r="J395" t="str">
            <v/>
          </cell>
        </row>
        <row r="396">
          <cell r="D396" t="str">
            <v/>
          </cell>
          <cell r="F396" t="str">
            <v/>
          </cell>
          <cell r="G396" t="str">
            <v/>
          </cell>
          <cell r="H396" t="str">
            <v/>
          </cell>
          <cell r="I396" t="str">
            <v/>
          </cell>
          <cell r="J396" t="str">
            <v/>
          </cell>
        </row>
        <row r="397">
          <cell r="F397" t="str">
            <v>CUSTO HORÁRIO DE MÃO DE OBRA - (B)</v>
          </cell>
          <cell r="J397">
            <v>0</v>
          </cell>
        </row>
        <row r="398">
          <cell r="F398" t="str">
            <v>FERRAMENTAS</v>
          </cell>
          <cell r="H398">
            <v>0.05</v>
          </cell>
          <cell r="J398">
            <v>0</v>
          </cell>
        </row>
        <row r="399">
          <cell r="F399" t="str">
            <v>CUSTO HORÁRIO TOTAL - (A + B)</v>
          </cell>
          <cell r="J399">
            <v>0</v>
          </cell>
        </row>
        <row r="400">
          <cell r="F400" t="str">
            <v>CUSTO UNITÁRIO DE EXECUÇÃO - (D)</v>
          </cell>
          <cell r="J400">
            <v>0</v>
          </cell>
        </row>
        <row r="401">
          <cell r="C401" t="str">
            <v>ÍTEM</v>
          </cell>
          <cell r="D401" t="str">
            <v>M A T E R I A L</v>
          </cell>
          <cell r="E401" t="str">
            <v>UNID</v>
          </cell>
          <cell r="F401" t="str">
            <v>CONSUMO</v>
          </cell>
          <cell r="H401" t="str">
            <v xml:space="preserve"> PREÇO UNITÁRIO</v>
          </cell>
          <cell r="J401" t="str">
            <v>CUSTO UNITÁRIO</v>
          </cell>
        </row>
        <row r="402">
          <cell r="C402" t="str">
            <v>AM25</v>
          </cell>
          <cell r="D402" t="str">
            <v>Mandíbula móvel para britador 80x50</v>
          </cell>
          <cell r="E402" t="str">
            <v>u/h</v>
          </cell>
          <cell r="F402">
            <v>1</v>
          </cell>
          <cell r="H402">
            <v>27.04</v>
          </cell>
          <cell r="I402" t="str">
            <v/>
          </cell>
          <cell r="J402">
            <v>27.04</v>
          </cell>
        </row>
        <row r="403">
          <cell r="C403" t="str">
            <v>AM26</v>
          </cell>
          <cell r="D403" t="str">
            <v>Mandíbula fixa para britador 80x50</v>
          </cell>
          <cell r="E403" t="str">
            <v>u/h</v>
          </cell>
          <cell r="F403">
            <v>1</v>
          </cell>
          <cell r="H403">
            <v>15.56</v>
          </cell>
          <cell r="I403" t="str">
            <v/>
          </cell>
          <cell r="J403">
            <v>15.56</v>
          </cell>
        </row>
        <row r="404">
          <cell r="D404" t="str">
            <v/>
          </cell>
          <cell r="E404" t="str">
            <v/>
          </cell>
          <cell r="H404" t="str">
            <v/>
          </cell>
          <cell r="I404" t="str">
            <v/>
          </cell>
          <cell r="J404" t="str">
            <v/>
          </cell>
        </row>
        <row r="405">
          <cell r="D405" t="str">
            <v/>
          </cell>
          <cell r="E405" t="str">
            <v/>
          </cell>
          <cell r="H405" t="str">
            <v/>
          </cell>
          <cell r="I405" t="str">
            <v/>
          </cell>
          <cell r="J405" t="str">
            <v/>
          </cell>
        </row>
        <row r="406">
          <cell r="D406" t="str">
            <v/>
          </cell>
          <cell r="E406" t="str">
            <v/>
          </cell>
          <cell r="H406" t="str">
            <v/>
          </cell>
          <cell r="I406" t="str">
            <v/>
          </cell>
          <cell r="J406" t="str">
            <v/>
          </cell>
        </row>
        <row r="407">
          <cell r="D407" t="str">
            <v/>
          </cell>
          <cell r="E407" t="str">
            <v/>
          </cell>
          <cell r="H407" t="str">
            <v/>
          </cell>
          <cell r="I407" t="str">
            <v/>
          </cell>
          <cell r="J407" t="str">
            <v/>
          </cell>
        </row>
        <row r="408">
          <cell r="F408" t="str">
            <v>CUSTO TOTAL DE MATERIAL - (E)</v>
          </cell>
          <cell r="J408">
            <v>42.6</v>
          </cell>
        </row>
        <row r="409">
          <cell r="C409" t="str">
            <v>CODIGO</v>
          </cell>
          <cell r="D409" t="str">
            <v>ATIVIDADES AUXILIARES</v>
          </cell>
          <cell r="E409" t="str">
            <v>UNID</v>
          </cell>
          <cell r="F409" t="str">
            <v>QUANTIDADE</v>
          </cell>
          <cell r="H409" t="str">
            <v xml:space="preserve"> PREÇO UNITÁRIO</v>
          </cell>
          <cell r="J409" t="str">
            <v>CUSTO UNITÁRIO</v>
          </cell>
        </row>
        <row r="410">
          <cell r="D410" t="str">
            <v/>
          </cell>
          <cell r="E410" t="str">
            <v/>
          </cell>
          <cell r="H410" t="str">
            <v/>
          </cell>
          <cell r="J410" t="str">
            <v/>
          </cell>
        </row>
        <row r="411">
          <cell r="D411" t="str">
            <v/>
          </cell>
          <cell r="E411" t="str">
            <v/>
          </cell>
          <cell r="H411" t="str">
            <v/>
          </cell>
          <cell r="J411" t="str">
            <v/>
          </cell>
        </row>
        <row r="412">
          <cell r="D412" t="str">
            <v/>
          </cell>
          <cell r="E412" t="str">
            <v/>
          </cell>
          <cell r="H412" t="str">
            <v/>
          </cell>
          <cell r="J412" t="str">
            <v/>
          </cell>
        </row>
        <row r="413">
          <cell r="D413" t="str">
            <v/>
          </cell>
          <cell r="E413" t="str">
            <v/>
          </cell>
          <cell r="H413" t="str">
            <v/>
          </cell>
          <cell r="J413" t="str">
            <v/>
          </cell>
        </row>
        <row r="414">
          <cell r="D414" t="str">
            <v/>
          </cell>
          <cell r="E414" t="str">
            <v/>
          </cell>
          <cell r="H414" t="str">
            <v/>
          </cell>
          <cell r="J414" t="str">
            <v/>
          </cell>
        </row>
        <row r="415">
          <cell r="C415" t="str">
            <v>OBSERVAÇÕES:</v>
          </cell>
          <cell r="F415" t="str">
            <v>CUSTO ATIVIDADES AUXILIARES - (F)</v>
          </cell>
          <cell r="J415">
            <v>0</v>
          </cell>
        </row>
        <row r="416">
          <cell r="F416" t="str">
            <v>CUSTO UNITÁRIO DIRETO TOTAL</v>
          </cell>
          <cell r="J416">
            <v>42.6</v>
          </cell>
        </row>
        <row r="417">
          <cell r="F417" t="str">
            <v xml:space="preserve">BONIFICAÇÃO </v>
          </cell>
          <cell r="H417">
            <v>0</v>
          </cell>
          <cell r="J417">
            <v>0</v>
          </cell>
        </row>
        <row r="418">
          <cell r="F418" t="str">
            <v>PREÇO UNITÁRIO  TOTAL</v>
          </cell>
          <cell r="J418">
            <v>42.6</v>
          </cell>
        </row>
        <row r="422">
          <cell r="A422" t="str">
            <v>1 A 01 100 01</v>
          </cell>
          <cell r="C422" t="str">
            <v>SERVIÇO:</v>
          </cell>
          <cell r="D422" t="str">
            <v>Limpeza camada vegetal em jazida com expurgo lateral (construção e restauração)</v>
          </cell>
          <cell r="F422" t="str">
            <v>PRODUÇÃO DA EQUIPE - (C):</v>
          </cell>
          <cell r="J422">
            <v>571</v>
          </cell>
          <cell r="K422" t="str">
            <v>m²</v>
          </cell>
          <cell r="M422">
            <v>0.39</v>
          </cell>
        </row>
        <row r="423">
          <cell r="F423" t="str">
            <v>UNITÁRIO</v>
          </cell>
          <cell r="H423" t="str">
            <v>C. OPERACIONAL</v>
          </cell>
        </row>
        <row r="424">
          <cell r="C424" t="str">
            <v>ÍTEM</v>
          </cell>
          <cell r="D424" t="str">
            <v>E Q U I P A M E N T O</v>
          </cell>
          <cell r="E424" t="str">
            <v>QUANT.</v>
          </cell>
          <cell r="F424" t="str">
            <v>PROD</v>
          </cell>
          <cell r="G424" t="str">
            <v>IMPROD</v>
          </cell>
          <cell r="H424" t="str">
            <v>PROD</v>
          </cell>
          <cell r="I424" t="str">
            <v>IMPROD</v>
          </cell>
          <cell r="J424" t="str">
            <v>CUSTO HORÁRIO</v>
          </cell>
        </row>
        <row r="425">
          <cell r="C425" t="str">
            <v>E002</v>
          </cell>
          <cell r="D425" t="str">
            <v>Trator de Esteiras : Caterpillar : D6M - com lâmina</v>
          </cell>
          <cell r="E425">
            <v>1</v>
          </cell>
          <cell r="F425">
            <v>1</v>
          </cell>
          <cell r="G425">
            <v>0</v>
          </cell>
          <cell r="H425">
            <v>200.57</v>
          </cell>
          <cell r="I425">
            <v>22.39</v>
          </cell>
          <cell r="J425">
            <v>200.57</v>
          </cell>
        </row>
        <row r="426">
          <cell r="D426" t="str">
            <v/>
          </cell>
          <cell r="G426" t="str">
            <v/>
          </cell>
          <cell r="H426" t="str">
            <v/>
          </cell>
          <cell r="I426" t="str">
            <v/>
          </cell>
          <cell r="J426" t="str">
            <v/>
          </cell>
        </row>
        <row r="427">
          <cell r="D427" t="str">
            <v/>
          </cell>
          <cell r="G427" t="str">
            <v/>
          </cell>
          <cell r="H427" t="str">
            <v/>
          </cell>
          <cell r="I427" t="str">
            <v/>
          </cell>
          <cell r="J427" t="str">
            <v/>
          </cell>
        </row>
        <row r="428">
          <cell r="D428" t="str">
            <v/>
          </cell>
          <cell r="G428" t="str">
            <v/>
          </cell>
          <cell r="H428" t="str">
            <v/>
          </cell>
          <cell r="I428" t="str">
            <v/>
          </cell>
          <cell r="J428" t="str">
            <v/>
          </cell>
        </row>
        <row r="429">
          <cell r="D429" t="str">
            <v/>
          </cell>
          <cell r="G429" t="str">
            <v/>
          </cell>
          <cell r="H429" t="str">
            <v/>
          </cell>
          <cell r="I429" t="str">
            <v/>
          </cell>
          <cell r="J429" t="str">
            <v/>
          </cell>
        </row>
        <row r="430">
          <cell r="D430" t="str">
            <v/>
          </cell>
          <cell r="G430" t="str">
            <v/>
          </cell>
          <cell r="H430" t="str">
            <v/>
          </cell>
          <cell r="I430" t="str">
            <v/>
          </cell>
          <cell r="J430" t="str">
            <v/>
          </cell>
        </row>
        <row r="431">
          <cell r="D431" t="str">
            <v/>
          </cell>
          <cell r="G431" t="str">
            <v/>
          </cell>
          <cell r="H431" t="str">
            <v/>
          </cell>
          <cell r="I431" t="str">
            <v/>
          </cell>
          <cell r="J431" t="str">
            <v/>
          </cell>
        </row>
        <row r="432">
          <cell r="F432" t="str">
            <v>CUSTO HORÁRIO DO EQUIPAMENTO - (A)</v>
          </cell>
          <cell r="J432">
            <v>200.57</v>
          </cell>
        </row>
        <row r="433">
          <cell r="C433" t="str">
            <v>ÍTEM</v>
          </cell>
          <cell r="D433" t="str">
            <v>M Ã O    D E   O B R A</v>
          </cell>
          <cell r="E433" t="str">
            <v>QUANT.</v>
          </cell>
          <cell r="F433" t="str">
            <v>SALÁRIO HORA</v>
          </cell>
          <cell r="J433" t="str">
            <v>CUSTO HORÁRIO</v>
          </cell>
        </row>
        <row r="434">
          <cell r="C434" t="str">
            <v>T501</v>
          </cell>
          <cell r="D434" t="str">
            <v>Encarregado de turma</v>
          </cell>
          <cell r="E434">
            <v>0.3</v>
          </cell>
          <cell r="F434">
            <v>21.11</v>
          </cell>
          <cell r="G434" t="e">
            <v>#N/A</v>
          </cell>
          <cell r="H434" t="e">
            <v>#N/A</v>
          </cell>
          <cell r="I434" t="e">
            <v>#N/A</v>
          </cell>
          <cell r="J434">
            <v>6.33</v>
          </cell>
        </row>
        <row r="435">
          <cell r="C435" t="str">
            <v>T701</v>
          </cell>
          <cell r="D435" t="str">
            <v>Servente</v>
          </cell>
          <cell r="E435">
            <v>2</v>
          </cell>
          <cell r="F435">
            <v>6.99</v>
          </cell>
          <cell r="G435" t="e">
            <v>#N/A</v>
          </cell>
          <cell r="H435" t="e">
            <v>#N/A</v>
          </cell>
          <cell r="I435" t="e">
            <v>#N/A</v>
          </cell>
          <cell r="J435">
            <v>13.98</v>
          </cell>
        </row>
        <row r="436">
          <cell r="D436" t="str">
            <v/>
          </cell>
          <cell r="F436" t="str">
            <v/>
          </cell>
          <cell r="G436" t="str">
            <v/>
          </cell>
          <cell r="H436" t="str">
            <v/>
          </cell>
          <cell r="I436" t="str">
            <v/>
          </cell>
          <cell r="J436" t="str">
            <v/>
          </cell>
        </row>
        <row r="437">
          <cell r="D437" t="str">
            <v/>
          </cell>
          <cell r="F437" t="str">
            <v/>
          </cell>
          <cell r="G437" t="str">
            <v/>
          </cell>
          <cell r="H437" t="str">
            <v/>
          </cell>
          <cell r="I437" t="str">
            <v/>
          </cell>
          <cell r="J437" t="str">
            <v/>
          </cell>
        </row>
        <row r="438">
          <cell r="D438" t="str">
            <v/>
          </cell>
          <cell r="F438" t="str">
            <v/>
          </cell>
          <cell r="G438" t="str">
            <v/>
          </cell>
          <cell r="H438" t="str">
            <v/>
          </cell>
          <cell r="I438" t="str">
            <v/>
          </cell>
          <cell r="J438" t="str">
            <v/>
          </cell>
        </row>
        <row r="439">
          <cell r="F439" t="str">
            <v>CUSTO HORÁRIO DE MÃO DE OBRA - (B)</v>
          </cell>
          <cell r="J439">
            <v>20.309999999999999</v>
          </cell>
        </row>
        <row r="440">
          <cell r="F440" t="str">
            <v>FERRAMENTAS</v>
          </cell>
          <cell r="H440">
            <v>0.2051</v>
          </cell>
          <cell r="J440">
            <v>4.16</v>
          </cell>
        </row>
        <row r="441">
          <cell r="F441" t="str">
            <v>CUSTO HORÁRIO TOTAL - (A + B)</v>
          </cell>
          <cell r="J441">
            <v>225.04</v>
          </cell>
        </row>
        <row r="442">
          <cell r="F442" t="str">
            <v>CUSTO UNITÁRIO DE EXECUÇÃO - (D)</v>
          </cell>
          <cell r="J442">
            <v>0.39</v>
          </cell>
        </row>
        <row r="443">
          <cell r="C443" t="str">
            <v>ÍTEM</v>
          </cell>
          <cell r="D443" t="str">
            <v>M A T E R I A L</v>
          </cell>
          <cell r="E443" t="str">
            <v>UNID</v>
          </cell>
          <cell r="F443" t="str">
            <v>CONSUMO</v>
          </cell>
          <cell r="H443" t="str">
            <v xml:space="preserve"> PREÇO UNITÁRIO</v>
          </cell>
          <cell r="J443" t="str">
            <v>CUSTO UNITÁRIO</v>
          </cell>
        </row>
        <row r="444">
          <cell r="D444" t="str">
            <v/>
          </cell>
          <cell r="E444" t="str">
            <v/>
          </cell>
          <cell r="J444">
            <v>0</v>
          </cell>
        </row>
        <row r="445">
          <cell r="D445" t="str">
            <v/>
          </cell>
          <cell r="J445">
            <v>0</v>
          </cell>
        </row>
        <row r="446">
          <cell r="D446" t="str">
            <v/>
          </cell>
          <cell r="E446" t="str">
            <v/>
          </cell>
          <cell r="J446">
            <v>0</v>
          </cell>
        </row>
        <row r="447">
          <cell r="D447" t="str">
            <v/>
          </cell>
          <cell r="E447" t="str">
            <v/>
          </cell>
          <cell r="J447">
            <v>0</v>
          </cell>
        </row>
        <row r="448">
          <cell r="D448" t="str">
            <v/>
          </cell>
          <cell r="E448" t="str">
            <v/>
          </cell>
          <cell r="J448">
            <v>0</v>
          </cell>
        </row>
        <row r="449">
          <cell r="F449" t="str">
            <v>CUSTO TOTAL DE MATERIAL - (E)</v>
          </cell>
          <cell r="J449">
            <v>0</v>
          </cell>
        </row>
        <row r="450">
          <cell r="C450" t="str">
            <v>CODIGO</v>
          </cell>
          <cell r="D450" t="str">
            <v>ATIVIDADES AUXILIARES</v>
          </cell>
          <cell r="E450" t="str">
            <v>UNID</v>
          </cell>
          <cell r="F450" t="str">
            <v>QUANTIDADE</v>
          </cell>
          <cell r="H450" t="str">
            <v xml:space="preserve"> PREÇO UNITÁRIO</v>
          </cell>
          <cell r="J450" t="str">
            <v>CUSTO UNITÁRIO</v>
          </cell>
        </row>
        <row r="451">
          <cell r="D451" t="str">
            <v/>
          </cell>
          <cell r="E451" t="str">
            <v/>
          </cell>
          <cell r="H451" t="str">
            <v/>
          </cell>
          <cell r="J451" t="str">
            <v/>
          </cell>
        </row>
        <row r="452">
          <cell r="D452" t="str">
            <v/>
          </cell>
          <cell r="E452" t="str">
            <v/>
          </cell>
          <cell r="H452" t="str">
            <v/>
          </cell>
          <cell r="J452" t="str">
            <v/>
          </cell>
        </row>
        <row r="453">
          <cell r="D453" t="str">
            <v/>
          </cell>
          <cell r="E453" t="str">
            <v/>
          </cell>
          <cell r="H453" t="str">
            <v/>
          </cell>
          <cell r="J453" t="str">
            <v/>
          </cell>
        </row>
        <row r="454">
          <cell r="D454" t="str">
            <v/>
          </cell>
          <cell r="E454" t="str">
            <v/>
          </cell>
          <cell r="H454" t="str">
            <v/>
          </cell>
          <cell r="J454" t="str">
            <v/>
          </cell>
        </row>
        <row r="455">
          <cell r="D455" t="str">
            <v/>
          </cell>
          <cell r="E455" t="str">
            <v/>
          </cell>
          <cell r="H455" t="str">
            <v/>
          </cell>
          <cell r="J455" t="str">
            <v/>
          </cell>
        </row>
        <row r="456">
          <cell r="C456" t="str">
            <v>OBSERVAÇÕES:</v>
          </cell>
          <cell r="F456" t="str">
            <v>CUSTO ATIVIDADES AUXILIARES - (F)</v>
          </cell>
          <cell r="J456">
            <v>0</v>
          </cell>
        </row>
        <row r="457">
          <cell r="F457" t="str">
            <v>CUSTO UNITÁRIO DIRETO TOTAL</v>
          </cell>
          <cell r="J457">
            <v>0.39</v>
          </cell>
        </row>
        <row r="458">
          <cell r="F458" t="str">
            <v xml:space="preserve">BONIFICAÇÃO </v>
          </cell>
          <cell r="H458">
            <v>0</v>
          </cell>
          <cell r="J458">
            <v>0</v>
          </cell>
        </row>
        <row r="459">
          <cell r="F459" t="str">
            <v>PREÇO UNITÁRIO  TOTAL</v>
          </cell>
          <cell r="J459">
            <v>0.39</v>
          </cell>
        </row>
        <row r="463">
          <cell r="A463" t="str">
            <v>1 A 01 100 02</v>
          </cell>
          <cell r="C463" t="str">
            <v>SERVIÇO:</v>
          </cell>
          <cell r="D463" t="str">
            <v>Limpeza de camada vegetal em jazida (conservação)</v>
          </cell>
          <cell r="F463" t="str">
            <v>PRODUÇÃO DA EQUIPE - (C):</v>
          </cell>
          <cell r="J463">
            <v>173</v>
          </cell>
          <cell r="K463" t="str">
            <v>m²</v>
          </cell>
          <cell r="M463">
            <v>0.77</v>
          </cell>
        </row>
        <row r="464">
          <cell r="F464" t="str">
            <v>UNITÁRIO</v>
          </cell>
          <cell r="H464" t="str">
            <v>C. OPERACIONAL</v>
          </cell>
        </row>
        <row r="465">
          <cell r="C465" t="str">
            <v>ÍTEM</v>
          </cell>
          <cell r="D465" t="str">
            <v>E Q U I P A M E N T O</v>
          </cell>
          <cell r="E465" t="str">
            <v>QUANT.</v>
          </cell>
          <cell r="F465" t="str">
            <v>PROD</v>
          </cell>
          <cell r="G465" t="str">
            <v>IMPROD</v>
          </cell>
          <cell r="H465" t="str">
            <v>PROD</v>
          </cell>
          <cell r="I465" t="str">
            <v>IMPROD</v>
          </cell>
          <cell r="J465" t="str">
            <v>CUSTO HORÁRIO</v>
          </cell>
        </row>
        <row r="466">
          <cell r="C466" t="str">
            <v>E001</v>
          </cell>
          <cell r="D466" t="str">
            <v>Trator de Esteiras : New Holland : 7D - com lâmina</v>
          </cell>
          <cell r="E466">
            <v>1</v>
          </cell>
          <cell r="F466">
            <v>1</v>
          </cell>
          <cell r="G466">
            <v>0</v>
          </cell>
          <cell r="H466">
            <v>110.01</v>
          </cell>
          <cell r="I466">
            <v>19.440000000000001</v>
          </cell>
          <cell r="J466">
            <v>110.01</v>
          </cell>
        </row>
        <row r="467">
          <cell r="D467" t="str">
            <v/>
          </cell>
          <cell r="G467" t="str">
            <v/>
          </cell>
          <cell r="H467" t="str">
            <v/>
          </cell>
          <cell r="I467" t="str">
            <v/>
          </cell>
          <cell r="J467" t="str">
            <v/>
          </cell>
        </row>
        <row r="468">
          <cell r="D468" t="str">
            <v/>
          </cell>
          <cell r="G468" t="str">
            <v/>
          </cell>
          <cell r="H468" t="str">
            <v/>
          </cell>
          <cell r="I468" t="str">
            <v/>
          </cell>
          <cell r="J468" t="str">
            <v/>
          </cell>
        </row>
        <row r="469">
          <cell r="D469" t="str">
            <v/>
          </cell>
          <cell r="G469" t="str">
            <v/>
          </cell>
          <cell r="H469" t="str">
            <v/>
          </cell>
          <cell r="I469" t="str">
            <v/>
          </cell>
          <cell r="J469" t="str">
            <v/>
          </cell>
        </row>
        <row r="470">
          <cell r="D470" t="str">
            <v/>
          </cell>
          <cell r="G470" t="str">
            <v/>
          </cell>
          <cell r="H470" t="str">
            <v/>
          </cell>
          <cell r="I470" t="str">
            <v/>
          </cell>
          <cell r="J470" t="str">
            <v/>
          </cell>
        </row>
        <row r="471">
          <cell r="D471" t="str">
            <v/>
          </cell>
          <cell r="G471" t="str">
            <v/>
          </cell>
          <cell r="H471" t="str">
            <v/>
          </cell>
          <cell r="I471" t="str">
            <v/>
          </cell>
          <cell r="J471" t="str">
            <v/>
          </cell>
        </row>
        <row r="472">
          <cell r="D472" t="str">
            <v/>
          </cell>
          <cell r="G472" t="str">
            <v/>
          </cell>
          <cell r="H472" t="str">
            <v/>
          </cell>
          <cell r="I472" t="str">
            <v/>
          </cell>
          <cell r="J472" t="str">
            <v/>
          </cell>
        </row>
        <row r="473">
          <cell r="F473" t="str">
            <v>CUSTO HORÁRIO DO EQUIPAMENTO - (A)</v>
          </cell>
          <cell r="J473">
            <v>110.01</v>
          </cell>
        </row>
        <row r="474">
          <cell r="C474" t="str">
            <v>ÍTEM</v>
          </cell>
          <cell r="D474" t="str">
            <v>M Ã O    D E   O B R A</v>
          </cell>
          <cell r="E474" t="str">
            <v>QUANT.</v>
          </cell>
          <cell r="F474" t="str">
            <v>SALÁRIO HORA</v>
          </cell>
          <cell r="J474" t="str">
            <v>CUSTO HORÁRIO</v>
          </cell>
        </row>
        <row r="475">
          <cell r="C475" t="str">
            <v>T501</v>
          </cell>
          <cell r="D475" t="str">
            <v>Encarregado de turma</v>
          </cell>
          <cell r="E475">
            <v>0.3</v>
          </cell>
          <cell r="F475">
            <v>21.11</v>
          </cell>
          <cell r="G475" t="e">
            <v>#N/A</v>
          </cell>
          <cell r="H475" t="e">
            <v>#N/A</v>
          </cell>
          <cell r="I475" t="e">
            <v>#N/A</v>
          </cell>
          <cell r="J475">
            <v>6.33</v>
          </cell>
        </row>
        <row r="476">
          <cell r="C476" t="str">
            <v>T701</v>
          </cell>
          <cell r="D476" t="str">
            <v>Servente</v>
          </cell>
          <cell r="E476">
            <v>2</v>
          </cell>
          <cell r="F476">
            <v>6.99</v>
          </cell>
          <cell r="G476" t="e">
            <v>#N/A</v>
          </cell>
          <cell r="H476" t="e">
            <v>#N/A</v>
          </cell>
          <cell r="I476" t="e">
            <v>#N/A</v>
          </cell>
          <cell r="J476">
            <v>13.98</v>
          </cell>
        </row>
        <row r="477">
          <cell r="D477" t="str">
            <v/>
          </cell>
          <cell r="F477" t="str">
            <v/>
          </cell>
          <cell r="G477" t="str">
            <v/>
          </cell>
          <cell r="H477" t="str">
            <v/>
          </cell>
          <cell r="I477" t="str">
            <v/>
          </cell>
          <cell r="J477" t="str">
            <v/>
          </cell>
        </row>
        <row r="478">
          <cell r="D478" t="str">
            <v/>
          </cell>
          <cell r="F478" t="str">
            <v/>
          </cell>
          <cell r="G478" t="str">
            <v/>
          </cell>
          <cell r="H478" t="str">
            <v/>
          </cell>
          <cell r="I478" t="str">
            <v/>
          </cell>
          <cell r="J478" t="str">
            <v/>
          </cell>
        </row>
        <row r="479">
          <cell r="D479" t="str">
            <v/>
          </cell>
          <cell r="F479" t="str">
            <v/>
          </cell>
          <cell r="G479" t="str">
            <v/>
          </cell>
          <cell r="H479" t="str">
            <v/>
          </cell>
          <cell r="I479" t="str">
            <v/>
          </cell>
          <cell r="J479" t="str">
            <v/>
          </cell>
        </row>
        <row r="480">
          <cell r="F480" t="str">
            <v>CUSTO HORÁRIO DE MÃO DE OBRA - (B)</v>
          </cell>
          <cell r="J480">
            <v>20.309999999999999</v>
          </cell>
        </row>
        <row r="481">
          <cell r="F481" t="str">
            <v>FERRAMENTAS</v>
          </cell>
          <cell r="H481">
            <v>0.2051</v>
          </cell>
          <cell r="J481">
            <v>4.16</v>
          </cell>
        </row>
        <row r="482">
          <cell r="F482" t="str">
            <v>CUSTO HORÁRIO TOTAL - (A + B)</v>
          </cell>
          <cell r="J482">
            <v>134.47999999999999</v>
          </cell>
        </row>
        <row r="483">
          <cell r="F483" t="str">
            <v>CUSTO UNITÁRIO DE EXECUÇÃO - (D)</v>
          </cell>
          <cell r="J483">
            <v>0.77</v>
          </cell>
        </row>
        <row r="484">
          <cell r="C484" t="str">
            <v>ÍTEM</v>
          </cell>
          <cell r="D484" t="str">
            <v>M A T E R I A L</v>
          </cell>
          <cell r="E484" t="str">
            <v>UNID</v>
          </cell>
          <cell r="F484" t="str">
            <v>CONSUMO</v>
          </cell>
          <cell r="H484" t="str">
            <v xml:space="preserve"> PREÇO UNITÁRIO</v>
          </cell>
          <cell r="J484" t="str">
            <v>CUSTO UNITÁRIO</v>
          </cell>
        </row>
        <row r="485">
          <cell r="D485" t="str">
            <v/>
          </cell>
          <cell r="E485" t="str">
            <v/>
          </cell>
          <cell r="J485">
            <v>0</v>
          </cell>
        </row>
        <row r="486">
          <cell r="D486" t="str">
            <v/>
          </cell>
          <cell r="J486">
            <v>0</v>
          </cell>
        </row>
        <row r="487">
          <cell r="D487" t="str">
            <v/>
          </cell>
          <cell r="E487" t="str">
            <v/>
          </cell>
          <cell r="J487">
            <v>0</v>
          </cell>
        </row>
        <row r="488">
          <cell r="D488" t="str">
            <v/>
          </cell>
          <cell r="E488" t="str">
            <v/>
          </cell>
          <cell r="J488">
            <v>0</v>
          </cell>
        </row>
        <row r="489">
          <cell r="D489" t="str">
            <v/>
          </cell>
          <cell r="E489" t="str">
            <v/>
          </cell>
          <cell r="J489">
            <v>0</v>
          </cell>
        </row>
        <row r="490">
          <cell r="F490" t="str">
            <v>CUSTO TOTAL DE MATERIAL - (E)</v>
          </cell>
          <cell r="J490">
            <v>0</v>
          </cell>
        </row>
        <row r="491">
          <cell r="C491" t="str">
            <v>CODIGO</v>
          </cell>
          <cell r="D491" t="str">
            <v>ATIVIDADES AUXILIARES</v>
          </cell>
          <cell r="E491" t="str">
            <v>UNID</v>
          </cell>
          <cell r="F491" t="str">
            <v>QUANTIDADE</v>
          </cell>
          <cell r="H491" t="str">
            <v xml:space="preserve"> PREÇO UNITÁRIO</v>
          </cell>
          <cell r="J491" t="str">
            <v>CUSTO UNITÁRIO</v>
          </cell>
        </row>
        <row r="492">
          <cell r="D492" t="str">
            <v/>
          </cell>
          <cell r="E492" t="str">
            <v/>
          </cell>
          <cell r="H492" t="str">
            <v/>
          </cell>
          <cell r="J492" t="str">
            <v/>
          </cell>
        </row>
        <row r="493">
          <cell r="D493" t="str">
            <v/>
          </cell>
          <cell r="E493" t="str">
            <v/>
          </cell>
          <cell r="H493" t="str">
            <v/>
          </cell>
          <cell r="J493" t="str">
            <v/>
          </cell>
        </row>
        <row r="494">
          <cell r="D494" t="str">
            <v/>
          </cell>
          <cell r="E494" t="str">
            <v/>
          </cell>
          <cell r="H494" t="str">
            <v/>
          </cell>
          <cell r="J494" t="str">
            <v/>
          </cell>
        </row>
        <row r="495">
          <cell r="D495" t="str">
            <v/>
          </cell>
          <cell r="E495" t="str">
            <v/>
          </cell>
          <cell r="H495" t="str">
            <v/>
          </cell>
          <cell r="J495" t="str">
            <v/>
          </cell>
        </row>
        <row r="496">
          <cell r="D496" t="str">
            <v/>
          </cell>
          <cell r="E496" t="str">
            <v/>
          </cell>
          <cell r="H496" t="str">
            <v/>
          </cell>
          <cell r="J496" t="str">
            <v/>
          </cell>
        </row>
        <row r="497">
          <cell r="C497" t="str">
            <v>OBSERVAÇÕES:</v>
          </cell>
          <cell r="F497" t="str">
            <v>CUSTO ATIVIDADES AUXILIARES - (F)</v>
          </cell>
          <cell r="J497">
            <v>0</v>
          </cell>
        </row>
        <row r="498">
          <cell r="F498" t="str">
            <v>CUSTO UNITÁRIO DIRETO TOTAL</v>
          </cell>
          <cell r="J498">
            <v>0.77</v>
          </cell>
        </row>
        <row r="499">
          <cell r="F499" t="str">
            <v xml:space="preserve">BONIFICAÇÃO </v>
          </cell>
          <cell r="H499">
            <v>0</v>
          </cell>
          <cell r="J499">
            <v>0</v>
          </cell>
        </row>
        <row r="500">
          <cell r="F500" t="str">
            <v>PREÇO UNITÁRIO  TOTAL</v>
          </cell>
          <cell r="J500">
            <v>0.77</v>
          </cell>
        </row>
        <row r="504">
          <cell r="A504" t="str">
            <v>1 A 01 105 01</v>
          </cell>
          <cell r="C504" t="str">
            <v>SERVIÇO:</v>
          </cell>
          <cell r="D504" t="str">
            <v>Expurgo de jazida (construção e restauração)</v>
          </cell>
          <cell r="F504" t="str">
            <v>PRODUÇÃO DA EQUIPE - (C):</v>
          </cell>
          <cell r="J504">
            <v>106</v>
          </cell>
          <cell r="K504" t="str">
            <v>m³</v>
          </cell>
          <cell r="M504">
            <v>2.12</v>
          </cell>
        </row>
        <row r="505">
          <cell r="F505" t="str">
            <v>UNITÁRIO</v>
          </cell>
          <cell r="H505" t="str">
            <v>C. OPERACIONAL</v>
          </cell>
        </row>
        <row r="506">
          <cell r="C506" t="str">
            <v>ÍTEM</v>
          </cell>
          <cell r="D506" t="str">
            <v>E Q U I P A M E N T O</v>
          </cell>
          <cell r="E506" t="str">
            <v>QUANT.</v>
          </cell>
          <cell r="F506" t="str">
            <v>PROD</v>
          </cell>
          <cell r="G506" t="str">
            <v>IMPROD</v>
          </cell>
          <cell r="H506" t="str">
            <v>PROD</v>
          </cell>
          <cell r="I506" t="str">
            <v>IMPROD</v>
          </cell>
          <cell r="J506" t="str">
            <v>CUSTO HORÁRIO</v>
          </cell>
        </row>
        <row r="507">
          <cell r="C507" t="str">
            <v>E002</v>
          </cell>
          <cell r="D507" t="str">
            <v>Trator de Esteiras : Caterpillar : D6M - com lâmina</v>
          </cell>
          <cell r="E507">
            <v>1</v>
          </cell>
          <cell r="F507">
            <v>1</v>
          </cell>
          <cell r="G507">
            <v>0</v>
          </cell>
          <cell r="H507">
            <v>200.57</v>
          </cell>
          <cell r="I507">
            <v>22.39</v>
          </cell>
          <cell r="J507">
            <v>200.57</v>
          </cell>
        </row>
        <row r="508">
          <cell r="D508" t="str">
            <v/>
          </cell>
          <cell r="G508" t="str">
            <v/>
          </cell>
          <cell r="H508" t="str">
            <v/>
          </cell>
          <cell r="I508" t="str">
            <v/>
          </cell>
          <cell r="J508" t="str">
            <v/>
          </cell>
        </row>
        <row r="509">
          <cell r="D509" t="str">
            <v/>
          </cell>
          <cell r="G509" t="str">
            <v/>
          </cell>
          <cell r="H509" t="str">
            <v/>
          </cell>
          <cell r="I509" t="str">
            <v/>
          </cell>
          <cell r="J509" t="str">
            <v/>
          </cell>
        </row>
        <row r="510">
          <cell r="D510" t="str">
            <v/>
          </cell>
          <cell r="G510" t="str">
            <v/>
          </cell>
          <cell r="H510" t="str">
            <v/>
          </cell>
          <cell r="I510" t="str">
            <v/>
          </cell>
          <cell r="J510" t="str">
            <v/>
          </cell>
        </row>
        <row r="511">
          <cell r="D511" t="str">
            <v/>
          </cell>
          <cell r="G511" t="str">
            <v/>
          </cell>
          <cell r="H511" t="str">
            <v/>
          </cell>
          <cell r="I511" t="str">
            <v/>
          </cell>
          <cell r="J511" t="str">
            <v/>
          </cell>
        </row>
        <row r="512">
          <cell r="D512" t="str">
            <v/>
          </cell>
          <cell r="G512" t="str">
            <v/>
          </cell>
          <cell r="H512" t="str">
            <v/>
          </cell>
          <cell r="I512" t="str">
            <v/>
          </cell>
          <cell r="J512" t="str">
            <v/>
          </cell>
        </row>
        <row r="513">
          <cell r="D513" t="str">
            <v/>
          </cell>
          <cell r="G513" t="str">
            <v/>
          </cell>
          <cell r="H513" t="str">
            <v/>
          </cell>
          <cell r="I513" t="str">
            <v/>
          </cell>
          <cell r="J513" t="str">
            <v/>
          </cell>
        </row>
        <row r="514">
          <cell r="F514" t="str">
            <v>CUSTO HORÁRIO DO EQUIPAMENTO - (A)</v>
          </cell>
          <cell r="J514">
            <v>200.57</v>
          </cell>
        </row>
        <row r="515">
          <cell r="C515" t="str">
            <v>ÍTEM</v>
          </cell>
          <cell r="D515" t="str">
            <v>M Ã O    D E   O B R A</v>
          </cell>
          <cell r="E515" t="str">
            <v>QUANT.</v>
          </cell>
          <cell r="F515" t="str">
            <v>SALÁRIO HORA</v>
          </cell>
          <cell r="J515" t="str">
            <v>CUSTO HORÁRIO</v>
          </cell>
        </row>
        <row r="516">
          <cell r="C516" t="str">
            <v>T501</v>
          </cell>
          <cell r="D516" t="str">
            <v>Encarregado de turma</v>
          </cell>
          <cell r="E516">
            <v>0.3</v>
          </cell>
          <cell r="F516">
            <v>21.11</v>
          </cell>
          <cell r="G516" t="e">
            <v>#N/A</v>
          </cell>
          <cell r="H516" t="e">
            <v>#N/A</v>
          </cell>
          <cell r="I516" t="e">
            <v>#N/A</v>
          </cell>
          <cell r="J516">
            <v>6.33</v>
          </cell>
        </row>
        <row r="517">
          <cell r="C517" t="str">
            <v>T701</v>
          </cell>
          <cell r="D517" t="str">
            <v>Servente</v>
          </cell>
          <cell r="E517">
            <v>2</v>
          </cell>
          <cell r="F517">
            <v>6.99</v>
          </cell>
          <cell r="G517" t="e">
            <v>#N/A</v>
          </cell>
          <cell r="H517" t="e">
            <v>#N/A</v>
          </cell>
          <cell r="I517" t="e">
            <v>#N/A</v>
          </cell>
          <cell r="J517">
            <v>13.98</v>
          </cell>
        </row>
        <row r="518">
          <cell r="D518" t="str">
            <v/>
          </cell>
          <cell r="F518" t="str">
            <v/>
          </cell>
          <cell r="G518" t="str">
            <v/>
          </cell>
          <cell r="H518" t="str">
            <v/>
          </cell>
          <cell r="I518" t="str">
            <v/>
          </cell>
          <cell r="J518" t="str">
            <v/>
          </cell>
        </row>
        <row r="519">
          <cell r="D519" t="str">
            <v/>
          </cell>
          <cell r="F519" t="str">
            <v/>
          </cell>
          <cell r="G519" t="str">
            <v/>
          </cell>
          <cell r="H519" t="str">
            <v/>
          </cell>
          <cell r="I519" t="str">
            <v/>
          </cell>
          <cell r="J519" t="str">
            <v/>
          </cell>
        </row>
        <row r="520">
          <cell r="D520" t="str">
            <v/>
          </cell>
          <cell r="F520" t="str">
            <v/>
          </cell>
          <cell r="G520" t="str">
            <v/>
          </cell>
          <cell r="H520" t="str">
            <v/>
          </cell>
          <cell r="I520" t="str">
            <v/>
          </cell>
          <cell r="J520" t="str">
            <v/>
          </cell>
        </row>
        <row r="521">
          <cell r="F521" t="str">
            <v>CUSTO HORÁRIO DE MÃO DE OBRA - (B)</v>
          </cell>
          <cell r="J521">
            <v>20.309999999999999</v>
          </cell>
        </row>
        <row r="522">
          <cell r="F522" t="str">
            <v>FERRAMENTAS</v>
          </cell>
          <cell r="H522">
            <v>0.2051</v>
          </cell>
          <cell r="J522">
            <v>4.16</v>
          </cell>
        </row>
        <row r="523">
          <cell r="F523" t="str">
            <v>CUSTO HORÁRIO TOTAL - (A + B)</v>
          </cell>
          <cell r="J523">
            <v>225.04</v>
          </cell>
        </row>
        <row r="524">
          <cell r="F524" t="str">
            <v>CUSTO UNITÁRIO DE EXECUÇÃO - (D)</v>
          </cell>
          <cell r="J524">
            <v>2.12</v>
          </cell>
        </row>
        <row r="525">
          <cell r="C525" t="str">
            <v>ÍTEM</v>
          </cell>
          <cell r="D525" t="str">
            <v>M A T E R I A L</v>
          </cell>
          <cell r="E525" t="str">
            <v>UNID</v>
          </cell>
          <cell r="F525" t="str">
            <v>CONSUMO</v>
          </cell>
          <cell r="H525" t="str">
            <v xml:space="preserve"> PREÇO UNITÁRIO</v>
          </cell>
          <cell r="J525" t="str">
            <v>CUSTO UNITÁRIO</v>
          </cell>
        </row>
        <row r="526">
          <cell r="D526" t="str">
            <v/>
          </cell>
          <cell r="E526" t="str">
            <v/>
          </cell>
          <cell r="J526">
            <v>0</v>
          </cell>
        </row>
        <row r="527">
          <cell r="D527" t="str">
            <v/>
          </cell>
          <cell r="J527">
            <v>0</v>
          </cell>
        </row>
        <row r="528">
          <cell r="D528" t="str">
            <v/>
          </cell>
          <cell r="E528" t="str">
            <v/>
          </cell>
          <cell r="J528">
            <v>0</v>
          </cell>
        </row>
        <row r="529">
          <cell r="D529" t="str">
            <v/>
          </cell>
          <cell r="E529" t="str">
            <v/>
          </cell>
          <cell r="J529">
            <v>0</v>
          </cell>
        </row>
        <row r="530">
          <cell r="D530" t="str">
            <v/>
          </cell>
          <cell r="E530" t="str">
            <v/>
          </cell>
          <cell r="J530">
            <v>0</v>
          </cell>
        </row>
        <row r="531">
          <cell r="F531" t="str">
            <v>CUSTO TOTAL DE MATERIAL - (E)</v>
          </cell>
          <cell r="J531">
            <v>0</v>
          </cell>
        </row>
        <row r="532">
          <cell r="C532" t="str">
            <v>CODIGO</v>
          </cell>
          <cell r="D532" t="str">
            <v>ATIVIDADES AUXILIARES</v>
          </cell>
          <cell r="E532" t="str">
            <v>UNID</v>
          </cell>
          <cell r="F532" t="str">
            <v>QUANTIDADE</v>
          </cell>
          <cell r="H532" t="str">
            <v xml:space="preserve"> PREÇO UNITÁRIO</v>
          </cell>
          <cell r="J532" t="str">
            <v>CUSTO UNITÁRIO</v>
          </cell>
        </row>
        <row r="533">
          <cell r="D533" t="str">
            <v/>
          </cell>
          <cell r="E533" t="str">
            <v/>
          </cell>
          <cell r="H533" t="str">
            <v/>
          </cell>
          <cell r="J533" t="str">
            <v/>
          </cell>
        </row>
        <row r="534">
          <cell r="D534" t="str">
            <v/>
          </cell>
          <cell r="E534" t="str">
            <v/>
          </cell>
          <cell r="H534" t="str">
            <v/>
          </cell>
          <cell r="J534" t="str">
            <v/>
          </cell>
        </row>
        <row r="535">
          <cell r="D535" t="str">
            <v/>
          </cell>
          <cell r="E535" t="str">
            <v/>
          </cell>
          <cell r="H535" t="str">
            <v/>
          </cell>
          <cell r="J535" t="str">
            <v/>
          </cell>
        </row>
        <row r="536">
          <cell r="D536" t="str">
            <v/>
          </cell>
          <cell r="E536" t="str">
            <v/>
          </cell>
          <cell r="H536" t="str">
            <v/>
          </cell>
          <cell r="J536" t="str">
            <v/>
          </cell>
        </row>
        <row r="537">
          <cell r="D537" t="str">
            <v/>
          </cell>
          <cell r="E537" t="str">
            <v/>
          </cell>
          <cell r="H537" t="str">
            <v/>
          </cell>
          <cell r="J537" t="str">
            <v/>
          </cell>
        </row>
        <row r="538">
          <cell r="C538" t="str">
            <v>OBSERVAÇÕES:</v>
          </cell>
          <cell r="F538" t="str">
            <v>CUSTO ATIVIDADES AUXILIARES - (F)</v>
          </cell>
          <cell r="J538">
            <v>0</v>
          </cell>
        </row>
        <row r="539">
          <cell r="F539" t="str">
            <v>CUSTO UNITÁRIO DIRETO TOTAL</v>
          </cell>
          <cell r="J539">
            <v>2.12</v>
          </cell>
        </row>
        <row r="540">
          <cell r="F540" t="str">
            <v xml:space="preserve">BONIFICAÇÃO </v>
          </cell>
          <cell r="H540">
            <v>0</v>
          </cell>
          <cell r="J540">
            <v>0</v>
          </cell>
        </row>
        <row r="541">
          <cell r="F541" t="str">
            <v>PREÇO UNITÁRIO  TOTAL</v>
          </cell>
          <cell r="J541">
            <v>2.12</v>
          </cell>
        </row>
        <row r="545">
          <cell r="A545" t="str">
            <v>1 A 01 105 02</v>
          </cell>
          <cell r="C545" t="str">
            <v>SERVIÇO:</v>
          </cell>
          <cell r="D545" t="str">
            <v>Expurgo de jazida (conservação)</v>
          </cell>
          <cell r="F545" t="str">
            <v>PRODUÇÃO DA EQUIPE - (C):</v>
          </cell>
          <cell r="J545">
            <v>32</v>
          </cell>
          <cell r="K545" t="str">
            <v>m³</v>
          </cell>
          <cell r="M545">
            <v>4.2</v>
          </cell>
        </row>
        <row r="546">
          <cell r="F546" t="str">
            <v>UNITÁRIO</v>
          </cell>
          <cell r="H546" t="str">
            <v>C. OPERACIONAL</v>
          </cell>
        </row>
        <row r="547">
          <cell r="C547" t="str">
            <v>ÍTEM</v>
          </cell>
          <cell r="D547" t="str">
            <v>E Q U I P A M E N T O</v>
          </cell>
          <cell r="E547" t="str">
            <v>QUANT.</v>
          </cell>
          <cell r="F547" t="str">
            <v>PROD</v>
          </cell>
          <cell r="G547" t="str">
            <v>IMPROD</v>
          </cell>
          <cell r="H547" t="str">
            <v>PROD</v>
          </cell>
          <cell r="I547" t="str">
            <v>IMPROD</v>
          </cell>
          <cell r="J547" t="str">
            <v>CUSTO HORÁRIO</v>
          </cell>
        </row>
        <row r="548">
          <cell r="C548" t="str">
            <v>E001</v>
          </cell>
          <cell r="D548" t="str">
            <v>Trator de Esteiras : New Holland : 7D - com lâmina</v>
          </cell>
          <cell r="E548">
            <v>1</v>
          </cell>
          <cell r="F548">
            <v>1</v>
          </cell>
          <cell r="G548">
            <v>0</v>
          </cell>
          <cell r="H548">
            <v>110.01</v>
          </cell>
          <cell r="I548">
            <v>19.440000000000001</v>
          </cell>
          <cell r="J548">
            <v>110.01</v>
          </cell>
        </row>
        <row r="549">
          <cell r="D549" t="str">
            <v/>
          </cell>
          <cell r="G549" t="str">
            <v/>
          </cell>
          <cell r="H549" t="str">
            <v/>
          </cell>
          <cell r="I549" t="str">
            <v/>
          </cell>
          <cell r="J549" t="str">
            <v/>
          </cell>
        </row>
        <row r="550">
          <cell r="D550" t="str">
            <v/>
          </cell>
          <cell r="G550" t="str">
            <v/>
          </cell>
          <cell r="H550" t="str">
            <v/>
          </cell>
          <cell r="I550" t="str">
            <v/>
          </cell>
          <cell r="J550" t="str">
            <v/>
          </cell>
        </row>
        <row r="551">
          <cell r="D551" t="str">
            <v/>
          </cell>
          <cell r="G551" t="str">
            <v/>
          </cell>
          <cell r="H551" t="str">
            <v/>
          </cell>
          <cell r="I551" t="str">
            <v/>
          </cell>
          <cell r="J551" t="str">
            <v/>
          </cell>
        </row>
        <row r="552">
          <cell r="D552" t="str">
            <v/>
          </cell>
          <cell r="G552" t="str">
            <v/>
          </cell>
          <cell r="H552" t="str">
            <v/>
          </cell>
          <cell r="I552" t="str">
            <v/>
          </cell>
          <cell r="J552" t="str">
            <v/>
          </cell>
        </row>
        <row r="553">
          <cell r="D553" t="str">
            <v/>
          </cell>
          <cell r="G553" t="str">
            <v/>
          </cell>
          <cell r="H553" t="str">
            <v/>
          </cell>
          <cell r="I553" t="str">
            <v/>
          </cell>
          <cell r="J553" t="str">
            <v/>
          </cell>
        </row>
        <row r="554">
          <cell r="D554" t="str">
            <v/>
          </cell>
          <cell r="G554" t="str">
            <v/>
          </cell>
          <cell r="H554" t="str">
            <v/>
          </cell>
          <cell r="I554" t="str">
            <v/>
          </cell>
          <cell r="J554" t="str">
            <v/>
          </cell>
        </row>
        <row r="555">
          <cell r="F555" t="str">
            <v>CUSTO HORÁRIO DO EQUIPAMENTO - (A)</v>
          </cell>
          <cell r="J555">
            <v>110.01</v>
          </cell>
        </row>
        <row r="556">
          <cell r="C556" t="str">
            <v>ÍTEM</v>
          </cell>
          <cell r="D556" t="str">
            <v>M Ã O    D E   O B R A</v>
          </cell>
          <cell r="E556" t="str">
            <v>QUANT.</v>
          </cell>
          <cell r="F556" t="str">
            <v>SALÁRIO HORA</v>
          </cell>
          <cell r="J556" t="str">
            <v>CUSTO HORÁRIO</v>
          </cell>
        </row>
        <row r="557">
          <cell r="C557" t="str">
            <v>T501</v>
          </cell>
          <cell r="D557" t="str">
            <v>Encarregado de turma</v>
          </cell>
          <cell r="E557">
            <v>0.3</v>
          </cell>
          <cell r="F557">
            <v>21.11</v>
          </cell>
          <cell r="G557" t="e">
            <v>#N/A</v>
          </cell>
          <cell r="H557" t="e">
            <v>#N/A</v>
          </cell>
          <cell r="I557" t="e">
            <v>#N/A</v>
          </cell>
          <cell r="J557">
            <v>6.33</v>
          </cell>
        </row>
        <row r="558">
          <cell r="C558" t="str">
            <v>T701</v>
          </cell>
          <cell r="D558" t="str">
            <v>Servente</v>
          </cell>
          <cell r="E558">
            <v>2</v>
          </cell>
          <cell r="F558">
            <v>6.99</v>
          </cell>
          <cell r="G558" t="e">
            <v>#N/A</v>
          </cell>
          <cell r="H558" t="e">
            <v>#N/A</v>
          </cell>
          <cell r="I558" t="e">
            <v>#N/A</v>
          </cell>
          <cell r="J558">
            <v>13.98</v>
          </cell>
        </row>
        <row r="559">
          <cell r="D559" t="str">
            <v/>
          </cell>
          <cell r="F559" t="str">
            <v/>
          </cell>
          <cell r="G559" t="str">
            <v/>
          </cell>
          <cell r="H559" t="str">
            <v/>
          </cell>
          <cell r="I559" t="str">
            <v/>
          </cell>
          <cell r="J559" t="str">
            <v/>
          </cell>
        </row>
        <row r="560">
          <cell r="D560" t="str">
            <v/>
          </cell>
          <cell r="F560" t="str">
            <v/>
          </cell>
          <cell r="G560" t="str">
            <v/>
          </cell>
          <cell r="H560" t="str">
            <v/>
          </cell>
          <cell r="I560" t="str">
            <v/>
          </cell>
          <cell r="J560" t="str">
            <v/>
          </cell>
        </row>
        <row r="561">
          <cell r="D561" t="str">
            <v/>
          </cell>
          <cell r="F561" t="str">
            <v/>
          </cell>
          <cell r="G561" t="str">
            <v/>
          </cell>
          <cell r="H561" t="str">
            <v/>
          </cell>
          <cell r="I561" t="str">
            <v/>
          </cell>
          <cell r="J561" t="str">
            <v/>
          </cell>
        </row>
        <row r="562">
          <cell r="F562" t="str">
            <v>CUSTO HORÁRIO DE MÃO DE OBRA - (B)</v>
          </cell>
          <cell r="J562">
            <v>20.309999999999999</v>
          </cell>
        </row>
        <row r="563">
          <cell r="F563" t="str">
            <v>FERRAMENTAS</v>
          </cell>
          <cell r="H563">
            <v>0.2051</v>
          </cell>
          <cell r="J563">
            <v>4.16</v>
          </cell>
        </row>
        <row r="564">
          <cell r="F564" t="str">
            <v>CUSTO HORÁRIO TOTAL - (A + B)</v>
          </cell>
          <cell r="J564">
            <v>134.47999999999999</v>
          </cell>
        </row>
        <row r="565">
          <cell r="F565" t="str">
            <v>CUSTO UNITÁRIO DE EXECUÇÃO - (D)</v>
          </cell>
          <cell r="J565">
            <v>4.2</v>
          </cell>
        </row>
        <row r="566">
          <cell r="C566" t="str">
            <v>ÍTEM</v>
          </cell>
          <cell r="D566" t="str">
            <v>M A T E R I A L</v>
          </cell>
          <cell r="E566" t="str">
            <v>UNID</v>
          </cell>
          <cell r="F566" t="str">
            <v>CONSUMO</v>
          </cell>
          <cell r="H566" t="str">
            <v xml:space="preserve"> PREÇO UNITÁRIO</v>
          </cell>
          <cell r="J566" t="str">
            <v>CUSTO UNITÁRIO</v>
          </cell>
        </row>
        <row r="567">
          <cell r="D567" t="str">
            <v/>
          </cell>
          <cell r="E567" t="str">
            <v/>
          </cell>
          <cell r="J567">
            <v>0</v>
          </cell>
        </row>
        <row r="568">
          <cell r="D568" t="str">
            <v/>
          </cell>
          <cell r="J568">
            <v>0</v>
          </cell>
        </row>
        <row r="569">
          <cell r="D569" t="str">
            <v/>
          </cell>
          <cell r="E569" t="str">
            <v/>
          </cell>
          <cell r="J569">
            <v>0</v>
          </cell>
        </row>
        <row r="570">
          <cell r="D570" t="str">
            <v/>
          </cell>
          <cell r="E570" t="str">
            <v/>
          </cell>
          <cell r="J570">
            <v>0</v>
          </cell>
        </row>
        <row r="571">
          <cell r="D571" t="str">
            <v/>
          </cell>
          <cell r="E571" t="str">
            <v/>
          </cell>
          <cell r="J571">
            <v>0</v>
          </cell>
        </row>
        <row r="572">
          <cell r="F572" t="str">
            <v>CUSTO TOTAL DE MATERIAL - (E)</v>
          </cell>
          <cell r="J572">
            <v>0</v>
          </cell>
        </row>
        <row r="573">
          <cell r="C573" t="str">
            <v>CODIGO</v>
          </cell>
          <cell r="D573" t="str">
            <v>ATIVIDADES AUXILIARES</v>
          </cell>
          <cell r="E573" t="str">
            <v>UNID</v>
          </cell>
          <cell r="F573" t="str">
            <v>QUANTIDADE</v>
          </cell>
          <cell r="H573" t="str">
            <v xml:space="preserve"> PREÇO UNITÁRIO</v>
          </cell>
          <cell r="J573" t="str">
            <v>CUSTO UNITÁRIO</v>
          </cell>
        </row>
        <row r="574">
          <cell r="D574" t="str">
            <v/>
          </cell>
          <cell r="E574" t="str">
            <v/>
          </cell>
          <cell r="H574" t="str">
            <v/>
          </cell>
          <cell r="J574" t="str">
            <v/>
          </cell>
        </row>
        <row r="575">
          <cell r="D575" t="str">
            <v/>
          </cell>
          <cell r="E575" t="str">
            <v/>
          </cell>
          <cell r="H575" t="str">
            <v/>
          </cell>
          <cell r="J575" t="str">
            <v/>
          </cell>
        </row>
        <row r="576">
          <cell r="D576" t="str">
            <v/>
          </cell>
          <cell r="E576" t="str">
            <v/>
          </cell>
          <cell r="H576" t="str">
            <v/>
          </cell>
          <cell r="J576" t="str">
            <v/>
          </cell>
        </row>
        <row r="577">
          <cell r="D577" t="str">
            <v/>
          </cell>
          <cell r="E577" t="str">
            <v/>
          </cell>
          <cell r="H577" t="str">
            <v/>
          </cell>
          <cell r="J577" t="str">
            <v/>
          </cell>
        </row>
        <row r="578">
          <cell r="D578" t="str">
            <v/>
          </cell>
          <cell r="E578" t="str">
            <v/>
          </cell>
          <cell r="H578" t="str">
            <v/>
          </cell>
          <cell r="J578" t="str">
            <v/>
          </cell>
        </row>
        <row r="579">
          <cell r="C579" t="str">
            <v>OBSERVAÇÕES:</v>
          </cell>
          <cell r="F579" t="str">
            <v>CUSTO ATIVIDADES AUXILIARES - (F)</v>
          </cell>
          <cell r="J579">
            <v>0</v>
          </cell>
        </row>
        <row r="580">
          <cell r="F580" t="str">
            <v>CUSTO UNITÁRIO DIRETO TOTAL</v>
          </cell>
          <cell r="J580">
            <v>4.2</v>
          </cell>
        </row>
        <row r="581">
          <cell r="F581" t="str">
            <v xml:space="preserve">BONIFICAÇÃO </v>
          </cell>
          <cell r="H581">
            <v>0</v>
          </cell>
          <cell r="J581">
            <v>0</v>
          </cell>
        </row>
        <row r="582">
          <cell r="F582" t="str">
            <v>PREÇO UNITÁRIO  TOTAL</v>
          </cell>
          <cell r="J582">
            <v>4.2</v>
          </cell>
        </row>
        <row r="586">
          <cell r="A586" t="str">
            <v>1 A 01 111 01</v>
          </cell>
          <cell r="C586" t="str">
            <v>SERVIÇO:</v>
          </cell>
          <cell r="D586" t="str">
            <v>Escavação e carga material de jazida (conservação)</v>
          </cell>
          <cell r="F586" t="str">
            <v>PRODUÇÃO DA EQUIPE - (C):</v>
          </cell>
          <cell r="J586">
            <v>50</v>
          </cell>
          <cell r="K586" t="str">
            <v>M3</v>
          </cell>
          <cell r="M586">
            <v>377.82</v>
          </cell>
        </row>
        <row r="587">
          <cell r="F587" t="str">
            <v>UNITÁRIO</v>
          </cell>
          <cell r="H587" t="str">
            <v>C. OPERACIONAL</v>
          </cell>
        </row>
        <row r="588">
          <cell r="C588" t="str">
            <v>ÍTEM</v>
          </cell>
          <cell r="D588" t="str">
            <v>E Q U I P A M E N T O</v>
          </cell>
          <cell r="E588" t="str">
            <v>QUANT.</v>
          </cell>
          <cell r="F588" t="str">
            <v>PROD</v>
          </cell>
          <cell r="G588" t="str">
            <v>IMPROD</v>
          </cell>
          <cell r="H588" t="str">
            <v>PROD</v>
          </cell>
          <cell r="I588" t="str">
            <v>IMPROD</v>
          </cell>
          <cell r="J588" t="str">
            <v>CUSTO HORÁRIO</v>
          </cell>
        </row>
        <row r="589">
          <cell r="C589" t="str">
            <v>E002</v>
          </cell>
          <cell r="D589" t="str">
            <v>Trator de Esteiras : Caterpillar : D6M - com lâmina</v>
          </cell>
          <cell r="E589">
            <v>1</v>
          </cell>
          <cell r="F589">
            <v>1</v>
          </cell>
          <cell r="G589">
            <v>0</v>
          </cell>
          <cell r="H589">
            <v>200.57</v>
          </cell>
          <cell r="I589">
            <v>22.39</v>
          </cell>
          <cell r="J589">
            <v>200.57</v>
          </cell>
        </row>
        <row r="590">
          <cell r="C590" t="str">
            <v>E006</v>
          </cell>
          <cell r="D590" t="str">
            <v xml:space="preserve">Motoniveladora : Caterpillar : 120M - </v>
          </cell>
          <cell r="E590">
            <v>1</v>
          </cell>
          <cell r="F590">
            <v>0.24</v>
          </cell>
          <cell r="G590">
            <v>0.76</v>
          </cell>
          <cell r="H590">
            <v>152.81</v>
          </cell>
          <cell r="I590">
            <v>22.39</v>
          </cell>
          <cell r="J590">
            <v>53.69</v>
          </cell>
        </row>
        <row r="591">
          <cell r="C591" t="str">
            <v>E016</v>
          </cell>
          <cell r="D591" t="str">
            <v>Carregadeira de Pneus : Case : W-20 -  1,70 m3</v>
          </cell>
          <cell r="E591">
            <v>1</v>
          </cell>
          <cell r="F591">
            <v>0.56000000000000005</v>
          </cell>
          <cell r="G591">
            <v>0.44</v>
          </cell>
          <cell r="H591">
            <v>112.51</v>
          </cell>
          <cell r="I591">
            <v>22.39</v>
          </cell>
          <cell r="J591">
            <v>72.849999999999994</v>
          </cell>
        </row>
        <row r="592">
          <cell r="D592" t="str">
            <v/>
          </cell>
          <cell r="G592" t="str">
            <v/>
          </cell>
          <cell r="H592" t="str">
            <v/>
          </cell>
          <cell r="I592" t="str">
            <v/>
          </cell>
          <cell r="J592" t="str">
            <v/>
          </cell>
        </row>
        <row r="593">
          <cell r="D593" t="str">
            <v/>
          </cell>
          <cell r="G593" t="str">
            <v/>
          </cell>
          <cell r="H593" t="str">
            <v/>
          </cell>
          <cell r="I593" t="str">
            <v/>
          </cell>
          <cell r="J593" t="str">
            <v/>
          </cell>
        </row>
        <row r="594">
          <cell r="D594" t="str">
            <v/>
          </cell>
          <cell r="G594" t="str">
            <v/>
          </cell>
          <cell r="H594" t="str">
            <v/>
          </cell>
          <cell r="I594" t="str">
            <v/>
          </cell>
          <cell r="J594" t="str">
            <v/>
          </cell>
        </row>
        <row r="595">
          <cell r="D595" t="str">
            <v/>
          </cell>
          <cell r="G595" t="str">
            <v/>
          </cell>
          <cell r="H595" t="str">
            <v/>
          </cell>
          <cell r="I595" t="str">
            <v/>
          </cell>
          <cell r="J595" t="str">
            <v/>
          </cell>
        </row>
        <row r="596">
          <cell r="F596" t="str">
            <v>CUSTO HORÁRIO DO EQUIPAMENTO - (A)</v>
          </cell>
          <cell r="J596">
            <v>327.11</v>
          </cell>
        </row>
        <row r="597">
          <cell r="C597" t="str">
            <v>ÍTEM</v>
          </cell>
          <cell r="D597" t="str">
            <v>M Ã O    D E   O B R A</v>
          </cell>
          <cell r="E597" t="str">
            <v>QUANT.</v>
          </cell>
          <cell r="F597" t="str">
            <v>SALÁRIO HORA</v>
          </cell>
          <cell r="J597" t="str">
            <v>CUSTO HORÁRIO</v>
          </cell>
        </row>
        <row r="598">
          <cell r="C598" t="str">
            <v>T501</v>
          </cell>
          <cell r="D598" t="str">
            <v>Encarregado de turma</v>
          </cell>
          <cell r="E598">
            <v>1</v>
          </cell>
          <cell r="F598">
            <v>21.11</v>
          </cell>
          <cell r="G598" t="e">
            <v>#N/A</v>
          </cell>
          <cell r="H598" t="e">
            <v>#N/A</v>
          </cell>
          <cell r="I598" t="e">
            <v>#N/A</v>
          </cell>
          <cell r="J598">
            <v>21.11</v>
          </cell>
        </row>
        <row r="599">
          <cell r="C599" t="str">
            <v>T701</v>
          </cell>
          <cell r="D599" t="str">
            <v>Servente</v>
          </cell>
          <cell r="E599">
            <v>3</v>
          </cell>
          <cell r="F599">
            <v>6.99</v>
          </cell>
          <cell r="G599" t="e">
            <v>#N/A</v>
          </cell>
          <cell r="H599" t="e">
            <v>#N/A</v>
          </cell>
          <cell r="I599" t="e">
            <v>#N/A</v>
          </cell>
          <cell r="J599">
            <v>20.97</v>
          </cell>
        </row>
        <row r="600">
          <cell r="D600" t="str">
            <v/>
          </cell>
          <cell r="F600" t="str">
            <v/>
          </cell>
          <cell r="G600" t="str">
            <v/>
          </cell>
          <cell r="H600" t="str">
            <v/>
          </cell>
          <cell r="I600" t="str">
            <v/>
          </cell>
          <cell r="J600" t="str">
            <v/>
          </cell>
        </row>
        <row r="601">
          <cell r="D601" t="str">
            <v/>
          </cell>
          <cell r="F601" t="str">
            <v/>
          </cell>
          <cell r="G601" t="str">
            <v/>
          </cell>
          <cell r="H601" t="str">
            <v/>
          </cell>
          <cell r="I601" t="str">
            <v/>
          </cell>
          <cell r="J601" t="str">
            <v/>
          </cell>
        </row>
        <row r="602">
          <cell r="D602" t="str">
            <v/>
          </cell>
          <cell r="F602" t="str">
            <v/>
          </cell>
          <cell r="G602" t="str">
            <v/>
          </cell>
          <cell r="H602" t="str">
            <v/>
          </cell>
          <cell r="I602" t="str">
            <v/>
          </cell>
          <cell r="J602" t="str">
            <v/>
          </cell>
        </row>
        <row r="603">
          <cell r="F603" t="str">
            <v>CUSTO HORÁRIO DE MÃO DE OBRA - (B)</v>
          </cell>
          <cell r="J603">
            <v>42.08</v>
          </cell>
        </row>
        <row r="604">
          <cell r="F604" t="str">
            <v>FERRAMENTAS</v>
          </cell>
          <cell r="H604">
            <v>0.2051</v>
          </cell>
          <cell r="J604">
            <v>8.6300000000000008</v>
          </cell>
        </row>
        <row r="605">
          <cell r="F605" t="str">
            <v>CUSTO HORÁRIO TOTAL - (A + B)</v>
          </cell>
          <cell r="J605">
            <v>377.82</v>
          </cell>
        </row>
        <row r="606">
          <cell r="F606" t="str">
            <v>CUSTO UNITÁRIO DE EXECUÇÃO - (D)</v>
          </cell>
          <cell r="J606">
            <v>7.55</v>
          </cell>
        </row>
        <row r="607">
          <cell r="C607" t="str">
            <v>ÍTEM</v>
          </cell>
          <cell r="D607" t="str">
            <v>M A T E R I A L</v>
          </cell>
          <cell r="E607" t="str">
            <v>UNID</v>
          </cell>
          <cell r="F607" t="str">
            <v>CONSUMO</v>
          </cell>
          <cell r="H607" t="str">
            <v xml:space="preserve"> PREÇO UNITÁRIO</v>
          </cell>
          <cell r="J607" t="str">
            <v>CUSTO UNITÁRIO</v>
          </cell>
        </row>
        <row r="608">
          <cell r="C608" t="str">
            <v>M980</v>
          </cell>
          <cell r="D608" t="str">
            <v>Indenização de jazida</v>
          </cell>
          <cell r="E608" t="str">
            <v>m3</v>
          </cell>
          <cell r="F608">
            <v>1</v>
          </cell>
          <cell r="H608">
            <v>0.01</v>
          </cell>
          <cell r="J608">
            <v>0.01</v>
          </cell>
        </row>
        <row r="609">
          <cell r="D609" t="str">
            <v/>
          </cell>
          <cell r="J609">
            <v>0</v>
          </cell>
        </row>
        <row r="610">
          <cell r="D610" t="str">
            <v/>
          </cell>
          <cell r="E610" t="str">
            <v/>
          </cell>
          <cell r="J610">
            <v>0</v>
          </cell>
        </row>
        <row r="611">
          <cell r="D611" t="str">
            <v/>
          </cell>
          <cell r="E611" t="str">
            <v/>
          </cell>
          <cell r="J611">
            <v>0</v>
          </cell>
        </row>
        <row r="612">
          <cell r="D612" t="str">
            <v/>
          </cell>
          <cell r="E612" t="str">
            <v/>
          </cell>
          <cell r="J612">
            <v>0</v>
          </cell>
        </row>
        <row r="613">
          <cell r="F613" t="str">
            <v>CUSTO TOTAL DE MATERIAL - (E)</v>
          </cell>
          <cell r="J613">
            <v>0.01</v>
          </cell>
        </row>
        <row r="614">
          <cell r="C614" t="str">
            <v>CODIGO</v>
          </cell>
          <cell r="D614" t="str">
            <v>ATIVIDADES AUXILIARES</v>
          </cell>
          <cell r="E614" t="str">
            <v>UNID</v>
          </cell>
          <cell r="F614" t="str">
            <v>QUANTIDADE</v>
          </cell>
          <cell r="H614" t="str">
            <v xml:space="preserve"> PREÇO UNITÁRIO</v>
          </cell>
          <cell r="J614" t="str">
            <v>CUSTO UNITÁRIO</v>
          </cell>
        </row>
        <row r="615">
          <cell r="C615" t="str">
            <v>1 A 01 100 01</v>
          </cell>
          <cell r="D615" t="str">
            <v>Limpeza camada vegetal em jazida com expurgo lateral (construção e restauração)</v>
          </cell>
          <cell r="E615" t="str">
            <v>m²</v>
          </cell>
          <cell r="H615">
            <v>0.39</v>
          </cell>
          <cell r="J615">
            <v>0</v>
          </cell>
        </row>
        <row r="616">
          <cell r="C616" t="str">
            <v>1 A 01 105 01</v>
          </cell>
          <cell r="D616" t="str">
            <v>Expurgo de jazida (construção e restauração)</v>
          </cell>
          <cell r="E616" t="str">
            <v>m³</v>
          </cell>
          <cell r="H616">
            <v>2.12</v>
          </cell>
          <cell r="J616">
            <v>0</v>
          </cell>
        </row>
        <row r="617">
          <cell r="D617" t="str">
            <v/>
          </cell>
          <cell r="E617" t="str">
            <v/>
          </cell>
          <cell r="H617" t="str">
            <v/>
          </cell>
          <cell r="J617" t="str">
            <v/>
          </cell>
        </row>
        <row r="618">
          <cell r="D618" t="str">
            <v/>
          </cell>
          <cell r="E618" t="str">
            <v/>
          </cell>
          <cell r="H618" t="str">
            <v/>
          </cell>
          <cell r="J618" t="str">
            <v/>
          </cell>
        </row>
        <row r="619">
          <cell r="D619" t="str">
            <v/>
          </cell>
          <cell r="E619" t="str">
            <v/>
          </cell>
          <cell r="H619" t="str">
            <v/>
          </cell>
          <cell r="J619" t="str">
            <v/>
          </cell>
        </row>
        <row r="620">
          <cell r="C620" t="str">
            <v>OBSERVAÇÕES:</v>
          </cell>
          <cell r="F620" t="str">
            <v>CUSTO ATIVIDADES AUXILIARES - (F)</v>
          </cell>
          <cell r="J620">
            <v>0</v>
          </cell>
        </row>
        <row r="621">
          <cell r="F621" t="str">
            <v>CUSTO UNITÁRIO DIRETO TOTAL</v>
          </cell>
          <cell r="J621">
            <v>377.82</v>
          </cell>
        </row>
        <row r="622">
          <cell r="F622" t="str">
            <v xml:space="preserve">BONIFICAÇÃO </v>
          </cell>
          <cell r="H622">
            <v>0</v>
          </cell>
          <cell r="J622">
            <v>0</v>
          </cell>
        </row>
        <row r="623">
          <cell r="F623" t="str">
            <v>PREÇO UNITÁRIO  TOTAL</v>
          </cell>
          <cell r="J623">
            <v>377.82</v>
          </cell>
        </row>
        <row r="627">
          <cell r="A627" t="str">
            <v>1 A 01 120 01</v>
          </cell>
          <cell r="C627" t="str">
            <v>SERVIÇO:</v>
          </cell>
          <cell r="D627" t="str">
            <v>Escavação e carga de material de jazida (construção e restauração)</v>
          </cell>
          <cell r="F627" t="str">
            <v>PRODUÇÃO DA EQUIPE - (C):</v>
          </cell>
          <cell r="J627">
            <v>165</v>
          </cell>
          <cell r="K627" t="str">
            <v>m³</v>
          </cell>
          <cell r="M627">
            <v>3.14</v>
          </cell>
        </row>
        <row r="628">
          <cell r="F628" t="str">
            <v>UNITÁRIO</v>
          </cell>
          <cell r="H628" t="str">
            <v>C. OPERACIONAL</v>
          </cell>
        </row>
        <row r="629">
          <cell r="C629" t="str">
            <v>ÍTEM</v>
          </cell>
          <cell r="D629" t="str">
            <v>E Q U I P A M E N T O</v>
          </cell>
          <cell r="E629" t="str">
            <v>QUANT.</v>
          </cell>
          <cell r="F629" t="str">
            <v>PROD</v>
          </cell>
          <cell r="G629" t="str">
            <v>IMPROD</v>
          </cell>
          <cell r="H629" t="str">
            <v>PROD</v>
          </cell>
          <cell r="I629" t="str">
            <v>IMPROD</v>
          </cell>
          <cell r="J629" t="str">
            <v>CUSTO HORÁRIO</v>
          </cell>
        </row>
        <row r="630">
          <cell r="C630" t="str">
            <v>E010</v>
          </cell>
          <cell r="D630" t="str">
            <v>Carregadeira de Pneus : Caterpillar : 950H -  3,3 m3</v>
          </cell>
          <cell r="E630">
            <v>1</v>
          </cell>
          <cell r="F630">
            <v>0.77</v>
          </cell>
          <cell r="G630">
            <v>0.23</v>
          </cell>
          <cell r="H630">
            <v>180.79</v>
          </cell>
          <cell r="I630">
            <v>22.39</v>
          </cell>
          <cell r="J630">
            <v>144.35</v>
          </cell>
        </row>
        <row r="631">
          <cell r="C631" t="str">
            <v>E006</v>
          </cell>
          <cell r="D631" t="str">
            <v xml:space="preserve">Motoniveladora : Caterpillar : 120M - </v>
          </cell>
          <cell r="E631">
            <v>1</v>
          </cell>
          <cell r="F631">
            <v>0.78</v>
          </cell>
          <cell r="G631">
            <v>0.22</v>
          </cell>
          <cell r="H631">
            <v>152.81</v>
          </cell>
          <cell r="I631">
            <v>22.39</v>
          </cell>
          <cell r="J631">
            <v>124.11</v>
          </cell>
        </row>
        <row r="632">
          <cell r="C632" t="str">
            <v>E002</v>
          </cell>
          <cell r="D632" t="str">
            <v>Trator de Esteiras : Caterpillar : D6M - com lâmina</v>
          </cell>
          <cell r="E632">
            <v>1</v>
          </cell>
          <cell r="F632">
            <v>1</v>
          </cell>
          <cell r="G632">
            <v>0</v>
          </cell>
          <cell r="H632">
            <v>200.57</v>
          </cell>
          <cell r="I632">
            <v>22.39</v>
          </cell>
          <cell r="J632">
            <v>200.57</v>
          </cell>
        </row>
        <row r="633">
          <cell r="D633" t="str">
            <v/>
          </cell>
          <cell r="G633" t="str">
            <v/>
          </cell>
          <cell r="H633" t="str">
            <v/>
          </cell>
          <cell r="I633" t="str">
            <v/>
          </cell>
          <cell r="J633" t="str">
            <v/>
          </cell>
        </row>
        <row r="634">
          <cell r="D634" t="str">
            <v/>
          </cell>
          <cell r="G634" t="str">
            <v/>
          </cell>
          <cell r="H634" t="str">
            <v/>
          </cell>
          <cell r="I634" t="str">
            <v/>
          </cell>
          <cell r="J634" t="str">
            <v/>
          </cell>
        </row>
        <row r="635">
          <cell r="D635" t="str">
            <v/>
          </cell>
          <cell r="G635" t="str">
            <v/>
          </cell>
          <cell r="H635" t="str">
            <v/>
          </cell>
          <cell r="I635" t="str">
            <v/>
          </cell>
          <cell r="J635" t="str">
            <v/>
          </cell>
        </row>
        <row r="636">
          <cell r="F636" t="str">
            <v>CUSTO HORÁRIO DO EQUIPAMENTO - (A)</v>
          </cell>
          <cell r="J636">
            <v>469.03</v>
          </cell>
        </row>
        <row r="637">
          <cell r="C637" t="str">
            <v>ÍTEM</v>
          </cell>
          <cell r="D637" t="str">
            <v>M Ã O    D E   O B R A</v>
          </cell>
          <cell r="E637" t="str">
            <v>QUANT.</v>
          </cell>
          <cell r="F637" t="str">
            <v>SALÁRIO HORA</v>
          </cell>
          <cell r="J637" t="str">
            <v>CUSTO HORÁRIO</v>
          </cell>
        </row>
        <row r="638">
          <cell r="C638" t="str">
            <v>T501</v>
          </cell>
          <cell r="D638" t="str">
            <v>Encarregado de turma</v>
          </cell>
          <cell r="E638">
            <v>1</v>
          </cell>
          <cell r="F638">
            <v>21.11</v>
          </cell>
          <cell r="G638" t="e">
            <v>#N/A</v>
          </cell>
          <cell r="H638" t="e">
            <v>#N/A</v>
          </cell>
          <cell r="I638" t="e">
            <v>#N/A</v>
          </cell>
          <cell r="J638">
            <v>21.11</v>
          </cell>
        </row>
        <row r="639">
          <cell r="C639" t="str">
            <v>T701</v>
          </cell>
          <cell r="D639" t="str">
            <v>Servente</v>
          </cell>
          <cell r="E639">
            <v>3</v>
          </cell>
          <cell r="F639">
            <v>6.99</v>
          </cell>
          <cell r="G639" t="e">
            <v>#N/A</v>
          </cell>
          <cell r="H639" t="e">
            <v>#N/A</v>
          </cell>
          <cell r="I639" t="e">
            <v>#N/A</v>
          </cell>
          <cell r="J639">
            <v>20.97</v>
          </cell>
        </row>
        <row r="640">
          <cell r="D640" t="str">
            <v/>
          </cell>
          <cell r="F640" t="str">
            <v/>
          </cell>
          <cell r="G640" t="str">
            <v/>
          </cell>
          <cell r="H640" t="str">
            <v/>
          </cell>
          <cell r="I640" t="str">
            <v/>
          </cell>
          <cell r="J640" t="str">
            <v/>
          </cell>
        </row>
        <row r="641">
          <cell r="D641" t="str">
            <v/>
          </cell>
          <cell r="F641" t="str">
            <v/>
          </cell>
          <cell r="G641" t="str">
            <v/>
          </cell>
          <cell r="H641" t="str">
            <v/>
          </cell>
          <cell r="I641" t="str">
            <v/>
          </cell>
          <cell r="J641" t="str">
            <v/>
          </cell>
        </row>
        <row r="642">
          <cell r="D642" t="str">
            <v/>
          </cell>
          <cell r="F642" t="str">
            <v/>
          </cell>
          <cell r="G642" t="str">
            <v/>
          </cell>
          <cell r="H642" t="str">
            <v/>
          </cell>
          <cell r="I642" t="str">
            <v/>
          </cell>
          <cell r="J642" t="str">
            <v/>
          </cell>
        </row>
        <row r="643">
          <cell r="F643" t="str">
            <v>CUSTO HORÁRIO DE MÃO DE OBRA - (B)</v>
          </cell>
          <cell r="J643">
            <v>42.08</v>
          </cell>
        </row>
        <row r="644">
          <cell r="F644" t="str">
            <v>FERRAMENTAS</v>
          </cell>
          <cell r="H644">
            <v>0.15509999999999999</v>
          </cell>
          <cell r="J644">
            <v>6.52</v>
          </cell>
        </row>
        <row r="645">
          <cell r="F645" t="str">
            <v>CUSTO HORÁRIO TOTAL - (A + B)</v>
          </cell>
          <cell r="J645">
            <v>517.63</v>
          </cell>
        </row>
        <row r="646">
          <cell r="F646" t="str">
            <v>CUSTO UNITÁRIO DE EXECUÇÃO - (D)</v>
          </cell>
          <cell r="J646">
            <v>3.13</v>
          </cell>
        </row>
        <row r="647">
          <cell r="C647" t="str">
            <v>ÍTEM</v>
          </cell>
          <cell r="D647" t="str">
            <v>M A T E R I A L</v>
          </cell>
          <cell r="E647" t="str">
            <v>UNID</v>
          </cell>
          <cell r="F647" t="str">
            <v>CONSUMO</v>
          </cell>
          <cell r="H647" t="str">
            <v xml:space="preserve"> PREÇO UNITÁRIO</v>
          </cell>
          <cell r="J647" t="str">
            <v>CUSTO UNITÁRIO</v>
          </cell>
        </row>
        <row r="648">
          <cell r="C648" t="str">
            <v>M980</v>
          </cell>
          <cell r="D648" t="str">
            <v>Indenização de jazida</v>
          </cell>
          <cell r="E648" t="str">
            <v>m3</v>
          </cell>
          <cell r="F648">
            <v>1</v>
          </cell>
          <cell r="H648">
            <v>0.01</v>
          </cell>
          <cell r="I648" t="e">
            <v>#N/A</v>
          </cell>
          <cell r="J648">
            <v>0.01</v>
          </cell>
        </row>
        <row r="649">
          <cell r="D649" t="str">
            <v/>
          </cell>
          <cell r="E649" t="str">
            <v/>
          </cell>
          <cell r="J649" t="str">
            <v/>
          </cell>
        </row>
        <row r="650">
          <cell r="D650" t="str">
            <v/>
          </cell>
          <cell r="E650" t="str">
            <v/>
          </cell>
          <cell r="J650" t="str">
            <v/>
          </cell>
        </row>
        <row r="651">
          <cell r="D651" t="str">
            <v/>
          </cell>
          <cell r="E651" t="str">
            <v/>
          </cell>
          <cell r="J651" t="str">
            <v/>
          </cell>
        </row>
        <row r="652">
          <cell r="D652" t="str">
            <v/>
          </cell>
          <cell r="E652" t="str">
            <v/>
          </cell>
          <cell r="J652" t="str">
            <v/>
          </cell>
        </row>
        <row r="653">
          <cell r="F653" t="str">
            <v>CUSTO TOTAL DE MATERIAL - (E)</v>
          </cell>
          <cell r="J653">
            <v>0.01</v>
          </cell>
        </row>
        <row r="654">
          <cell r="C654" t="str">
            <v>ÍTEM</v>
          </cell>
          <cell r="D654" t="str">
            <v>T R A N S P O R T E</v>
          </cell>
          <cell r="E654" t="str">
            <v>DMT</v>
          </cell>
          <cell r="F654" t="str">
            <v>CONSUMO</v>
          </cell>
          <cell r="H654" t="str">
            <v>CUSTO UNITÁRIO</v>
          </cell>
          <cell r="J654" t="str">
            <v>CUSTO UNITÁRIO</v>
          </cell>
        </row>
        <row r="655">
          <cell r="D655" t="str">
            <v/>
          </cell>
          <cell r="H655" t="str">
            <v/>
          </cell>
          <cell r="I655" t="str">
            <v/>
          </cell>
          <cell r="J655" t="str">
            <v/>
          </cell>
        </row>
        <row r="656">
          <cell r="D656" t="str">
            <v/>
          </cell>
          <cell r="H656" t="str">
            <v/>
          </cell>
          <cell r="I656" t="str">
            <v/>
          </cell>
          <cell r="J656" t="str">
            <v/>
          </cell>
        </row>
        <row r="657">
          <cell r="D657" t="str">
            <v/>
          </cell>
          <cell r="H657" t="str">
            <v/>
          </cell>
          <cell r="I657" t="str">
            <v/>
          </cell>
          <cell r="J657" t="str">
            <v/>
          </cell>
        </row>
        <row r="658">
          <cell r="C658" t="str">
            <v>OBSERVAÇÕES:</v>
          </cell>
          <cell r="F658" t="str">
            <v>CUSTO UNITÁRIO DE TRANSPORTE - (F)</v>
          </cell>
          <cell r="J658">
            <v>0</v>
          </cell>
        </row>
        <row r="659">
          <cell r="F659" t="str">
            <v>CUSTO UNITÁRIO DIRETO TOTAL</v>
          </cell>
          <cell r="J659">
            <v>3.14</v>
          </cell>
        </row>
        <row r="660">
          <cell r="F660" t="str">
            <v xml:space="preserve">BONIFICAÇÃO </v>
          </cell>
          <cell r="H660">
            <v>0</v>
          </cell>
          <cell r="J660">
            <v>0</v>
          </cell>
        </row>
        <row r="661">
          <cell r="F661" t="str">
            <v>PREÇO UNITÁRIO  TOTAL</v>
          </cell>
          <cell r="J661">
            <v>3.14</v>
          </cell>
        </row>
        <row r="665">
          <cell r="A665" t="str">
            <v>1 A 01 150 01</v>
          </cell>
          <cell r="C665" t="str">
            <v>SERVIÇO:</v>
          </cell>
          <cell r="D665" t="str">
            <v>Rocha para britagem com perfuratriz sobre esteira</v>
          </cell>
          <cell r="F665" t="str">
            <v>PRODUÇÃO DA EQUIPE - (C):</v>
          </cell>
          <cell r="J665">
            <v>36</v>
          </cell>
          <cell r="K665" t="str">
            <v>M³</v>
          </cell>
          <cell r="M665">
            <v>19.95</v>
          </cell>
        </row>
        <row r="666">
          <cell r="F666" t="str">
            <v>UNITÁRIO</v>
          </cell>
          <cell r="H666" t="str">
            <v>C. OPERACIONAL</v>
          </cell>
        </row>
        <row r="667">
          <cell r="C667" t="str">
            <v>ÍTEM</v>
          </cell>
          <cell r="D667" t="str">
            <v>E Q U I P A M E N T O</v>
          </cell>
          <cell r="E667" t="str">
            <v>QUANT.</v>
          </cell>
          <cell r="F667" t="str">
            <v>PROD</v>
          </cell>
          <cell r="G667" t="str">
            <v>IMPROD</v>
          </cell>
          <cell r="H667" t="str">
            <v>PROD</v>
          </cell>
          <cell r="I667" t="str">
            <v>IMPROD</v>
          </cell>
          <cell r="J667" t="str">
            <v>CUSTO HORÁRIO</v>
          </cell>
        </row>
        <row r="668">
          <cell r="C668" t="str">
            <v>E010</v>
          </cell>
          <cell r="D668" t="str">
            <v>Carregadeira de Pneus : Caterpillar : 950H -  3,3 m3</v>
          </cell>
          <cell r="E668">
            <v>1</v>
          </cell>
          <cell r="F668">
            <v>0.35</v>
          </cell>
          <cell r="G668">
            <v>0.65</v>
          </cell>
          <cell r="H668">
            <v>180.79</v>
          </cell>
          <cell r="I668">
            <v>22.39</v>
          </cell>
          <cell r="J668">
            <v>77.83</v>
          </cell>
        </row>
        <row r="669">
          <cell r="C669" t="str">
            <v>E203</v>
          </cell>
          <cell r="D669" t="str">
            <v xml:space="preserve">Compressor de Ar : Atlas Copco : XA 360 SD -  762 PCM </v>
          </cell>
          <cell r="E669">
            <v>1</v>
          </cell>
          <cell r="F669">
            <v>1</v>
          </cell>
          <cell r="G669">
            <v>0</v>
          </cell>
          <cell r="H669">
            <v>107</v>
          </cell>
          <cell r="I669">
            <v>17.27</v>
          </cell>
          <cell r="J669">
            <v>107</v>
          </cell>
        </row>
        <row r="670">
          <cell r="C670" t="str">
            <v>E204</v>
          </cell>
          <cell r="D670" t="str">
            <v xml:space="preserve"> Martelete : Atlas Copco : RH658-6L -  perfuratriz manual</v>
          </cell>
          <cell r="E670">
            <v>1</v>
          </cell>
          <cell r="F670">
            <v>1</v>
          </cell>
          <cell r="G670">
            <v>0</v>
          </cell>
          <cell r="H670">
            <v>16.059999999999999</v>
          </cell>
          <cell r="I670">
            <v>15.36</v>
          </cell>
          <cell r="J670">
            <v>16.059999999999999</v>
          </cell>
        </row>
        <row r="671">
          <cell r="C671" t="str">
            <v>E205</v>
          </cell>
          <cell r="D671" t="str">
            <v>Perfuratriz sobre Esteiras : Atlas Copco : ROC 442PC - Crawler Drill</v>
          </cell>
          <cell r="E671">
            <v>1</v>
          </cell>
          <cell r="F671">
            <v>1</v>
          </cell>
          <cell r="G671">
            <v>0</v>
          </cell>
          <cell r="H671">
            <v>55.94</v>
          </cell>
          <cell r="I671">
            <v>17.27</v>
          </cell>
          <cell r="J671">
            <v>55.94</v>
          </cell>
        </row>
        <row r="672">
          <cell r="C672" t="str">
            <v>E433</v>
          </cell>
          <cell r="D672" t="str">
            <v>(*) Caminhão Basculante : Volvo BM : NL-10-320  6x4 -  para rocha  18 t</v>
          </cell>
          <cell r="E672">
            <v>1</v>
          </cell>
          <cell r="F672">
            <v>1</v>
          </cell>
          <cell r="G672">
            <v>0</v>
          </cell>
          <cell r="H672">
            <v>186.3</v>
          </cell>
          <cell r="I672">
            <v>20.47</v>
          </cell>
          <cell r="J672">
            <v>186.3</v>
          </cell>
        </row>
        <row r="673">
          <cell r="D673" t="str">
            <v/>
          </cell>
          <cell r="G673" t="str">
            <v/>
          </cell>
          <cell r="H673" t="str">
            <v/>
          </cell>
          <cell r="I673" t="str">
            <v/>
          </cell>
          <cell r="J673" t="str">
            <v/>
          </cell>
        </row>
        <row r="674">
          <cell r="D674" t="str">
            <v/>
          </cell>
          <cell r="G674" t="str">
            <v/>
          </cell>
          <cell r="H674" t="str">
            <v/>
          </cell>
          <cell r="I674" t="str">
            <v/>
          </cell>
          <cell r="J674" t="str">
            <v/>
          </cell>
        </row>
        <row r="675">
          <cell r="F675" t="str">
            <v>CUSTO HORÁRIO DO EQUIPAMENTO - (A)</v>
          </cell>
          <cell r="J675">
            <v>443.13</v>
          </cell>
        </row>
        <row r="676">
          <cell r="C676" t="str">
            <v>ÍTEM</v>
          </cell>
          <cell r="D676" t="str">
            <v>M Ã O    D E   O B R A</v>
          </cell>
          <cell r="E676" t="str">
            <v>QUANT.</v>
          </cell>
          <cell r="F676" t="str">
            <v>SALÁRIO HORA</v>
          </cell>
          <cell r="J676" t="str">
            <v>CUSTO HORÁRIO</v>
          </cell>
        </row>
        <row r="677">
          <cell r="C677" t="str">
            <v>T512</v>
          </cell>
          <cell r="D677" t="str">
            <v>Encarregado de britagem</v>
          </cell>
          <cell r="E677">
            <v>1</v>
          </cell>
          <cell r="F677">
            <v>44.78</v>
          </cell>
          <cell r="G677" t="e">
            <v>#N/A</v>
          </cell>
          <cell r="H677" t="e">
            <v>#N/A</v>
          </cell>
          <cell r="I677" t="e">
            <v>#N/A</v>
          </cell>
          <cell r="J677">
            <v>44.78</v>
          </cell>
        </row>
        <row r="678">
          <cell r="C678" t="str">
            <v>T601</v>
          </cell>
          <cell r="D678" t="str">
            <v>Blaster</v>
          </cell>
          <cell r="E678">
            <v>1</v>
          </cell>
          <cell r="F678">
            <v>26.23</v>
          </cell>
          <cell r="G678" t="e">
            <v>#N/A</v>
          </cell>
          <cell r="H678" t="e">
            <v>#N/A</v>
          </cell>
          <cell r="I678" t="e">
            <v>#N/A</v>
          </cell>
          <cell r="J678">
            <v>26.23</v>
          </cell>
        </row>
        <row r="679">
          <cell r="C679" t="str">
            <v>T701</v>
          </cell>
          <cell r="D679" t="str">
            <v>Servente</v>
          </cell>
          <cell r="E679">
            <v>1</v>
          </cell>
          <cell r="F679">
            <v>6.99</v>
          </cell>
          <cell r="G679" t="e">
            <v>#N/A</v>
          </cell>
          <cell r="H679" t="e">
            <v>#N/A</v>
          </cell>
          <cell r="I679" t="e">
            <v>#N/A</v>
          </cell>
          <cell r="J679">
            <v>6.99</v>
          </cell>
        </row>
        <row r="680">
          <cell r="D680" t="str">
            <v/>
          </cell>
          <cell r="F680" t="str">
            <v/>
          </cell>
          <cell r="G680" t="str">
            <v/>
          </cell>
          <cell r="H680" t="str">
            <v/>
          </cell>
          <cell r="I680" t="str">
            <v/>
          </cell>
          <cell r="J680" t="str">
            <v/>
          </cell>
        </row>
        <row r="681">
          <cell r="D681" t="str">
            <v/>
          </cell>
          <cell r="F681" t="str">
            <v/>
          </cell>
          <cell r="G681" t="str">
            <v/>
          </cell>
          <cell r="H681" t="str">
            <v/>
          </cell>
          <cell r="I681" t="str">
            <v/>
          </cell>
          <cell r="J681" t="str">
            <v/>
          </cell>
        </row>
        <row r="682">
          <cell r="F682" t="str">
            <v>CUSTO HORÁRIO DE MÃO DE OBRA - (B)</v>
          </cell>
          <cell r="J682">
            <v>78</v>
          </cell>
        </row>
        <row r="683">
          <cell r="F683" t="str">
            <v>FERRAMENTAS</v>
          </cell>
          <cell r="H683">
            <v>0.15509999999999999</v>
          </cell>
          <cell r="J683">
            <v>12.09</v>
          </cell>
        </row>
        <row r="684">
          <cell r="F684" t="str">
            <v>CUSTO HORÁRIO TOTAL - (A + B)</v>
          </cell>
          <cell r="J684">
            <v>533.22</v>
          </cell>
        </row>
        <row r="685">
          <cell r="F685" t="str">
            <v>CUSTO UNITÁRIO DE EXECUÇÃO - (D)</v>
          </cell>
          <cell r="J685">
            <v>14.81</v>
          </cell>
        </row>
        <row r="686">
          <cell r="C686" t="str">
            <v>ÍTEM</v>
          </cell>
          <cell r="D686" t="str">
            <v>M A T E R I A L</v>
          </cell>
          <cell r="E686" t="str">
            <v>UNID</v>
          </cell>
          <cell r="F686" t="str">
            <v>CONSUMO</v>
          </cell>
          <cell r="H686" t="str">
            <v xml:space="preserve"> PREÇO UNITÁRIO</v>
          </cell>
          <cell r="J686" t="str">
            <v>CUSTO UNITÁRIO</v>
          </cell>
        </row>
        <row r="687">
          <cell r="C687" t="str">
            <v>M326</v>
          </cell>
          <cell r="D687" t="str">
            <v>Série de brocas S-12 D=22 mm</v>
          </cell>
          <cell r="E687" t="str">
            <v>un</v>
          </cell>
          <cell r="F687">
            <v>8.0000000000000004E-4</v>
          </cell>
          <cell r="H687">
            <v>524.01</v>
          </cell>
          <cell r="J687">
            <v>0.41</v>
          </cell>
        </row>
        <row r="688">
          <cell r="C688" t="str">
            <v>M501</v>
          </cell>
          <cell r="D688" t="str">
            <v>Dinamite a 60% (gelatina especial)</v>
          </cell>
          <cell r="E688" t="str">
            <v>kg</v>
          </cell>
          <cell r="F688">
            <v>0.42</v>
          </cell>
          <cell r="H688">
            <v>3.3</v>
          </cell>
          <cell r="J688">
            <v>1.38</v>
          </cell>
        </row>
        <row r="689">
          <cell r="C689" t="str">
            <v>M503</v>
          </cell>
          <cell r="D689" t="str">
            <v>Espoleta comum n. 8</v>
          </cell>
          <cell r="E689" t="str">
            <v>un</v>
          </cell>
          <cell r="F689">
            <v>1.2999999999999999E-2</v>
          </cell>
          <cell r="H689">
            <v>0.8</v>
          </cell>
          <cell r="J689">
            <v>0.01</v>
          </cell>
        </row>
        <row r="690">
          <cell r="C690" t="str">
            <v>M505</v>
          </cell>
          <cell r="D690" t="str">
            <v>Cordel detonante NP 10</v>
          </cell>
          <cell r="E690" t="str">
            <v>m</v>
          </cell>
          <cell r="F690">
            <v>0.8</v>
          </cell>
          <cell r="H690">
            <v>0.72</v>
          </cell>
          <cell r="J690">
            <v>0.56999999999999995</v>
          </cell>
        </row>
        <row r="691">
          <cell r="C691" t="str">
            <v>M507</v>
          </cell>
          <cell r="D691" t="str">
            <v>Retardador de cordel</v>
          </cell>
          <cell r="E691" t="str">
            <v>un</v>
          </cell>
          <cell r="F691">
            <v>0.04</v>
          </cell>
          <cell r="H691">
            <v>10</v>
          </cell>
          <cell r="J691">
            <v>0.4</v>
          </cell>
        </row>
        <row r="692">
          <cell r="C692" t="str">
            <v>M508</v>
          </cell>
          <cell r="D692" t="str">
            <v>Estopim</v>
          </cell>
          <cell r="E692" t="str">
            <v>m</v>
          </cell>
          <cell r="F692">
            <v>2.5000000000000001E-2</v>
          </cell>
          <cell r="H692">
            <v>0.8</v>
          </cell>
          <cell r="J692">
            <v>0.02</v>
          </cell>
        </row>
        <row r="693">
          <cell r="C693" t="str">
            <v>M945</v>
          </cell>
          <cell r="D693" t="str">
            <v>Haste para perfuratriz de esteira</v>
          </cell>
          <cell r="E693" t="str">
            <v>un</v>
          </cell>
          <cell r="F693">
            <v>1E-3</v>
          </cell>
          <cell r="H693">
            <v>486</v>
          </cell>
          <cell r="J693">
            <v>0.48</v>
          </cell>
        </row>
        <row r="694">
          <cell r="C694" t="str">
            <v>M946</v>
          </cell>
          <cell r="D694" t="str">
            <v>Luva para perfuratriz de esteira</v>
          </cell>
          <cell r="E694" t="str">
            <v>un</v>
          </cell>
          <cell r="F694">
            <v>1E-3</v>
          </cell>
          <cell r="H694">
            <v>223.7</v>
          </cell>
          <cell r="J694">
            <v>0.22</v>
          </cell>
        </row>
        <row r="695">
          <cell r="C695" t="str">
            <v>M947</v>
          </cell>
          <cell r="D695" t="str">
            <v>Punho para perfuratriz de esteira</v>
          </cell>
          <cell r="E695" t="str">
            <v>un</v>
          </cell>
          <cell r="F695">
            <v>8.0000000000000004E-4</v>
          </cell>
          <cell r="H695">
            <v>576</v>
          </cell>
          <cell r="J695">
            <v>0.46</v>
          </cell>
        </row>
        <row r="696">
          <cell r="C696" t="str">
            <v>M948</v>
          </cell>
          <cell r="D696" t="str">
            <v>Coroa para perfuratriz de esteira</v>
          </cell>
          <cell r="E696" t="str">
            <v>un</v>
          </cell>
          <cell r="F696">
            <v>6.9999999999999999E-4</v>
          </cell>
          <cell r="H696">
            <v>706</v>
          </cell>
          <cell r="J696">
            <v>0.49</v>
          </cell>
        </row>
        <row r="697">
          <cell r="C697" t="str">
            <v>M980</v>
          </cell>
          <cell r="D697" t="str">
            <v>Indenização de jazida</v>
          </cell>
          <cell r="E697" t="str">
            <v>m3</v>
          </cell>
          <cell r="F697">
            <v>1</v>
          </cell>
          <cell r="H697">
            <v>0.01</v>
          </cell>
          <cell r="J697">
            <v>0.01</v>
          </cell>
        </row>
        <row r="698">
          <cell r="D698" t="str">
            <v/>
          </cell>
          <cell r="E698" t="str">
            <v/>
          </cell>
          <cell r="H698">
            <v>0</v>
          </cell>
          <cell r="J698" t="str">
            <v/>
          </cell>
        </row>
        <row r="699">
          <cell r="F699" t="str">
            <v>CUSTO TOTAL DE MATERIAL - (E)</v>
          </cell>
          <cell r="J699">
            <v>4.45</v>
          </cell>
        </row>
        <row r="700">
          <cell r="C700" t="str">
            <v>CODIGO</v>
          </cell>
          <cell r="D700" t="str">
            <v>ATIVIDADES AUXILIARES</v>
          </cell>
          <cell r="E700" t="str">
            <v>UNID</v>
          </cell>
          <cell r="F700" t="str">
            <v>QUANTIDADE</v>
          </cell>
          <cell r="H700" t="str">
            <v xml:space="preserve"> PREÇO UNITÁRIO</v>
          </cell>
          <cell r="J700" t="str">
            <v>CUSTO UNITÁRIO</v>
          </cell>
        </row>
        <row r="701">
          <cell r="C701" t="str">
            <v>1 A 01 100 01</v>
          </cell>
          <cell r="D701" t="str">
            <v>Limpeza camada vegetal em jazida com expurgo lateral (construção e restauração)</v>
          </cell>
          <cell r="E701" t="str">
            <v>m²</v>
          </cell>
          <cell r="F701">
            <v>0.7</v>
          </cell>
          <cell r="H701">
            <v>0.39</v>
          </cell>
          <cell r="J701">
            <v>0.27</v>
          </cell>
        </row>
        <row r="702">
          <cell r="C702" t="str">
            <v>1 A 01 105 01</v>
          </cell>
          <cell r="D702" t="str">
            <v>Expurgo de jazida (construção e restauração)</v>
          </cell>
          <cell r="E702" t="str">
            <v>m³</v>
          </cell>
          <cell r="F702">
            <v>0.2</v>
          </cell>
          <cell r="H702">
            <v>2.12</v>
          </cell>
          <cell r="J702">
            <v>0.42</v>
          </cell>
        </row>
        <row r="703">
          <cell r="D703" t="str">
            <v/>
          </cell>
          <cell r="E703" t="str">
            <v/>
          </cell>
          <cell r="H703" t="str">
            <v/>
          </cell>
          <cell r="J703" t="str">
            <v/>
          </cell>
        </row>
        <row r="704">
          <cell r="D704" t="str">
            <v/>
          </cell>
          <cell r="E704" t="str">
            <v/>
          </cell>
          <cell r="H704" t="str">
            <v/>
          </cell>
          <cell r="J704" t="str">
            <v/>
          </cell>
        </row>
        <row r="705">
          <cell r="D705" t="str">
            <v/>
          </cell>
          <cell r="E705" t="str">
            <v/>
          </cell>
          <cell r="H705" t="str">
            <v/>
          </cell>
          <cell r="J705" t="str">
            <v/>
          </cell>
        </row>
        <row r="706">
          <cell r="C706" t="str">
            <v>OBSERVAÇÕES:</v>
          </cell>
          <cell r="F706" t="str">
            <v>CUSTO ATIVIDADES AUXILIARES - (F)</v>
          </cell>
          <cell r="J706">
            <v>0.69</v>
          </cell>
        </row>
        <row r="707">
          <cell r="F707" t="str">
            <v>CUSTO UNITÁRIO DIRETO TOTAL</v>
          </cell>
          <cell r="J707">
            <v>19.95</v>
          </cell>
        </row>
        <row r="708">
          <cell r="F708" t="str">
            <v xml:space="preserve">BONIFICAÇÃO </v>
          </cell>
          <cell r="H708">
            <v>0</v>
          </cell>
          <cell r="J708">
            <v>0</v>
          </cell>
        </row>
        <row r="709">
          <cell r="F709" t="str">
            <v>PREÇO UNITÁRIO  TOTAL</v>
          </cell>
          <cell r="J709">
            <v>19.95</v>
          </cell>
        </row>
        <row r="713">
          <cell r="A713" t="str">
            <v>1 A 01 150 02</v>
          </cell>
          <cell r="C713" t="str">
            <v>SERVIÇO:</v>
          </cell>
          <cell r="D713" t="str">
            <v>Rocha para britagem com perfuratriz manual</v>
          </cell>
          <cell r="F713" t="str">
            <v>PRODUÇÃO DA EQUIPE - (C):</v>
          </cell>
          <cell r="J713">
            <v>22</v>
          </cell>
          <cell r="K713" t="str">
            <v>M³</v>
          </cell>
          <cell r="M713">
            <v>24.02</v>
          </cell>
        </row>
        <row r="714">
          <cell r="F714" t="str">
            <v>UNITÁRIO</v>
          </cell>
          <cell r="H714" t="str">
            <v>C. OPERACIONAL</v>
          </cell>
        </row>
        <row r="715">
          <cell r="C715" t="str">
            <v>ÍTEM</v>
          </cell>
          <cell r="D715" t="str">
            <v>E Q U I P A M E N T O</v>
          </cell>
          <cell r="E715" t="str">
            <v>QUANT.</v>
          </cell>
          <cell r="F715" t="str">
            <v>PROD</v>
          </cell>
          <cell r="G715" t="str">
            <v>IMPROD</v>
          </cell>
          <cell r="H715" t="str">
            <v>PROD</v>
          </cell>
          <cell r="I715" t="str">
            <v>IMPROD</v>
          </cell>
          <cell r="J715" t="str">
            <v>CUSTO HORÁRIO</v>
          </cell>
        </row>
        <row r="716">
          <cell r="C716" t="str">
            <v>E016</v>
          </cell>
          <cell r="D716" t="str">
            <v>Carregadeira de Pneus : Case : W-20 -  1,70 m3</v>
          </cell>
          <cell r="E716">
            <v>1</v>
          </cell>
          <cell r="F716">
            <v>0.51</v>
          </cell>
          <cell r="G716">
            <v>0.49</v>
          </cell>
          <cell r="H716">
            <v>112.51</v>
          </cell>
          <cell r="I716">
            <v>22.39</v>
          </cell>
          <cell r="J716">
            <v>68.349999999999994</v>
          </cell>
        </row>
        <row r="717">
          <cell r="C717" t="str">
            <v>E204</v>
          </cell>
          <cell r="D717" t="str">
            <v xml:space="preserve"> Martelete : Atlas Copco : RH658-6L -  perfuratriz manual</v>
          </cell>
          <cell r="E717">
            <v>4</v>
          </cell>
          <cell r="F717">
            <v>1</v>
          </cell>
          <cell r="G717">
            <v>0</v>
          </cell>
          <cell r="H717">
            <v>16.059999999999999</v>
          </cell>
          <cell r="I717">
            <v>15.36</v>
          </cell>
          <cell r="J717">
            <v>64.239999999999995</v>
          </cell>
        </row>
        <row r="718">
          <cell r="C718" t="str">
            <v>E223</v>
          </cell>
          <cell r="D718" t="str">
            <v xml:space="preserve">Compressor de Ar : Atlas Copco : XATS 176 - 360 PCM </v>
          </cell>
          <cell r="E718">
            <v>1</v>
          </cell>
          <cell r="F718">
            <v>1</v>
          </cell>
          <cell r="G718">
            <v>0</v>
          </cell>
          <cell r="H718">
            <v>64.77</v>
          </cell>
          <cell r="I718">
            <v>17.27</v>
          </cell>
          <cell r="J718">
            <v>64.77</v>
          </cell>
        </row>
        <row r="719">
          <cell r="C719" t="str">
            <v>E405</v>
          </cell>
          <cell r="D719" t="str">
            <v>Caminhão Basculante : Mercedes Benz : 2423 K - p/ rocha 8 m3 - 13 t</v>
          </cell>
          <cell r="E719">
            <v>1</v>
          </cell>
          <cell r="F719">
            <v>0.92</v>
          </cell>
          <cell r="G719">
            <v>0.08</v>
          </cell>
          <cell r="H719">
            <v>128.63</v>
          </cell>
          <cell r="I719">
            <v>20.47</v>
          </cell>
          <cell r="J719">
            <v>119.97</v>
          </cell>
        </row>
        <row r="720">
          <cell r="D720" t="str">
            <v/>
          </cell>
          <cell r="G720" t="str">
            <v/>
          </cell>
          <cell r="H720" t="str">
            <v/>
          </cell>
          <cell r="I720" t="str">
            <v/>
          </cell>
          <cell r="J720" t="str">
            <v/>
          </cell>
        </row>
        <row r="721">
          <cell r="D721" t="str">
            <v/>
          </cell>
          <cell r="G721" t="str">
            <v/>
          </cell>
          <cell r="H721" t="str">
            <v/>
          </cell>
          <cell r="I721" t="str">
            <v/>
          </cell>
          <cell r="J721" t="str">
            <v/>
          </cell>
        </row>
        <row r="722">
          <cell r="D722" t="str">
            <v/>
          </cell>
          <cell r="G722" t="str">
            <v/>
          </cell>
          <cell r="H722" t="str">
            <v/>
          </cell>
          <cell r="I722" t="str">
            <v/>
          </cell>
          <cell r="J722" t="str">
            <v/>
          </cell>
        </row>
        <row r="723">
          <cell r="F723" t="str">
            <v>CUSTO HORÁRIO DO EQUIPAMENTO - (A)</v>
          </cell>
          <cell r="J723">
            <v>317.33</v>
          </cell>
        </row>
        <row r="724">
          <cell r="C724" t="str">
            <v>ÍTEM</v>
          </cell>
          <cell r="D724" t="str">
            <v>M Ã O    D E   O B R A</v>
          </cell>
          <cell r="E724" t="str">
            <v>QUANT.</v>
          </cell>
          <cell r="F724" t="str">
            <v>SALÁRIO HORA</v>
          </cell>
          <cell r="J724" t="str">
            <v>CUSTO HORÁRIO</v>
          </cell>
        </row>
        <row r="725">
          <cell r="C725" t="str">
            <v>T512</v>
          </cell>
          <cell r="D725" t="str">
            <v>Encarregado de britagem</v>
          </cell>
          <cell r="E725">
            <v>1</v>
          </cell>
          <cell r="F725">
            <v>44.78</v>
          </cell>
          <cell r="G725" t="e">
            <v>#N/A</v>
          </cell>
          <cell r="H725" t="e">
            <v>#N/A</v>
          </cell>
          <cell r="I725" t="e">
            <v>#N/A</v>
          </cell>
          <cell r="J725">
            <v>44.78</v>
          </cell>
        </row>
        <row r="726">
          <cell r="C726" t="str">
            <v>T601</v>
          </cell>
          <cell r="D726" t="str">
            <v>Blaster</v>
          </cell>
          <cell r="E726">
            <v>1</v>
          </cell>
          <cell r="F726">
            <v>26.23</v>
          </cell>
          <cell r="G726" t="e">
            <v>#N/A</v>
          </cell>
          <cell r="H726" t="e">
            <v>#N/A</v>
          </cell>
          <cell r="I726" t="e">
            <v>#N/A</v>
          </cell>
          <cell r="J726">
            <v>26.23</v>
          </cell>
        </row>
        <row r="727">
          <cell r="C727" t="str">
            <v>T701</v>
          </cell>
          <cell r="D727" t="str">
            <v>Servente</v>
          </cell>
          <cell r="E727">
            <v>1</v>
          </cell>
          <cell r="F727">
            <v>6.99</v>
          </cell>
          <cell r="G727" t="e">
            <v>#N/A</v>
          </cell>
          <cell r="H727" t="e">
            <v>#N/A</v>
          </cell>
          <cell r="I727" t="e">
            <v>#N/A</v>
          </cell>
          <cell r="J727">
            <v>6.99</v>
          </cell>
        </row>
        <row r="728">
          <cell r="D728" t="str">
            <v/>
          </cell>
          <cell r="F728" t="str">
            <v/>
          </cell>
          <cell r="G728" t="str">
            <v/>
          </cell>
          <cell r="H728" t="str">
            <v/>
          </cell>
          <cell r="I728" t="str">
            <v/>
          </cell>
          <cell r="J728" t="str">
            <v/>
          </cell>
        </row>
        <row r="729">
          <cell r="D729" t="str">
            <v/>
          </cell>
          <cell r="F729" t="str">
            <v/>
          </cell>
          <cell r="G729" t="str">
            <v/>
          </cell>
          <cell r="H729" t="str">
            <v/>
          </cell>
          <cell r="I729" t="str">
            <v/>
          </cell>
          <cell r="J729" t="str">
            <v/>
          </cell>
        </row>
        <row r="730">
          <cell r="F730" t="str">
            <v>CUSTO HORÁRIO DE MÃO DE OBRA - (B)</v>
          </cell>
          <cell r="J730">
            <v>78</v>
          </cell>
        </row>
        <row r="731">
          <cell r="F731" t="str">
            <v>FERRAMENTAS</v>
          </cell>
          <cell r="H731">
            <v>0.2051</v>
          </cell>
          <cell r="J731">
            <v>15.99</v>
          </cell>
        </row>
        <row r="732">
          <cell r="F732" t="str">
            <v>CUSTO HORÁRIO TOTAL - (A + B)</v>
          </cell>
          <cell r="J732">
            <v>411.32</v>
          </cell>
        </row>
        <row r="733">
          <cell r="F733" t="str">
            <v>CUSTO UNITÁRIO DE EXECUÇÃO - (D)</v>
          </cell>
          <cell r="J733">
            <v>18.690000000000001</v>
          </cell>
        </row>
        <row r="734">
          <cell r="C734" t="str">
            <v>ÍTEM</v>
          </cell>
          <cell r="D734" t="str">
            <v>M A T E R I A L</v>
          </cell>
          <cell r="E734" t="str">
            <v>UNID</v>
          </cell>
          <cell r="F734" t="str">
            <v>CONSUMO</v>
          </cell>
          <cell r="H734" t="str">
            <v xml:space="preserve"> PREÇO UNITÁRIO</v>
          </cell>
          <cell r="J734" t="str">
            <v>CUSTO UNITÁRIO</v>
          </cell>
        </row>
        <row r="735">
          <cell r="C735" t="str">
            <v>M326</v>
          </cell>
          <cell r="D735" t="str">
            <v>Série de brocas S-12 D=22 mm</v>
          </cell>
          <cell r="E735" t="str">
            <v>un</v>
          </cell>
          <cell r="F735">
            <v>3.0000000000000001E-3</v>
          </cell>
          <cell r="H735">
            <v>524.01</v>
          </cell>
          <cell r="J735">
            <v>1.57</v>
          </cell>
        </row>
        <row r="736">
          <cell r="C736" t="str">
            <v>M501</v>
          </cell>
          <cell r="D736" t="str">
            <v>Dinamite a 60% (gelatina especial)</v>
          </cell>
          <cell r="E736" t="str">
            <v>kg</v>
          </cell>
          <cell r="F736">
            <v>0.42</v>
          </cell>
          <cell r="H736">
            <v>3.3</v>
          </cell>
          <cell r="J736">
            <v>1.38</v>
          </cell>
        </row>
        <row r="737">
          <cell r="C737" t="str">
            <v>M503</v>
          </cell>
          <cell r="D737" t="str">
            <v>Espoleta comum n. 8</v>
          </cell>
          <cell r="E737" t="str">
            <v>un</v>
          </cell>
          <cell r="F737">
            <v>1.2999999999999999E-2</v>
          </cell>
          <cell r="H737">
            <v>0.8</v>
          </cell>
          <cell r="J737">
            <v>0.01</v>
          </cell>
        </row>
        <row r="738">
          <cell r="C738" t="str">
            <v>M505</v>
          </cell>
          <cell r="D738" t="str">
            <v>Cordel detonante NP 10</v>
          </cell>
          <cell r="E738" t="str">
            <v>m</v>
          </cell>
          <cell r="F738">
            <v>0.8</v>
          </cell>
          <cell r="H738">
            <v>0.72</v>
          </cell>
          <cell r="J738">
            <v>0.56999999999999995</v>
          </cell>
        </row>
        <row r="739">
          <cell r="C739" t="str">
            <v>M507</v>
          </cell>
          <cell r="D739" t="str">
            <v>Retardador de cordel</v>
          </cell>
          <cell r="E739" t="str">
            <v>un</v>
          </cell>
          <cell r="F739">
            <v>0.04</v>
          </cell>
          <cell r="H739">
            <v>10</v>
          </cell>
          <cell r="J739">
            <v>0.4</v>
          </cell>
        </row>
        <row r="740">
          <cell r="C740" t="str">
            <v>M508</v>
          </cell>
          <cell r="D740" t="str">
            <v>Estopim</v>
          </cell>
          <cell r="E740" t="str">
            <v>m</v>
          </cell>
          <cell r="F740">
            <v>2.5000000000000001E-2</v>
          </cell>
          <cell r="H740">
            <v>0.8</v>
          </cell>
          <cell r="J740">
            <v>0.02</v>
          </cell>
        </row>
        <row r="741">
          <cell r="C741" t="str">
            <v>M980</v>
          </cell>
          <cell r="D741" t="str">
            <v>Indenização de jazida</v>
          </cell>
          <cell r="E741" t="str">
            <v>m3</v>
          </cell>
          <cell r="F741">
            <v>1</v>
          </cell>
          <cell r="H741">
            <v>0.01</v>
          </cell>
          <cell r="J741">
            <v>0.01</v>
          </cell>
        </row>
        <row r="742">
          <cell r="D742" t="str">
            <v/>
          </cell>
          <cell r="E742" t="str">
            <v/>
          </cell>
          <cell r="H742">
            <v>0</v>
          </cell>
          <cell r="J742" t="str">
            <v/>
          </cell>
        </row>
        <row r="743">
          <cell r="D743" t="str">
            <v/>
          </cell>
          <cell r="E743" t="str">
            <v/>
          </cell>
          <cell r="H743">
            <v>0</v>
          </cell>
          <cell r="J743" t="str">
            <v/>
          </cell>
        </row>
        <row r="744">
          <cell r="F744" t="str">
            <v>CUSTO TOTAL DE MATERIAL - (E)</v>
          </cell>
          <cell r="J744">
            <v>3.96</v>
          </cell>
        </row>
        <row r="745">
          <cell r="C745" t="str">
            <v>CODIGO</v>
          </cell>
          <cell r="D745" t="str">
            <v>ATIVIDADES AUXILIARES</v>
          </cell>
          <cell r="E745" t="str">
            <v>UNID</v>
          </cell>
          <cell r="F745" t="str">
            <v>QUANTIDADE</v>
          </cell>
          <cell r="H745" t="str">
            <v xml:space="preserve"> PREÇO UNITÁRIO</v>
          </cell>
          <cell r="J745" t="str">
            <v>CUSTO UNITÁRIO</v>
          </cell>
        </row>
        <row r="746">
          <cell r="C746" t="str">
            <v>1 A 01 100 02</v>
          </cell>
          <cell r="D746" t="str">
            <v>Limpeza de camada vegetal em jazida (conservação)</v>
          </cell>
          <cell r="E746" t="str">
            <v>m²</v>
          </cell>
          <cell r="F746">
            <v>0.7</v>
          </cell>
          <cell r="H746">
            <v>0.77</v>
          </cell>
          <cell r="J746">
            <v>0.53</v>
          </cell>
        </row>
        <row r="747">
          <cell r="C747" t="str">
            <v>1 A 01 105 02</v>
          </cell>
          <cell r="D747" t="str">
            <v>Expurgo de jazida (conservação)</v>
          </cell>
          <cell r="E747" t="str">
            <v>m³</v>
          </cell>
          <cell r="F747">
            <v>0.2</v>
          </cell>
          <cell r="H747">
            <v>4.2</v>
          </cell>
          <cell r="J747">
            <v>0.84</v>
          </cell>
        </row>
        <row r="748">
          <cell r="D748" t="str">
            <v/>
          </cell>
          <cell r="E748" t="str">
            <v/>
          </cell>
          <cell r="H748" t="str">
            <v/>
          </cell>
          <cell r="J748" t="str">
            <v/>
          </cell>
        </row>
        <row r="749">
          <cell r="D749" t="str">
            <v/>
          </cell>
          <cell r="E749" t="str">
            <v/>
          </cell>
          <cell r="H749" t="str">
            <v/>
          </cell>
          <cell r="J749" t="str">
            <v/>
          </cell>
        </row>
        <row r="750">
          <cell r="D750" t="str">
            <v/>
          </cell>
          <cell r="E750" t="str">
            <v/>
          </cell>
          <cell r="H750" t="str">
            <v/>
          </cell>
          <cell r="J750" t="str">
            <v/>
          </cell>
        </row>
        <row r="751">
          <cell r="C751" t="str">
            <v>OBSERVAÇÕES:</v>
          </cell>
          <cell r="F751" t="str">
            <v>CUSTO ATIVIDADES AUXILIARES - (F)</v>
          </cell>
          <cell r="J751">
            <v>1.37</v>
          </cell>
        </row>
        <row r="752">
          <cell r="F752" t="str">
            <v>CUSTO UNITÁRIO DIRETO TOTAL</v>
          </cell>
          <cell r="J752">
            <v>24.02</v>
          </cell>
        </row>
        <row r="753">
          <cell r="F753" t="str">
            <v xml:space="preserve">BONIFICAÇÃO </v>
          </cell>
          <cell r="H753">
            <v>0</v>
          </cell>
          <cell r="J753">
            <v>0</v>
          </cell>
        </row>
        <row r="754">
          <cell r="F754" t="str">
            <v>PREÇO UNITÁRIO  TOTAL</v>
          </cell>
          <cell r="J754">
            <v>24.02</v>
          </cell>
        </row>
        <row r="758">
          <cell r="A758" t="str">
            <v>1 A 01 155 01</v>
          </cell>
          <cell r="C758" t="str">
            <v>SERVIÇO:</v>
          </cell>
          <cell r="D758" t="str">
            <v>Rachão e pedra-de-mão produzidos - (construção e restauração).</v>
          </cell>
          <cell r="F758" t="str">
            <v>PRODUÇÃO DA EQUIPE - (C):</v>
          </cell>
          <cell r="J758">
            <v>66</v>
          </cell>
          <cell r="K758" t="str">
            <v>m³</v>
          </cell>
          <cell r="M758">
            <v>19.53</v>
          </cell>
        </row>
        <row r="759">
          <cell r="F759" t="str">
            <v>UNITÁRIO</v>
          </cell>
          <cell r="H759" t="str">
            <v>C. OPERACIONAL</v>
          </cell>
        </row>
        <row r="760">
          <cell r="C760" t="str">
            <v>ÍTEM</v>
          </cell>
          <cell r="D760" t="str">
            <v>E Q U I P A M E N T O</v>
          </cell>
          <cell r="E760" t="str">
            <v>QUANT.</v>
          </cell>
          <cell r="F760" t="str">
            <v>PROD</v>
          </cell>
          <cell r="G760" t="str">
            <v>IMPROD</v>
          </cell>
          <cell r="H760" t="str">
            <v>PROD</v>
          </cell>
          <cell r="I760" t="str">
            <v>IMPROD</v>
          </cell>
          <cell r="J760" t="str">
            <v>CUSTO HORÁRIO</v>
          </cell>
        </row>
        <row r="761">
          <cell r="C761" t="str">
            <v>E010</v>
          </cell>
          <cell r="D761" t="str">
            <v>Carregadeira de Pneus : Caterpillar : 950H -  3,3 m3</v>
          </cell>
          <cell r="E761">
            <v>1</v>
          </cell>
          <cell r="F761">
            <v>0.24</v>
          </cell>
          <cell r="G761">
            <v>0.76</v>
          </cell>
          <cell r="H761">
            <v>180.79</v>
          </cell>
          <cell r="I761">
            <v>22.39</v>
          </cell>
          <cell r="J761">
            <v>60.4</v>
          </cell>
        </row>
        <row r="762">
          <cell r="C762" t="str">
            <v>E226</v>
          </cell>
          <cell r="D762" t="str">
            <v>Conjunto de Britagem - p/ rachão : FAÇO : - 80 m3/h p/ produção de rachão</v>
          </cell>
          <cell r="E762">
            <v>1</v>
          </cell>
          <cell r="F762">
            <v>1</v>
          </cell>
          <cell r="G762">
            <v>0</v>
          </cell>
          <cell r="H762">
            <v>189.82</v>
          </cell>
          <cell r="I762">
            <v>22.39</v>
          </cell>
          <cell r="J762">
            <v>189.82</v>
          </cell>
        </row>
        <row r="763">
          <cell r="C763" t="str">
            <v>E504</v>
          </cell>
          <cell r="D763" t="str">
            <v xml:space="preserve">Grupo Gerador : Heimer : GEHMB-360 - 288 KVA </v>
          </cell>
          <cell r="E763">
            <v>1</v>
          </cell>
          <cell r="F763">
            <v>1</v>
          </cell>
          <cell r="G763">
            <v>0</v>
          </cell>
          <cell r="H763">
            <v>124.91</v>
          </cell>
          <cell r="I763">
            <v>17.27</v>
          </cell>
          <cell r="J763">
            <v>124.91</v>
          </cell>
        </row>
        <row r="764">
          <cell r="D764" t="str">
            <v/>
          </cell>
          <cell r="G764" t="str">
            <v/>
          </cell>
          <cell r="H764" t="str">
            <v/>
          </cell>
          <cell r="I764" t="str">
            <v/>
          </cell>
          <cell r="J764" t="str">
            <v/>
          </cell>
        </row>
        <row r="765">
          <cell r="D765" t="str">
            <v/>
          </cell>
          <cell r="G765" t="str">
            <v/>
          </cell>
          <cell r="H765" t="str">
            <v/>
          </cell>
          <cell r="I765" t="str">
            <v/>
          </cell>
          <cell r="J765" t="str">
            <v/>
          </cell>
        </row>
        <row r="766">
          <cell r="D766" t="str">
            <v/>
          </cell>
          <cell r="G766" t="str">
            <v/>
          </cell>
          <cell r="H766" t="str">
            <v/>
          </cell>
          <cell r="I766" t="str">
            <v/>
          </cell>
          <cell r="J766" t="str">
            <v/>
          </cell>
        </row>
        <row r="767">
          <cell r="D767" t="str">
            <v/>
          </cell>
          <cell r="G767" t="str">
            <v/>
          </cell>
          <cell r="H767" t="str">
            <v/>
          </cell>
          <cell r="I767" t="str">
            <v/>
          </cell>
          <cell r="J767" t="str">
            <v/>
          </cell>
        </row>
        <row r="768">
          <cell r="F768" t="str">
            <v>CUSTO HORÁRIO DO EQUIPAMENTO - (A)</v>
          </cell>
          <cell r="J768">
            <v>375.13</v>
          </cell>
        </row>
        <row r="769">
          <cell r="C769" t="str">
            <v>ÍTEM</v>
          </cell>
          <cell r="D769" t="str">
            <v>M Ã O    D E   O B R A</v>
          </cell>
          <cell r="E769" t="str">
            <v>QUANT.</v>
          </cell>
          <cell r="F769" t="str">
            <v>SALÁRIO HORA</v>
          </cell>
          <cell r="J769" t="str">
            <v>CUSTO HORÁRIO</v>
          </cell>
        </row>
        <row r="770">
          <cell r="C770" t="str">
            <v>T512</v>
          </cell>
          <cell r="D770" t="str">
            <v>Encarregado de britagem</v>
          </cell>
          <cell r="E770">
            <v>1</v>
          </cell>
          <cell r="F770">
            <v>44.78</v>
          </cell>
          <cell r="G770" t="e">
            <v>#N/A</v>
          </cell>
          <cell r="H770" t="e">
            <v>#N/A</v>
          </cell>
          <cell r="I770" t="e">
            <v>#N/A</v>
          </cell>
          <cell r="J770">
            <v>44.78</v>
          </cell>
        </row>
        <row r="771">
          <cell r="C771" t="str">
            <v>T701</v>
          </cell>
          <cell r="D771" t="str">
            <v>Servente</v>
          </cell>
          <cell r="E771">
            <v>8</v>
          </cell>
          <cell r="F771">
            <v>6.99</v>
          </cell>
          <cell r="G771" t="e">
            <v>#N/A</v>
          </cell>
          <cell r="H771" t="e">
            <v>#N/A</v>
          </cell>
          <cell r="I771" t="e">
            <v>#N/A</v>
          </cell>
          <cell r="J771">
            <v>55.92</v>
          </cell>
        </row>
        <row r="772">
          <cell r="D772" t="str">
            <v/>
          </cell>
          <cell r="F772" t="str">
            <v/>
          </cell>
          <cell r="G772" t="str">
            <v/>
          </cell>
          <cell r="H772" t="str">
            <v/>
          </cell>
          <cell r="I772" t="str">
            <v/>
          </cell>
          <cell r="J772" t="str">
            <v/>
          </cell>
        </row>
        <row r="773">
          <cell r="D773" t="str">
            <v/>
          </cell>
          <cell r="F773" t="str">
            <v/>
          </cell>
          <cell r="G773" t="str">
            <v/>
          </cell>
          <cell r="H773" t="str">
            <v/>
          </cell>
          <cell r="I773" t="str">
            <v/>
          </cell>
          <cell r="J773" t="str">
            <v/>
          </cell>
        </row>
        <row r="774">
          <cell r="D774" t="str">
            <v/>
          </cell>
          <cell r="F774" t="str">
            <v/>
          </cell>
          <cell r="G774" t="str">
            <v/>
          </cell>
          <cell r="H774" t="str">
            <v/>
          </cell>
          <cell r="I774" t="str">
            <v/>
          </cell>
          <cell r="J774" t="str">
            <v/>
          </cell>
        </row>
        <row r="775">
          <cell r="F775" t="str">
            <v>CUSTO HORÁRIO DE MÃO DE OBRA - (B)</v>
          </cell>
          <cell r="J775">
            <v>100.7</v>
          </cell>
        </row>
        <row r="776">
          <cell r="F776" t="str">
            <v>FERRAMENTAS</v>
          </cell>
          <cell r="H776">
            <v>0.2051</v>
          </cell>
          <cell r="J776">
            <v>20.65</v>
          </cell>
        </row>
        <row r="777">
          <cell r="F777" t="str">
            <v>CUSTO HORÁRIO TOTAL - (A + B)</v>
          </cell>
          <cell r="J777">
            <v>496.48</v>
          </cell>
        </row>
        <row r="778">
          <cell r="F778" t="str">
            <v>CUSTO UNITÁRIO DE EXECUÇÃO - (D)</v>
          </cell>
          <cell r="J778">
            <v>7.52</v>
          </cell>
        </row>
        <row r="779">
          <cell r="C779" t="str">
            <v>ÍTEM</v>
          </cell>
          <cell r="D779" t="str">
            <v>M A T E R I A L</v>
          </cell>
          <cell r="E779" t="str">
            <v>UNID</v>
          </cell>
          <cell r="F779" t="str">
            <v>CONSUMO</v>
          </cell>
          <cell r="H779" t="str">
            <v xml:space="preserve"> PREÇO UNITÁRIO</v>
          </cell>
          <cell r="J779" t="str">
            <v>CUSTO UNITÁRIO</v>
          </cell>
        </row>
        <row r="780">
          <cell r="D780" t="str">
            <v/>
          </cell>
          <cell r="E780" t="str">
            <v/>
          </cell>
          <cell r="H780" t="str">
            <v/>
          </cell>
          <cell r="I780" t="str">
            <v/>
          </cell>
        </row>
        <row r="781">
          <cell r="D781" t="str">
            <v/>
          </cell>
          <cell r="E781" t="str">
            <v/>
          </cell>
          <cell r="J781">
            <v>0</v>
          </cell>
        </row>
        <row r="782">
          <cell r="D782" t="str">
            <v/>
          </cell>
          <cell r="E782" t="str">
            <v/>
          </cell>
          <cell r="J782">
            <v>0</v>
          </cell>
        </row>
        <row r="783">
          <cell r="D783" t="str">
            <v/>
          </cell>
          <cell r="E783" t="str">
            <v/>
          </cell>
          <cell r="J783">
            <v>0</v>
          </cell>
        </row>
        <row r="784">
          <cell r="D784" t="str">
            <v/>
          </cell>
          <cell r="E784" t="str">
            <v/>
          </cell>
          <cell r="J784">
            <v>0</v>
          </cell>
        </row>
        <row r="785">
          <cell r="F785" t="str">
            <v>CUSTO TOTAL DE MATERIAL - (E)</v>
          </cell>
          <cell r="J785">
            <v>0</v>
          </cell>
        </row>
        <row r="786">
          <cell r="C786" t="str">
            <v>CODIGO</v>
          </cell>
          <cell r="D786" t="str">
            <v>ATIVIDADES AUXILIARES</v>
          </cell>
          <cell r="E786" t="str">
            <v>UNID</v>
          </cell>
          <cell r="F786" t="str">
            <v>QUANTIDADE</v>
          </cell>
          <cell r="H786" t="str">
            <v xml:space="preserve"> PREÇO UNITÁRIO</v>
          </cell>
          <cell r="J786" t="str">
            <v>CUSTO UNITÁRIO</v>
          </cell>
        </row>
        <row r="787">
          <cell r="C787" t="str">
            <v>1 A 00 964 00</v>
          </cell>
          <cell r="D787" t="str">
            <v>Peças de desgaste britador produção de rachão</v>
          </cell>
          <cell r="E787" t="str">
            <v>cjh</v>
          </cell>
          <cell r="F787">
            <v>1.52E-2</v>
          </cell>
          <cell r="H787">
            <v>42.6</v>
          </cell>
          <cell r="J787">
            <v>0.64</v>
          </cell>
        </row>
        <row r="788">
          <cell r="C788" t="str">
            <v>1 A 01 150 01</v>
          </cell>
          <cell r="D788" t="str">
            <v>Rocha para britagem com perfuratriz sobre esteira</v>
          </cell>
          <cell r="E788" t="str">
            <v>M³</v>
          </cell>
          <cell r="F788">
            <v>0.56999999999999995</v>
          </cell>
          <cell r="H788">
            <v>19.95</v>
          </cell>
          <cell r="J788">
            <v>11.37</v>
          </cell>
        </row>
        <row r="789">
          <cell r="D789" t="str">
            <v/>
          </cell>
          <cell r="E789" t="str">
            <v/>
          </cell>
          <cell r="H789" t="str">
            <v/>
          </cell>
          <cell r="J789" t="str">
            <v/>
          </cell>
        </row>
        <row r="790">
          <cell r="D790" t="str">
            <v/>
          </cell>
          <cell r="E790" t="str">
            <v/>
          </cell>
          <cell r="H790" t="str">
            <v/>
          </cell>
          <cell r="J790" t="str">
            <v/>
          </cell>
        </row>
        <row r="791">
          <cell r="D791" t="str">
            <v/>
          </cell>
          <cell r="E791" t="str">
            <v/>
          </cell>
          <cell r="H791" t="str">
            <v/>
          </cell>
          <cell r="J791" t="str">
            <v/>
          </cell>
        </row>
        <row r="792">
          <cell r="C792" t="str">
            <v>OBSERVAÇÕES:</v>
          </cell>
          <cell r="F792" t="str">
            <v>CUSTO ATIVIDADES AUXILIARES - (F)</v>
          </cell>
          <cell r="J792">
            <v>12.01</v>
          </cell>
        </row>
        <row r="793">
          <cell r="F793" t="str">
            <v>CUSTO UNITÁRIO DIRETO TOTAL</v>
          </cell>
          <cell r="J793">
            <v>19.53</v>
          </cell>
        </row>
        <row r="794">
          <cell r="F794" t="str">
            <v xml:space="preserve">BONIFICAÇÃO </v>
          </cell>
          <cell r="H794">
            <v>0</v>
          </cell>
          <cell r="J794">
            <v>0</v>
          </cell>
        </row>
        <row r="795">
          <cell r="F795" t="str">
            <v>PREÇO UNITÁRIO  TOTAL</v>
          </cell>
          <cell r="J795">
            <v>19.53</v>
          </cell>
        </row>
        <row r="799">
          <cell r="A799" t="str">
            <v>1 A 01 155 51</v>
          </cell>
          <cell r="C799" t="str">
            <v>SERVIÇO:</v>
          </cell>
          <cell r="D799" t="str">
            <v>Rachão e pedra-de-mão produzidos - (construção e restauração).</v>
          </cell>
          <cell r="F799" t="str">
            <v>PRODUÇÃO DA EQUIPE - (C):</v>
          </cell>
          <cell r="J799">
            <v>66</v>
          </cell>
          <cell r="K799" t="str">
            <v>m³</v>
          </cell>
          <cell r="M799">
            <v>65</v>
          </cell>
        </row>
        <row r="800">
          <cell r="F800" t="str">
            <v>UNITÁRIO</v>
          </cell>
          <cell r="H800" t="str">
            <v>C. OPERACIONAL</v>
          </cell>
        </row>
        <row r="801">
          <cell r="C801" t="str">
            <v>ÍTEM</v>
          </cell>
          <cell r="D801" t="str">
            <v>E Q U I P A M E N T O</v>
          </cell>
          <cell r="E801" t="str">
            <v>QUANT.</v>
          </cell>
          <cell r="F801" t="str">
            <v>PROD</v>
          </cell>
          <cell r="G801" t="str">
            <v>IMPROD</v>
          </cell>
          <cell r="H801" t="str">
            <v>PROD</v>
          </cell>
          <cell r="I801" t="str">
            <v>IMPROD</v>
          </cell>
          <cell r="J801" t="str">
            <v>CUSTO HORÁRIO</v>
          </cell>
        </row>
        <row r="802">
          <cell r="D802" t="str">
            <v/>
          </cell>
          <cell r="G802" t="str">
            <v/>
          </cell>
          <cell r="H802" t="str">
            <v/>
          </cell>
          <cell r="I802" t="str">
            <v/>
          </cell>
          <cell r="J802" t="str">
            <v/>
          </cell>
        </row>
        <row r="803">
          <cell r="D803" t="str">
            <v/>
          </cell>
          <cell r="G803" t="str">
            <v/>
          </cell>
          <cell r="H803" t="str">
            <v/>
          </cell>
          <cell r="I803" t="str">
            <v/>
          </cell>
          <cell r="J803" t="str">
            <v/>
          </cell>
        </row>
        <row r="804">
          <cell r="D804" t="str">
            <v/>
          </cell>
          <cell r="G804" t="str">
            <v/>
          </cell>
          <cell r="H804" t="str">
            <v/>
          </cell>
          <cell r="I804" t="str">
            <v/>
          </cell>
          <cell r="J804" t="str">
            <v/>
          </cell>
        </row>
        <row r="805">
          <cell r="D805" t="str">
            <v/>
          </cell>
          <cell r="G805" t="str">
            <v/>
          </cell>
          <cell r="H805" t="str">
            <v/>
          </cell>
          <cell r="I805" t="str">
            <v/>
          </cell>
          <cell r="J805" t="str">
            <v/>
          </cell>
        </row>
        <row r="806">
          <cell r="D806" t="str">
            <v/>
          </cell>
          <cell r="G806" t="str">
            <v/>
          </cell>
          <cell r="H806" t="str">
            <v/>
          </cell>
          <cell r="I806" t="str">
            <v/>
          </cell>
          <cell r="J806" t="str">
            <v/>
          </cell>
        </row>
        <row r="807">
          <cell r="D807" t="str">
            <v/>
          </cell>
          <cell r="G807" t="str">
            <v/>
          </cell>
          <cell r="H807" t="str">
            <v/>
          </cell>
          <cell r="I807" t="str">
            <v/>
          </cell>
          <cell r="J807" t="str">
            <v/>
          </cell>
        </row>
        <row r="808">
          <cell r="D808" t="str">
            <v/>
          </cell>
          <cell r="G808" t="str">
            <v/>
          </cell>
          <cell r="H808" t="str">
            <v/>
          </cell>
          <cell r="I808" t="str">
            <v/>
          </cell>
          <cell r="J808" t="str">
            <v/>
          </cell>
        </row>
        <row r="809">
          <cell r="F809" t="str">
            <v>CUSTO HORÁRIO DO EQUIPAMENTO - (A)</v>
          </cell>
          <cell r="J809">
            <v>0</v>
          </cell>
        </row>
        <row r="810">
          <cell r="C810" t="str">
            <v>ÍTEM</v>
          </cell>
          <cell r="D810" t="str">
            <v>M Ã O    D E   O B R A</v>
          </cell>
          <cell r="E810" t="str">
            <v>QUANT.</v>
          </cell>
          <cell r="F810" t="str">
            <v>SALÁRIO HORA</v>
          </cell>
          <cell r="J810" t="str">
            <v>CUSTO HORÁRIO</v>
          </cell>
        </row>
        <row r="811">
          <cell r="D811" t="str">
            <v/>
          </cell>
          <cell r="F811" t="str">
            <v/>
          </cell>
          <cell r="G811" t="str">
            <v/>
          </cell>
          <cell r="H811" t="str">
            <v/>
          </cell>
          <cell r="I811" t="str">
            <v/>
          </cell>
          <cell r="J811" t="str">
            <v/>
          </cell>
        </row>
        <row r="812">
          <cell r="D812" t="str">
            <v/>
          </cell>
          <cell r="F812" t="str">
            <v/>
          </cell>
          <cell r="G812" t="str">
            <v/>
          </cell>
          <cell r="H812" t="str">
            <v/>
          </cell>
          <cell r="I812" t="str">
            <v/>
          </cell>
          <cell r="J812" t="str">
            <v/>
          </cell>
        </row>
        <row r="813">
          <cell r="D813" t="str">
            <v/>
          </cell>
          <cell r="F813" t="str">
            <v/>
          </cell>
          <cell r="G813" t="str">
            <v/>
          </cell>
          <cell r="H813" t="str">
            <v/>
          </cell>
          <cell r="I813" t="str">
            <v/>
          </cell>
          <cell r="J813" t="str">
            <v/>
          </cell>
        </row>
        <row r="814">
          <cell r="D814" t="str">
            <v/>
          </cell>
          <cell r="F814" t="str">
            <v/>
          </cell>
          <cell r="G814" t="str">
            <v/>
          </cell>
          <cell r="H814" t="str">
            <v/>
          </cell>
          <cell r="I814" t="str">
            <v/>
          </cell>
          <cell r="J814" t="str">
            <v/>
          </cell>
        </row>
        <row r="815">
          <cell r="D815" t="str">
            <v/>
          </cell>
          <cell r="F815" t="str">
            <v/>
          </cell>
          <cell r="G815" t="str">
            <v/>
          </cell>
          <cell r="H815" t="str">
            <v/>
          </cell>
          <cell r="I815" t="str">
            <v/>
          </cell>
          <cell r="J815" t="str">
            <v/>
          </cell>
        </row>
        <row r="816">
          <cell r="F816" t="str">
            <v>CUSTO HORÁRIO DE MÃO DE OBRA - (B)</v>
          </cell>
          <cell r="J816">
            <v>0</v>
          </cell>
        </row>
        <row r="817">
          <cell r="F817" t="str">
            <v>FERRAMENTAS</v>
          </cell>
          <cell r="H817">
            <v>0.2051</v>
          </cell>
          <cell r="J817">
            <v>0</v>
          </cell>
        </row>
        <row r="818">
          <cell r="F818" t="str">
            <v>CUSTO HORÁRIO TOTAL - (A + B)</v>
          </cell>
          <cell r="J818">
            <v>0</v>
          </cell>
        </row>
        <row r="819">
          <cell r="F819" t="str">
            <v>CUSTO UNITÁRIO DE EXECUÇÃO - (D)</v>
          </cell>
          <cell r="J819">
            <v>0</v>
          </cell>
        </row>
        <row r="820">
          <cell r="C820" t="str">
            <v>ÍTEM</v>
          </cell>
          <cell r="D820" t="str">
            <v>M A T E R I A L</v>
          </cell>
          <cell r="E820" t="str">
            <v>UNID</v>
          </cell>
          <cell r="F820" t="str">
            <v>CONSUMO</v>
          </cell>
          <cell r="H820" t="str">
            <v xml:space="preserve"> PREÇO UNITÁRIO</v>
          </cell>
          <cell r="J820" t="str">
            <v>CUSTO UNITÁRIO</v>
          </cell>
        </row>
        <row r="821">
          <cell r="C821" t="str">
            <v>M710</v>
          </cell>
          <cell r="D821" t="str">
            <v>Pedra de mão comercial com transporte até 50 km</v>
          </cell>
          <cell r="E821" t="str">
            <v>m3</v>
          </cell>
          <cell r="F821">
            <v>1</v>
          </cell>
          <cell r="H821">
            <v>65</v>
          </cell>
          <cell r="I821" t="e">
            <v>#N/A</v>
          </cell>
          <cell r="J821">
            <v>65</v>
          </cell>
        </row>
        <row r="822">
          <cell r="D822" t="str">
            <v/>
          </cell>
          <cell r="E822" t="str">
            <v/>
          </cell>
          <cell r="J822">
            <v>0</v>
          </cell>
        </row>
        <row r="823">
          <cell r="D823" t="str">
            <v/>
          </cell>
          <cell r="E823" t="str">
            <v/>
          </cell>
          <cell r="J823">
            <v>0</v>
          </cell>
        </row>
        <row r="824">
          <cell r="D824" t="str">
            <v/>
          </cell>
          <cell r="E824" t="str">
            <v/>
          </cell>
          <cell r="J824">
            <v>0</v>
          </cell>
        </row>
        <row r="825">
          <cell r="D825" t="str">
            <v/>
          </cell>
          <cell r="E825" t="str">
            <v/>
          </cell>
          <cell r="J825">
            <v>0</v>
          </cell>
        </row>
        <row r="826">
          <cell r="F826" t="str">
            <v>CUSTO TOTAL DE MATERIAL - (E)</v>
          </cell>
          <cell r="J826">
            <v>65</v>
          </cell>
        </row>
        <row r="827">
          <cell r="C827" t="str">
            <v>CODIGO</v>
          </cell>
          <cell r="D827" t="str">
            <v>ATIVIDADES AUXILIARES</v>
          </cell>
          <cell r="E827" t="str">
            <v>UNID</v>
          </cell>
          <cell r="F827" t="str">
            <v>QUANTIDADE</v>
          </cell>
          <cell r="H827" t="str">
            <v xml:space="preserve"> PREÇO UNITÁRIO</v>
          </cell>
          <cell r="J827" t="str">
            <v>CUSTO UNITÁRIO</v>
          </cell>
        </row>
        <row r="828">
          <cell r="D828" t="str">
            <v/>
          </cell>
          <cell r="E828" t="str">
            <v/>
          </cell>
          <cell r="H828" t="str">
            <v/>
          </cell>
          <cell r="J828" t="str">
            <v/>
          </cell>
        </row>
        <row r="829">
          <cell r="D829" t="str">
            <v/>
          </cell>
          <cell r="E829" t="str">
            <v/>
          </cell>
          <cell r="H829" t="str">
            <v/>
          </cell>
          <cell r="J829" t="str">
            <v/>
          </cell>
        </row>
        <row r="830">
          <cell r="D830" t="str">
            <v/>
          </cell>
          <cell r="E830" t="str">
            <v/>
          </cell>
          <cell r="H830" t="str">
            <v/>
          </cell>
          <cell r="J830" t="str">
            <v/>
          </cell>
        </row>
        <row r="831">
          <cell r="D831" t="str">
            <v/>
          </cell>
          <cell r="E831" t="str">
            <v/>
          </cell>
          <cell r="H831" t="str">
            <v/>
          </cell>
          <cell r="J831" t="str">
            <v/>
          </cell>
        </row>
        <row r="832">
          <cell r="D832" t="str">
            <v/>
          </cell>
          <cell r="E832" t="str">
            <v/>
          </cell>
          <cell r="H832" t="str">
            <v/>
          </cell>
          <cell r="J832" t="str">
            <v/>
          </cell>
        </row>
        <row r="833">
          <cell r="C833" t="str">
            <v>OBSERVAÇÕES:</v>
          </cell>
          <cell r="F833" t="str">
            <v>CUSTO ATIVIDADES AUXILIARES - (F)</v>
          </cell>
          <cell r="J833">
            <v>0</v>
          </cell>
        </row>
        <row r="834">
          <cell r="F834" t="str">
            <v>CUSTO UNITÁRIO DIRETO TOTAL</v>
          </cell>
          <cell r="J834">
            <v>65</v>
          </cell>
        </row>
        <row r="835">
          <cell r="F835" t="str">
            <v xml:space="preserve">BONIFICAÇÃO </v>
          </cell>
          <cell r="H835">
            <v>0</v>
          </cell>
          <cell r="J835">
            <v>0</v>
          </cell>
        </row>
        <row r="836">
          <cell r="F836" t="str">
            <v>PREÇO UNITÁRIO  TOTAL</v>
          </cell>
          <cell r="J836">
            <v>65</v>
          </cell>
        </row>
        <row r="840">
          <cell r="A840" t="str">
            <v>1 A 01 170 01</v>
          </cell>
          <cell r="C840" t="str">
            <v>SERVIÇO:</v>
          </cell>
          <cell r="D840" t="str">
            <v>Areia extraída com trator e carregadeira</v>
          </cell>
          <cell r="F840" t="str">
            <v>PRODUÇÃO DA EQUIPE - (C):</v>
          </cell>
          <cell r="J840">
            <v>49</v>
          </cell>
          <cell r="K840" t="str">
            <v>M³</v>
          </cell>
          <cell r="M840">
            <v>5.56</v>
          </cell>
        </row>
        <row r="841">
          <cell r="F841" t="str">
            <v>UNITÁRIO</v>
          </cell>
          <cell r="H841" t="str">
            <v>C. OPERACIONAL</v>
          </cell>
        </row>
        <row r="842">
          <cell r="C842" t="str">
            <v>ÍTEM</v>
          </cell>
          <cell r="D842" t="str">
            <v>E Q U I P A M E N T O</v>
          </cell>
          <cell r="E842" t="str">
            <v>QUANT.</v>
          </cell>
          <cell r="F842" t="str">
            <v>PROD</v>
          </cell>
          <cell r="G842" t="str">
            <v>IMPROD</v>
          </cell>
          <cell r="H842" t="str">
            <v>PROD</v>
          </cell>
          <cell r="I842" t="str">
            <v>IMPROD</v>
          </cell>
          <cell r="J842" t="str">
            <v>CUSTO HORÁRIO</v>
          </cell>
        </row>
        <row r="843">
          <cell r="C843" t="str">
            <v>E016</v>
          </cell>
          <cell r="D843" t="str">
            <v>Carregadeira de Pneus : Case : W-20 -  1,70 m3</v>
          </cell>
          <cell r="E843">
            <v>1</v>
          </cell>
          <cell r="F843">
            <v>0.42</v>
          </cell>
          <cell r="G843">
            <v>0.57999999999999996</v>
          </cell>
          <cell r="H843">
            <v>112.51</v>
          </cell>
          <cell r="I843">
            <v>22.39</v>
          </cell>
          <cell r="J843">
            <v>60.24</v>
          </cell>
        </row>
        <row r="844">
          <cell r="C844" t="str">
            <v>E063</v>
          </cell>
          <cell r="D844" t="str">
            <v xml:space="preserve"> Escavadeira Hidráulica: Caterpillar : 320DL - c/ est. - cap 600l p/ longo alcance</v>
          </cell>
          <cell r="E844">
            <v>1</v>
          </cell>
          <cell r="F844">
            <v>1</v>
          </cell>
          <cell r="G844">
            <v>0</v>
          </cell>
          <cell r="H844">
            <v>152.68</v>
          </cell>
          <cell r="I844">
            <v>22.39</v>
          </cell>
          <cell r="J844">
            <v>152.68</v>
          </cell>
        </row>
        <row r="845">
          <cell r="D845" t="str">
            <v/>
          </cell>
          <cell r="H845" t="str">
            <v/>
          </cell>
          <cell r="I845" t="str">
            <v/>
          </cell>
          <cell r="J845" t="str">
            <v/>
          </cell>
        </row>
        <row r="846">
          <cell r="D846" t="str">
            <v/>
          </cell>
          <cell r="G846" t="str">
            <v/>
          </cell>
          <cell r="H846" t="str">
            <v/>
          </cell>
          <cell r="I846" t="str">
            <v/>
          </cell>
          <cell r="J846" t="str">
            <v/>
          </cell>
        </row>
        <row r="847">
          <cell r="D847" t="str">
            <v/>
          </cell>
          <cell r="G847" t="str">
            <v/>
          </cell>
          <cell r="H847" t="str">
            <v/>
          </cell>
          <cell r="I847" t="str">
            <v/>
          </cell>
          <cell r="J847" t="str">
            <v/>
          </cell>
        </row>
        <row r="848">
          <cell r="D848" t="str">
            <v/>
          </cell>
          <cell r="G848" t="str">
            <v/>
          </cell>
          <cell r="H848" t="str">
            <v/>
          </cell>
          <cell r="I848" t="str">
            <v/>
          </cell>
          <cell r="J848" t="str">
            <v/>
          </cell>
        </row>
        <row r="849">
          <cell r="D849" t="str">
            <v/>
          </cell>
          <cell r="G849" t="str">
            <v/>
          </cell>
          <cell r="H849" t="str">
            <v/>
          </cell>
          <cell r="I849" t="str">
            <v/>
          </cell>
          <cell r="J849" t="str">
            <v/>
          </cell>
        </row>
        <row r="850">
          <cell r="F850" t="str">
            <v>CUSTO HORÁRIO DO EQUIPAMENTO - (A)</v>
          </cell>
          <cell r="J850">
            <v>212.92</v>
          </cell>
        </row>
        <row r="851">
          <cell r="C851" t="str">
            <v>ÍTEM</v>
          </cell>
          <cell r="D851" t="str">
            <v>M Ã O    D E   O B R A</v>
          </cell>
          <cell r="E851" t="str">
            <v>QUANT.</v>
          </cell>
          <cell r="F851" t="str">
            <v>SALÁRIO HORA</v>
          </cell>
          <cell r="J851" t="str">
            <v>CUSTO HORÁRIO</v>
          </cell>
        </row>
        <row r="852">
          <cell r="C852" t="str">
            <v>T501</v>
          </cell>
          <cell r="D852" t="str">
            <v>Encarregado de turma</v>
          </cell>
          <cell r="E852">
            <v>1</v>
          </cell>
          <cell r="F852">
            <v>21.11</v>
          </cell>
          <cell r="G852" t="e">
            <v>#N/A</v>
          </cell>
          <cell r="H852" t="e">
            <v>#N/A</v>
          </cell>
          <cell r="I852" t="e">
            <v>#N/A</v>
          </cell>
          <cell r="J852">
            <v>21.11</v>
          </cell>
        </row>
        <row r="853">
          <cell r="C853" t="str">
            <v>T701</v>
          </cell>
          <cell r="D853" t="str">
            <v>Servente</v>
          </cell>
          <cell r="E853">
            <v>4</v>
          </cell>
          <cell r="F853">
            <v>6.99</v>
          </cell>
          <cell r="G853" t="e">
            <v>#N/A</v>
          </cell>
          <cell r="H853" t="e">
            <v>#N/A</v>
          </cell>
          <cell r="I853" t="e">
            <v>#N/A</v>
          </cell>
          <cell r="J853">
            <v>27.96</v>
          </cell>
        </row>
        <row r="854">
          <cell r="D854" t="str">
            <v/>
          </cell>
          <cell r="F854" t="str">
            <v/>
          </cell>
          <cell r="G854" t="str">
            <v/>
          </cell>
          <cell r="H854" t="str">
            <v/>
          </cell>
          <cell r="I854" t="str">
            <v/>
          </cell>
          <cell r="J854" t="str">
            <v/>
          </cell>
        </row>
        <row r="855">
          <cell r="D855" t="str">
            <v/>
          </cell>
          <cell r="F855" t="str">
            <v/>
          </cell>
          <cell r="G855" t="str">
            <v/>
          </cell>
          <cell r="H855" t="str">
            <v/>
          </cell>
          <cell r="I855" t="str">
            <v/>
          </cell>
          <cell r="J855" t="str">
            <v/>
          </cell>
        </row>
        <row r="856">
          <cell r="D856" t="str">
            <v/>
          </cell>
          <cell r="F856" t="str">
            <v/>
          </cell>
          <cell r="G856" t="str">
            <v/>
          </cell>
          <cell r="H856" t="str">
            <v/>
          </cell>
          <cell r="I856" t="str">
            <v/>
          </cell>
          <cell r="J856" t="str">
            <v/>
          </cell>
        </row>
        <row r="857">
          <cell r="F857" t="str">
            <v>CUSTO HORÁRIO DE MÃO DE OBRA - (B)</v>
          </cell>
          <cell r="J857">
            <v>49.07</v>
          </cell>
        </row>
        <row r="858">
          <cell r="F858" t="str">
            <v>FERRAMENTAS</v>
          </cell>
          <cell r="H858">
            <v>0.2051</v>
          </cell>
          <cell r="J858">
            <v>10.06</v>
          </cell>
        </row>
        <row r="859">
          <cell r="F859" t="str">
            <v>CUSTO HORÁRIO TOTAL - (A + B)</v>
          </cell>
          <cell r="J859">
            <v>272.05</v>
          </cell>
        </row>
        <row r="860">
          <cell r="F860" t="str">
            <v>CUSTO UNITÁRIO DE EXECUÇÃO - (D)</v>
          </cell>
          <cell r="J860">
            <v>5.55</v>
          </cell>
        </row>
        <row r="861">
          <cell r="C861" t="str">
            <v>ÍTEM</v>
          </cell>
          <cell r="D861" t="str">
            <v>M A T E R I A L</v>
          </cell>
          <cell r="E861" t="str">
            <v>UNID</v>
          </cell>
          <cell r="F861" t="str">
            <v>CONSUMO</v>
          </cell>
          <cell r="H861" t="str">
            <v xml:space="preserve"> PREÇO UNITÁRIO</v>
          </cell>
          <cell r="J861" t="str">
            <v>CUSTO UNITÁRIO</v>
          </cell>
        </row>
        <row r="862">
          <cell r="C862" t="str">
            <v>M980</v>
          </cell>
          <cell r="D862" t="str">
            <v>Indenização de jazida</v>
          </cell>
          <cell r="E862" t="str">
            <v>m3</v>
          </cell>
          <cell r="F862">
            <v>1</v>
          </cell>
          <cell r="H862">
            <v>0.01</v>
          </cell>
          <cell r="J862">
            <v>0.01</v>
          </cell>
        </row>
        <row r="863">
          <cell r="D863" t="str">
            <v/>
          </cell>
          <cell r="E863" t="str">
            <v/>
          </cell>
          <cell r="H863">
            <v>0</v>
          </cell>
          <cell r="J863" t="str">
            <v/>
          </cell>
        </row>
        <row r="864">
          <cell r="D864" t="str">
            <v/>
          </cell>
          <cell r="E864" t="str">
            <v/>
          </cell>
          <cell r="H864">
            <v>0</v>
          </cell>
          <cell r="J864" t="str">
            <v/>
          </cell>
        </row>
        <row r="865">
          <cell r="D865" t="str">
            <v/>
          </cell>
          <cell r="E865" t="str">
            <v/>
          </cell>
          <cell r="H865">
            <v>0</v>
          </cell>
          <cell r="J865" t="str">
            <v/>
          </cell>
        </row>
        <row r="866">
          <cell r="D866" t="str">
            <v/>
          </cell>
          <cell r="E866" t="str">
            <v/>
          </cell>
          <cell r="H866">
            <v>0</v>
          </cell>
          <cell r="J866" t="str">
            <v/>
          </cell>
        </row>
        <row r="867">
          <cell r="F867" t="str">
            <v>CUSTO TOTAL DE MATERIAL - (E)</v>
          </cell>
          <cell r="J867">
            <v>0.01</v>
          </cell>
        </row>
        <row r="868">
          <cell r="C868" t="str">
            <v>CODIGO</v>
          </cell>
          <cell r="D868" t="str">
            <v>ATIVIDADES AUXILIARES</v>
          </cell>
          <cell r="E868" t="str">
            <v>UNID</v>
          </cell>
          <cell r="F868" t="str">
            <v>QUANTIDADE</v>
          </cell>
          <cell r="H868" t="str">
            <v xml:space="preserve"> PREÇO UNITÁRIO</v>
          </cell>
          <cell r="J868" t="str">
            <v>CUSTO UNITÁRIO</v>
          </cell>
        </row>
        <row r="869">
          <cell r="D869" t="str">
            <v/>
          </cell>
          <cell r="E869" t="str">
            <v/>
          </cell>
          <cell r="H869" t="str">
            <v/>
          </cell>
          <cell r="J869" t="str">
            <v/>
          </cell>
        </row>
        <row r="870">
          <cell r="D870" t="str">
            <v/>
          </cell>
          <cell r="E870" t="str">
            <v/>
          </cell>
          <cell r="H870" t="str">
            <v/>
          </cell>
          <cell r="J870" t="str">
            <v/>
          </cell>
        </row>
        <row r="871">
          <cell r="D871" t="str">
            <v/>
          </cell>
          <cell r="E871" t="str">
            <v/>
          </cell>
          <cell r="H871" t="str">
            <v/>
          </cell>
          <cell r="J871" t="str">
            <v/>
          </cell>
        </row>
        <row r="872">
          <cell r="D872" t="str">
            <v/>
          </cell>
          <cell r="E872" t="str">
            <v/>
          </cell>
          <cell r="H872" t="str">
            <v/>
          </cell>
          <cell r="J872" t="str">
            <v/>
          </cell>
        </row>
        <row r="873">
          <cell r="D873" t="str">
            <v/>
          </cell>
          <cell r="E873" t="str">
            <v/>
          </cell>
          <cell r="H873" t="str">
            <v/>
          </cell>
          <cell r="J873" t="str">
            <v/>
          </cell>
        </row>
        <row r="874">
          <cell r="C874" t="str">
            <v>OBSERVAÇÕES:</v>
          </cell>
          <cell r="F874" t="str">
            <v>CUSTO ATIVIDADES AUXILIARES - (F)</v>
          </cell>
          <cell r="J874">
            <v>0</v>
          </cell>
        </row>
        <row r="875">
          <cell r="F875" t="str">
            <v>CUSTO UNITÁRIO DIRETO TOTAL</v>
          </cell>
          <cell r="J875">
            <v>5.56</v>
          </cell>
        </row>
        <row r="876">
          <cell r="F876" t="str">
            <v xml:space="preserve">BONIFICAÇÃO </v>
          </cell>
          <cell r="H876">
            <v>0</v>
          </cell>
          <cell r="J876">
            <v>0</v>
          </cell>
        </row>
        <row r="877">
          <cell r="F877" t="str">
            <v>PREÇO UNITÁRIO  TOTAL</v>
          </cell>
          <cell r="J877">
            <v>5.56</v>
          </cell>
        </row>
        <row r="881">
          <cell r="A881" t="str">
            <v>1 A 01 170 02</v>
          </cell>
          <cell r="C881" t="str">
            <v>SERVIÇO:</v>
          </cell>
          <cell r="D881" t="str">
            <v>Areia extraída com trator e carregadeira</v>
          </cell>
          <cell r="F881" t="str">
            <v>PRODUÇÃO DA EQUIPE - (C):</v>
          </cell>
          <cell r="J881">
            <v>50</v>
          </cell>
          <cell r="K881" t="str">
            <v>M³</v>
          </cell>
          <cell r="M881">
            <v>5.1100000000000003</v>
          </cell>
        </row>
        <row r="882">
          <cell r="F882" t="str">
            <v>UNITÁRIO</v>
          </cell>
          <cell r="H882" t="str">
            <v>C. OPERACIONAL</v>
          </cell>
        </row>
        <row r="883">
          <cell r="C883" t="str">
            <v>ÍTEM</v>
          </cell>
          <cell r="D883" t="str">
            <v>E Q U I P A M E N T O</v>
          </cell>
          <cell r="E883" t="str">
            <v>QUANT.</v>
          </cell>
          <cell r="F883" t="str">
            <v>PROD</v>
          </cell>
          <cell r="G883" t="str">
            <v>IMPROD</v>
          </cell>
          <cell r="H883" t="str">
            <v>PROD</v>
          </cell>
          <cell r="I883" t="str">
            <v>IMPROD</v>
          </cell>
          <cell r="J883" t="str">
            <v>CUSTO HORÁRIO</v>
          </cell>
        </row>
        <row r="884">
          <cell r="C884" t="str">
            <v>E001</v>
          </cell>
          <cell r="D884" t="str">
            <v>Trator de Esteiras : New Holland : 7D - com lâmina</v>
          </cell>
          <cell r="E884">
            <v>1</v>
          </cell>
          <cell r="F884">
            <v>0.9</v>
          </cell>
          <cell r="G884">
            <v>0.1</v>
          </cell>
          <cell r="H884">
            <v>110.01</v>
          </cell>
          <cell r="I884">
            <v>19.440000000000001</v>
          </cell>
          <cell r="J884">
            <v>100.95</v>
          </cell>
        </row>
        <row r="885">
          <cell r="C885" t="str">
            <v>E016</v>
          </cell>
          <cell r="D885" t="str">
            <v>Carregadeira de Pneus : Case : W-20 -  1,70 m3</v>
          </cell>
          <cell r="E885">
            <v>1</v>
          </cell>
          <cell r="F885">
            <v>0.9</v>
          </cell>
          <cell r="G885">
            <v>0.1</v>
          </cell>
          <cell r="H885">
            <v>112.51</v>
          </cell>
          <cell r="I885">
            <v>22.39</v>
          </cell>
          <cell r="J885">
            <v>103.49</v>
          </cell>
        </row>
        <row r="886">
          <cell r="D886" t="str">
            <v/>
          </cell>
          <cell r="H886" t="str">
            <v/>
          </cell>
          <cell r="I886" t="str">
            <v/>
          </cell>
          <cell r="J886" t="str">
            <v/>
          </cell>
        </row>
        <row r="887">
          <cell r="D887" t="str">
            <v/>
          </cell>
          <cell r="G887" t="str">
            <v/>
          </cell>
          <cell r="H887" t="str">
            <v/>
          </cell>
          <cell r="I887" t="str">
            <v/>
          </cell>
          <cell r="J887" t="str">
            <v/>
          </cell>
        </row>
        <row r="888">
          <cell r="D888" t="str">
            <v/>
          </cell>
          <cell r="G888" t="str">
            <v/>
          </cell>
          <cell r="H888" t="str">
            <v/>
          </cell>
          <cell r="I888" t="str">
            <v/>
          </cell>
          <cell r="J888" t="str">
            <v/>
          </cell>
        </row>
        <row r="889">
          <cell r="D889" t="str">
            <v/>
          </cell>
          <cell r="G889" t="str">
            <v/>
          </cell>
          <cell r="H889" t="str">
            <v/>
          </cell>
          <cell r="I889" t="str">
            <v/>
          </cell>
          <cell r="J889" t="str">
            <v/>
          </cell>
        </row>
        <row r="890">
          <cell r="D890" t="str">
            <v/>
          </cell>
          <cell r="G890" t="str">
            <v/>
          </cell>
          <cell r="H890" t="str">
            <v/>
          </cell>
          <cell r="I890" t="str">
            <v/>
          </cell>
          <cell r="J890" t="str">
            <v/>
          </cell>
        </row>
        <row r="891">
          <cell r="F891" t="str">
            <v>CUSTO HORÁRIO DO EQUIPAMENTO - (A)</v>
          </cell>
          <cell r="J891">
            <v>204.44</v>
          </cell>
        </row>
        <row r="892">
          <cell r="C892" t="str">
            <v>ÍTEM</v>
          </cell>
          <cell r="D892" t="str">
            <v>M Ã O    D E   O B R A</v>
          </cell>
          <cell r="E892" t="str">
            <v>QUANT.</v>
          </cell>
          <cell r="F892" t="str">
            <v>SALÁRIO HORA</v>
          </cell>
          <cell r="J892" t="str">
            <v>CUSTO HORÁRIO</v>
          </cell>
        </row>
        <row r="893">
          <cell r="C893" t="str">
            <v>T501</v>
          </cell>
          <cell r="D893" t="str">
            <v>Encarregado de turma</v>
          </cell>
          <cell r="E893">
            <v>1</v>
          </cell>
          <cell r="F893">
            <v>21.11</v>
          </cell>
          <cell r="G893" t="e">
            <v>#N/A</v>
          </cell>
          <cell r="H893" t="e">
            <v>#N/A</v>
          </cell>
          <cell r="I893" t="e">
            <v>#N/A</v>
          </cell>
          <cell r="J893">
            <v>21.11</v>
          </cell>
        </row>
        <row r="894">
          <cell r="C894" t="str">
            <v>T701</v>
          </cell>
          <cell r="D894" t="str">
            <v>Servente</v>
          </cell>
          <cell r="E894">
            <v>3</v>
          </cell>
          <cell r="F894">
            <v>6.99</v>
          </cell>
          <cell r="G894" t="e">
            <v>#N/A</v>
          </cell>
          <cell r="H894" t="e">
            <v>#N/A</v>
          </cell>
          <cell r="I894" t="e">
            <v>#N/A</v>
          </cell>
          <cell r="J894">
            <v>20.97</v>
          </cell>
        </row>
        <row r="895">
          <cell r="D895" t="str">
            <v/>
          </cell>
          <cell r="F895" t="str">
            <v/>
          </cell>
          <cell r="G895" t="str">
            <v/>
          </cell>
          <cell r="H895" t="str">
            <v/>
          </cell>
          <cell r="I895" t="str">
            <v/>
          </cell>
          <cell r="J895" t="str">
            <v/>
          </cell>
        </row>
        <row r="896">
          <cell r="D896" t="str">
            <v/>
          </cell>
          <cell r="F896" t="str">
            <v/>
          </cell>
          <cell r="G896" t="str">
            <v/>
          </cell>
          <cell r="H896" t="str">
            <v/>
          </cell>
          <cell r="I896" t="str">
            <v/>
          </cell>
          <cell r="J896" t="str">
            <v/>
          </cell>
        </row>
        <row r="897">
          <cell r="D897" t="str">
            <v/>
          </cell>
          <cell r="F897" t="str">
            <v/>
          </cell>
          <cell r="G897" t="str">
            <v/>
          </cell>
          <cell r="H897" t="str">
            <v/>
          </cell>
          <cell r="I897" t="str">
            <v/>
          </cell>
          <cell r="J897" t="str">
            <v/>
          </cell>
        </row>
        <row r="898">
          <cell r="F898" t="str">
            <v>CUSTO HORÁRIO DE MÃO DE OBRA - (B)</v>
          </cell>
          <cell r="J898">
            <v>42.08</v>
          </cell>
        </row>
        <row r="899">
          <cell r="F899" t="str">
            <v>FERRAMENTAS</v>
          </cell>
          <cell r="H899">
            <v>0.2051</v>
          </cell>
          <cell r="J899">
            <v>8.6300000000000008</v>
          </cell>
        </row>
        <row r="900">
          <cell r="F900" t="str">
            <v>CUSTO HORÁRIO TOTAL - (A + B)</v>
          </cell>
          <cell r="J900">
            <v>255.15</v>
          </cell>
        </row>
        <row r="901">
          <cell r="F901" t="str">
            <v>CUSTO UNITÁRIO DE EXECUÇÃO - (D)</v>
          </cell>
          <cell r="J901">
            <v>5.0999999999999996</v>
          </cell>
        </row>
        <row r="902">
          <cell r="C902" t="str">
            <v>ÍTEM</v>
          </cell>
          <cell r="D902" t="str">
            <v>M A T E R I A L</v>
          </cell>
          <cell r="E902" t="str">
            <v>UNID</v>
          </cell>
          <cell r="F902" t="str">
            <v>CONSUMO</v>
          </cell>
          <cell r="H902" t="str">
            <v xml:space="preserve"> PREÇO UNITÁRIO</v>
          </cell>
          <cell r="J902" t="str">
            <v>CUSTO UNITÁRIO</v>
          </cell>
        </row>
        <row r="903">
          <cell r="C903" t="str">
            <v>M980</v>
          </cell>
          <cell r="D903" t="str">
            <v>Indenização de jazida</v>
          </cell>
          <cell r="E903" t="str">
            <v>m3</v>
          </cell>
          <cell r="F903">
            <v>1</v>
          </cell>
          <cell r="H903">
            <v>0.01</v>
          </cell>
          <cell r="J903">
            <v>0.01</v>
          </cell>
        </row>
        <row r="904">
          <cell r="D904" t="str">
            <v/>
          </cell>
          <cell r="E904" t="str">
            <v/>
          </cell>
          <cell r="H904">
            <v>0</v>
          </cell>
          <cell r="J904" t="str">
            <v/>
          </cell>
        </row>
        <row r="905">
          <cell r="D905" t="str">
            <v/>
          </cell>
          <cell r="E905" t="str">
            <v/>
          </cell>
          <cell r="H905">
            <v>0</v>
          </cell>
          <cell r="J905" t="str">
            <v/>
          </cell>
        </row>
        <row r="906">
          <cell r="D906" t="str">
            <v/>
          </cell>
          <cell r="E906" t="str">
            <v/>
          </cell>
          <cell r="H906">
            <v>0</v>
          </cell>
          <cell r="J906" t="str">
            <v/>
          </cell>
        </row>
        <row r="907">
          <cell r="D907" t="str">
            <v/>
          </cell>
          <cell r="E907" t="str">
            <v/>
          </cell>
          <cell r="H907">
            <v>0</v>
          </cell>
          <cell r="J907" t="str">
            <v/>
          </cell>
        </row>
        <row r="908">
          <cell r="F908" t="str">
            <v>CUSTO TOTAL DE MATERIAL - (E)</v>
          </cell>
          <cell r="J908">
            <v>0.01</v>
          </cell>
        </row>
        <row r="909">
          <cell r="C909" t="str">
            <v>CODIGO</v>
          </cell>
          <cell r="D909" t="str">
            <v>ATIVIDADES AUXILIARES</v>
          </cell>
          <cell r="E909" t="str">
            <v>UNID</v>
          </cell>
          <cell r="F909" t="str">
            <v>QUANTIDADE</v>
          </cell>
          <cell r="H909" t="str">
            <v xml:space="preserve"> PREÇO UNITÁRIO</v>
          </cell>
          <cell r="J909" t="str">
            <v>CUSTO UNITÁRIO</v>
          </cell>
        </row>
        <row r="910">
          <cell r="D910" t="str">
            <v/>
          </cell>
          <cell r="E910" t="str">
            <v/>
          </cell>
          <cell r="H910" t="str">
            <v/>
          </cell>
          <cell r="J910" t="str">
            <v/>
          </cell>
        </row>
        <row r="911">
          <cell r="D911" t="str">
            <v/>
          </cell>
          <cell r="E911" t="str">
            <v/>
          </cell>
          <cell r="H911" t="str">
            <v/>
          </cell>
          <cell r="J911" t="str">
            <v/>
          </cell>
        </row>
        <row r="912">
          <cell r="D912" t="str">
            <v/>
          </cell>
          <cell r="E912" t="str">
            <v/>
          </cell>
          <cell r="H912" t="str">
            <v/>
          </cell>
          <cell r="J912" t="str">
            <v/>
          </cell>
        </row>
        <row r="913">
          <cell r="D913" t="str">
            <v/>
          </cell>
          <cell r="E913" t="str">
            <v/>
          </cell>
          <cell r="H913" t="str">
            <v/>
          </cell>
          <cell r="J913" t="str">
            <v/>
          </cell>
        </row>
        <row r="914">
          <cell r="D914" t="str">
            <v/>
          </cell>
          <cell r="E914" t="str">
            <v/>
          </cell>
          <cell r="H914" t="str">
            <v/>
          </cell>
          <cell r="J914" t="str">
            <v/>
          </cell>
        </row>
        <row r="915">
          <cell r="C915" t="str">
            <v>OBSERVAÇÕES:</v>
          </cell>
          <cell r="F915" t="str">
            <v>CUSTO ATIVIDADES AUXILIARES - (F)</v>
          </cell>
          <cell r="J915">
            <v>0</v>
          </cell>
        </row>
        <row r="916">
          <cell r="F916" t="str">
            <v>CUSTO UNITÁRIO DIRETO TOTAL</v>
          </cell>
          <cell r="J916">
            <v>5.1100000000000003</v>
          </cell>
        </row>
        <row r="917">
          <cell r="F917" t="str">
            <v xml:space="preserve">BONIFICAÇÃO </v>
          </cell>
          <cell r="H917">
            <v>0</v>
          </cell>
          <cell r="J917">
            <v>0</v>
          </cell>
        </row>
        <row r="918">
          <cell r="F918" t="str">
            <v>PREÇO UNITÁRIO  TOTAL</v>
          </cell>
          <cell r="J918">
            <v>5.1100000000000003</v>
          </cell>
        </row>
        <row r="922">
          <cell r="A922" t="str">
            <v>1 A 01 200 01</v>
          </cell>
          <cell r="C922" t="str">
            <v>SERVIÇO:</v>
          </cell>
          <cell r="D922" t="str">
            <v>Brita produzida em central de britagem de 80 m3/h</v>
          </cell>
          <cell r="F922" t="str">
            <v>PRODUÇÃO DA EQUIPE - (C):</v>
          </cell>
          <cell r="J922">
            <v>52</v>
          </cell>
          <cell r="K922" t="str">
            <v>m³</v>
          </cell>
          <cell r="M922">
            <v>28.54</v>
          </cell>
        </row>
        <row r="923">
          <cell r="F923" t="str">
            <v>UNITÁRIO</v>
          </cell>
          <cell r="H923" t="str">
            <v>C. OPERACIONAL</v>
          </cell>
        </row>
        <row r="924">
          <cell r="C924" t="str">
            <v>ÍTEM</v>
          </cell>
          <cell r="D924" t="str">
            <v>E Q U I P A M E N T O</v>
          </cell>
          <cell r="E924" t="str">
            <v>QUANT.</v>
          </cell>
          <cell r="F924" t="str">
            <v>PROD</v>
          </cell>
          <cell r="G924" t="str">
            <v>IMPROD</v>
          </cell>
          <cell r="H924" t="str">
            <v>PROD</v>
          </cell>
          <cell r="I924" t="str">
            <v>IMPROD</v>
          </cell>
          <cell r="J924" t="str">
            <v>CUSTO HORÁRIO</v>
          </cell>
        </row>
        <row r="925">
          <cell r="C925" t="str">
            <v>E010</v>
          </cell>
          <cell r="D925" t="str">
            <v>Carregadeira de Pneus : Caterpillar : 950H -  3,3 m3</v>
          </cell>
          <cell r="E925">
            <v>1</v>
          </cell>
          <cell r="F925">
            <v>0.24</v>
          </cell>
          <cell r="G925">
            <v>0.76</v>
          </cell>
          <cell r="H925">
            <v>180.79</v>
          </cell>
          <cell r="I925">
            <v>22.39</v>
          </cell>
          <cell r="J925">
            <v>60.4</v>
          </cell>
        </row>
        <row r="926">
          <cell r="C926" t="str">
            <v>E225</v>
          </cell>
          <cell r="D926" t="str">
            <v>Conjunto de Britagem: FAÇO - 80 m3/h</v>
          </cell>
          <cell r="E926">
            <v>1</v>
          </cell>
          <cell r="F926">
            <v>1</v>
          </cell>
          <cell r="G926">
            <v>0</v>
          </cell>
          <cell r="H926">
            <v>484.34</v>
          </cell>
          <cell r="I926">
            <v>22.39</v>
          </cell>
          <cell r="J926">
            <v>484.34</v>
          </cell>
        </row>
        <row r="927">
          <cell r="C927" t="str">
            <v>E504</v>
          </cell>
          <cell r="D927" t="str">
            <v xml:space="preserve">Grupo Gerador : Heimer : GEHMB-360 - 288 KVA </v>
          </cell>
          <cell r="E927">
            <v>1</v>
          </cell>
          <cell r="F927">
            <v>1</v>
          </cell>
          <cell r="G927">
            <v>0</v>
          </cell>
          <cell r="H927">
            <v>124.91</v>
          </cell>
          <cell r="I927">
            <v>17.27</v>
          </cell>
          <cell r="J927">
            <v>124.91</v>
          </cell>
        </row>
        <row r="928">
          <cell r="D928" t="str">
            <v/>
          </cell>
          <cell r="G928" t="str">
            <v/>
          </cell>
          <cell r="H928" t="str">
            <v/>
          </cell>
          <cell r="I928" t="str">
            <v/>
          </cell>
          <cell r="J928" t="str">
            <v/>
          </cell>
        </row>
        <row r="929">
          <cell r="D929" t="str">
            <v/>
          </cell>
          <cell r="G929" t="str">
            <v/>
          </cell>
          <cell r="H929" t="str">
            <v/>
          </cell>
          <cell r="I929" t="str">
            <v/>
          </cell>
          <cell r="J929" t="str">
            <v/>
          </cell>
        </row>
        <row r="930">
          <cell r="F930" t="str">
            <v>CUSTO HORÁRIO DO EQUIPAMENTO - (A)</v>
          </cell>
          <cell r="J930">
            <v>669.65</v>
          </cell>
        </row>
        <row r="931">
          <cell r="C931" t="str">
            <v>ÍTEM</v>
          </cell>
          <cell r="D931" t="str">
            <v>M Ã O    D E   O B R A</v>
          </cell>
          <cell r="E931" t="str">
            <v>QUANT.</v>
          </cell>
          <cell r="F931" t="str">
            <v>SALÁRIO HORA</v>
          </cell>
          <cell r="J931" t="str">
            <v>CUSTO HORÁRIO</v>
          </cell>
        </row>
        <row r="932">
          <cell r="C932" t="str">
            <v>T512</v>
          </cell>
          <cell r="D932" t="str">
            <v>Encarregado de britagem</v>
          </cell>
          <cell r="E932">
            <v>1</v>
          </cell>
          <cell r="F932">
            <v>44.78</v>
          </cell>
          <cell r="G932" t="e">
            <v>#N/A</v>
          </cell>
          <cell r="H932" t="e">
            <v>#N/A</v>
          </cell>
          <cell r="I932" t="e">
            <v>#N/A</v>
          </cell>
          <cell r="J932">
            <v>44.78</v>
          </cell>
        </row>
        <row r="933">
          <cell r="C933" t="str">
            <v>T701</v>
          </cell>
          <cell r="D933" t="str">
            <v>Servente</v>
          </cell>
          <cell r="E933">
            <v>8</v>
          </cell>
          <cell r="F933">
            <v>6.99</v>
          </cell>
          <cell r="G933" t="e">
            <v>#N/A</v>
          </cell>
          <cell r="H933" t="e">
            <v>#N/A</v>
          </cell>
          <cell r="I933" t="e">
            <v>#N/A</v>
          </cell>
          <cell r="J933">
            <v>55.92</v>
          </cell>
        </row>
        <row r="934">
          <cell r="D934" t="str">
            <v/>
          </cell>
          <cell r="F934" t="str">
            <v/>
          </cell>
          <cell r="G934" t="str">
            <v/>
          </cell>
          <cell r="H934" t="str">
            <v/>
          </cell>
          <cell r="I934" t="str">
            <v/>
          </cell>
          <cell r="J934" t="str">
            <v/>
          </cell>
        </row>
        <row r="935">
          <cell r="D935" t="str">
            <v/>
          </cell>
          <cell r="F935" t="str">
            <v/>
          </cell>
          <cell r="G935" t="str">
            <v/>
          </cell>
          <cell r="H935" t="str">
            <v/>
          </cell>
          <cell r="I935" t="str">
            <v/>
          </cell>
          <cell r="J935" t="str">
            <v/>
          </cell>
        </row>
        <row r="936">
          <cell r="D936" t="str">
            <v/>
          </cell>
          <cell r="F936" t="str">
            <v/>
          </cell>
          <cell r="G936" t="str">
            <v/>
          </cell>
          <cell r="H936" t="str">
            <v/>
          </cell>
          <cell r="I936" t="str">
            <v/>
          </cell>
          <cell r="J936" t="str">
            <v/>
          </cell>
        </row>
        <row r="937">
          <cell r="F937" t="str">
            <v>CUSTO HORÁRIO DE MÃO DE OBRA - (B)</v>
          </cell>
          <cell r="J937">
            <v>100.7</v>
          </cell>
        </row>
        <row r="938">
          <cell r="F938" t="str">
            <v>FERRAMENTAS</v>
          </cell>
          <cell r="H938">
            <v>0.05</v>
          </cell>
          <cell r="J938">
            <v>5.03</v>
          </cell>
        </row>
        <row r="939">
          <cell r="F939" t="str">
            <v>CUSTO HORÁRIO TOTAL - (A + B)</v>
          </cell>
          <cell r="J939">
            <v>775.38</v>
          </cell>
        </row>
        <row r="940">
          <cell r="F940" t="str">
            <v>CUSTO UNITÁRIO DE EXECUÇÃO - (D)</v>
          </cell>
          <cell r="J940">
            <v>14.91</v>
          </cell>
        </row>
        <row r="941">
          <cell r="C941" t="str">
            <v>ÍTEM</v>
          </cell>
          <cell r="D941" t="str">
            <v>M A T E R I A L</v>
          </cell>
          <cell r="E941" t="str">
            <v>UNID</v>
          </cell>
          <cell r="F941" t="str">
            <v>CONSUMO</v>
          </cell>
          <cell r="H941" t="str">
            <v xml:space="preserve"> PREÇO UNITÁRIO</v>
          </cell>
          <cell r="J941" t="str">
            <v>CUSTO UNITÁRIO</v>
          </cell>
        </row>
        <row r="942">
          <cell r="D942" t="str">
            <v/>
          </cell>
          <cell r="E942" t="str">
            <v/>
          </cell>
          <cell r="F942">
            <v>350</v>
          </cell>
          <cell r="H942" t="str">
            <v/>
          </cell>
          <cell r="I942" t="str">
            <v/>
          </cell>
          <cell r="J942" t="str">
            <v/>
          </cell>
        </row>
        <row r="943">
          <cell r="D943" t="str">
            <v/>
          </cell>
          <cell r="E943" t="str">
            <v/>
          </cell>
          <cell r="H943" t="str">
            <v/>
          </cell>
          <cell r="I943" t="str">
            <v/>
          </cell>
          <cell r="J943" t="str">
            <v/>
          </cell>
        </row>
        <row r="944">
          <cell r="D944" t="str">
            <v/>
          </cell>
          <cell r="E944" t="str">
            <v/>
          </cell>
          <cell r="H944" t="str">
            <v/>
          </cell>
          <cell r="I944" t="str">
            <v/>
          </cell>
          <cell r="J944" t="str">
            <v/>
          </cell>
        </row>
        <row r="945">
          <cell r="D945" t="str">
            <v/>
          </cell>
          <cell r="E945" t="str">
            <v/>
          </cell>
          <cell r="H945" t="str">
            <v/>
          </cell>
          <cell r="I945" t="str">
            <v/>
          </cell>
          <cell r="J945" t="str">
            <v/>
          </cell>
        </row>
        <row r="946">
          <cell r="D946" t="str">
            <v/>
          </cell>
          <cell r="E946" t="str">
            <v/>
          </cell>
          <cell r="H946" t="str">
            <v/>
          </cell>
          <cell r="I946" t="str">
            <v/>
          </cell>
          <cell r="J946" t="str">
            <v/>
          </cell>
        </row>
        <row r="947">
          <cell r="F947" t="str">
            <v>CUSTO TOTAL DE MATERIAL - (E)</v>
          </cell>
          <cell r="J947">
            <v>0</v>
          </cell>
        </row>
        <row r="948">
          <cell r="C948" t="str">
            <v>CODIGO</v>
          </cell>
          <cell r="D948" t="str">
            <v>ATIVIDADES AUXILIARES</v>
          </cell>
          <cell r="E948" t="str">
            <v>UNID</v>
          </cell>
          <cell r="F948" t="str">
            <v>QUANTIDADE</v>
          </cell>
          <cell r="H948" t="str">
            <v xml:space="preserve"> PREÇO UNITÁRIO</v>
          </cell>
          <cell r="J948" t="str">
            <v>CUSTO UNITÁRIO</v>
          </cell>
        </row>
        <row r="949">
          <cell r="C949" t="str">
            <v>1 A 00 963 00</v>
          </cell>
          <cell r="D949" t="str">
            <v>Peças de Desgaste do Britador 80m3/h</v>
          </cell>
          <cell r="E949" t="str">
            <v>cjh</v>
          </cell>
          <cell r="F949">
            <v>1.52E-2</v>
          </cell>
          <cell r="H949">
            <v>148.97</v>
          </cell>
          <cell r="J949">
            <v>2.2599999999999998</v>
          </cell>
        </row>
        <row r="950">
          <cell r="C950" t="str">
            <v>1 A 01 150 01</v>
          </cell>
          <cell r="D950" t="str">
            <v>Rocha para britagem com perfuratriz sobre esteira</v>
          </cell>
          <cell r="E950" t="str">
            <v>M³</v>
          </cell>
          <cell r="F950">
            <v>0.56999999999999995</v>
          </cell>
          <cell r="H950">
            <v>19.95</v>
          </cell>
          <cell r="J950">
            <v>11.37</v>
          </cell>
        </row>
        <row r="951">
          <cell r="D951" t="str">
            <v/>
          </cell>
          <cell r="E951" t="str">
            <v/>
          </cell>
          <cell r="H951" t="str">
            <v/>
          </cell>
          <cell r="J951" t="str">
            <v/>
          </cell>
        </row>
        <row r="952">
          <cell r="D952" t="str">
            <v/>
          </cell>
          <cell r="E952" t="str">
            <v/>
          </cell>
          <cell r="H952" t="str">
            <v/>
          </cell>
          <cell r="J952" t="str">
            <v/>
          </cell>
        </row>
        <row r="953">
          <cell r="D953" t="str">
            <v/>
          </cell>
          <cell r="E953" t="str">
            <v/>
          </cell>
          <cell r="H953" t="str">
            <v/>
          </cell>
          <cell r="J953" t="str">
            <v/>
          </cell>
        </row>
        <row r="954">
          <cell r="C954" t="str">
            <v>OBSERVAÇÕES:</v>
          </cell>
          <cell r="F954" t="str">
            <v>CUSTO ATIVIDADES AUXILIARES - (F)</v>
          </cell>
          <cell r="J954">
            <v>13.63</v>
          </cell>
        </row>
        <row r="955">
          <cell r="F955" t="str">
            <v>CUSTO UNITÁRIO DIRETO TOTAL</v>
          </cell>
          <cell r="J955">
            <v>28.54</v>
          </cell>
        </row>
        <row r="956">
          <cell r="F956" t="str">
            <v xml:space="preserve">BONIFICAÇÃO </v>
          </cell>
          <cell r="H956">
            <v>0</v>
          </cell>
          <cell r="J956">
            <v>0</v>
          </cell>
        </row>
        <row r="957">
          <cell r="F957" t="str">
            <v>PREÇO UNITÁRIO  TOTAL</v>
          </cell>
          <cell r="J957">
            <v>28.54</v>
          </cell>
        </row>
        <row r="961">
          <cell r="A961" t="str">
            <v>1 A 01 200 02</v>
          </cell>
          <cell r="C961" t="str">
            <v>SERVIÇO:</v>
          </cell>
          <cell r="D961" t="str">
            <v>Brita produzida em central de britagem de 30 m3/h</v>
          </cell>
          <cell r="F961" t="str">
            <v>PRODUÇÃO DA EQUIPE - (C):</v>
          </cell>
          <cell r="J961">
            <v>25</v>
          </cell>
          <cell r="K961" t="str">
            <v>M³</v>
          </cell>
          <cell r="M961">
            <v>43.01</v>
          </cell>
        </row>
        <row r="962">
          <cell r="F962" t="str">
            <v>UNITÁRIO</v>
          </cell>
          <cell r="H962" t="str">
            <v>C. OPERACIONAL</v>
          </cell>
        </row>
        <row r="963">
          <cell r="C963" t="str">
            <v>ÍTEM</v>
          </cell>
          <cell r="D963" t="str">
            <v>E Q U I P A M E N T O</v>
          </cell>
          <cell r="E963" t="str">
            <v>QUANT.</v>
          </cell>
          <cell r="F963" t="str">
            <v>PROD</v>
          </cell>
          <cell r="G963" t="str">
            <v>IMPROD</v>
          </cell>
          <cell r="H963" t="str">
            <v>PROD</v>
          </cell>
          <cell r="I963" t="str">
            <v>IMPROD</v>
          </cell>
          <cell r="J963" t="str">
            <v>CUSTO HORÁRIO</v>
          </cell>
        </row>
        <row r="964">
          <cell r="C964" t="str">
            <v>E016</v>
          </cell>
          <cell r="D964" t="str">
            <v>Carregadeira de Pneus : Case : W-20 -  1,70 m3</v>
          </cell>
          <cell r="E964">
            <v>1</v>
          </cell>
          <cell r="F964">
            <v>0.21</v>
          </cell>
          <cell r="G964">
            <v>0.79</v>
          </cell>
          <cell r="H964">
            <v>112.51</v>
          </cell>
          <cell r="I964">
            <v>22.39</v>
          </cell>
          <cell r="J964">
            <v>41.31</v>
          </cell>
        </row>
        <row r="965">
          <cell r="C965" t="str">
            <v>E206</v>
          </cell>
          <cell r="D965" t="str">
            <v>Conjunto de Britagem : FAÇO : L-150A - 30 m3/h</v>
          </cell>
          <cell r="E965">
            <v>1</v>
          </cell>
          <cell r="F965">
            <v>1</v>
          </cell>
          <cell r="G965">
            <v>0</v>
          </cell>
          <cell r="H965">
            <v>375.25</v>
          </cell>
          <cell r="I965">
            <v>22.39</v>
          </cell>
          <cell r="J965">
            <v>375.25</v>
          </cell>
        </row>
        <row r="966">
          <cell r="C966" t="str">
            <v>E502</v>
          </cell>
          <cell r="D966" t="str">
            <v>Grupo Gerador : Heimer : GEHM-150 - 136 / 150 KVA</v>
          </cell>
          <cell r="E966">
            <v>1</v>
          </cell>
          <cell r="F966">
            <v>1</v>
          </cell>
          <cell r="G966">
            <v>0</v>
          </cell>
          <cell r="H966">
            <v>74.709999999999994</v>
          </cell>
          <cell r="I966">
            <v>17.27</v>
          </cell>
          <cell r="J966">
            <v>74.709999999999994</v>
          </cell>
        </row>
        <row r="967">
          <cell r="D967" t="str">
            <v/>
          </cell>
          <cell r="G967" t="str">
            <v/>
          </cell>
          <cell r="H967" t="str">
            <v/>
          </cell>
          <cell r="I967" t="str">
            <v/>
          </cell>
          <cell r="J967" t="str">
            <v/>
          </cell>
        </row>
        <row r="968">
          <cell r="D968" t="str">
            <v/>
          </cell>
          <cell r="G968" t="str">
            <v/>
          </cell>
          <cell r="H968" t="str">
            <v/>
          </cell>
          <cell r="I968" t="str">
            <v/>
          </cell>
          <cell r="J968" t="str">
            <v/>
          </cell>
        </row>
        <row r="969">
          <cell r="D969" t="str">
            <v/>
          </cell>
          <cell r="G969" t="str">
            <v/>
          </cell>
          <cell r="H969" t="str">
            <v/>
          </cell>
          <cell r="I969" t="str">
            <v/>
          </cell>
          <cell r="J969" t="str">
            <v/>
          </cell>
        </row>
        <row r="970">
          <cell r="D970" t="str">
            <v/>
          </cell>
          <cell r="G970" t="str">
            <v/>
          </cell>
          <cell r="H970" t="str">
            <v/>
          </cell>
          <cell r="I970" t="str">
            <v/>
          </cell>
          <cell r="J970" t="str">
            <v/>
          </cell>
        </row>
        <row r="971">
          <cell r="F971" t="str">
            <v>CUSTO HORÁRIO DO EQUIPAMENTO - (A)</v>
          </cell>
          <cell r="J971">
            <v>491.27</v>
          </cell>
        </row>
        <row r="972">
          <cell r="C972" t="str">
            <v>ÍTEM</v>
          </cell>
          <cell r="D972" t="str">
            <v>M Ã O    D E   O B R A</v>
          </cell>
          <cell r="E972" t="str">
            <v>QUANT.</v>
          </cell>
          <cell r="F972" t="str">
            <v>SALÁRIO HORA</v>
          </cell>
          <cell r="J972" t="str">
            <v>CUSTO HORÁRIO</v>
          </cell>
        </row>
        <row r="973">
          <cell r="C973" t="str">
            <v>T501</v>
          </cell>
          <cell r="D973" t="str">
            <v>Encarregado de turma</v>
          </cell>
          <cell r="E973">
            <v>1</v>
          </cell>
          <cell r="F973">
            <v>21.11</v>
          </cell>
          <cell r="G973" t="e">
            <v>#N/A</v>
          </cell>
          <cell r="H973" t="e">
            <v>#N/A</v>
          </cell>
          <cell r="I973" t="e">
            <v>#N/A</v>
          </cell>
          <cell r="J973">
            <v>21.11</v>
          </cell>
        </row>
        <row r="974">
          <cell r="C974" t="str">
            <v>T701</v>
          </cell>
          <cell r="D974" t="str">
            <v>Servente</v>
          </cell>
          <cell r="E974">
            <v>8</v>
          </cell>
          <cell r="F974">
            <v>6.99</v>
          </cell>
          <cell r="G974" t="e">
            <v>#N/A</v>
          </cell>
          <cell r="H974" t="e">
            <v>#N/A</v>
          </cell>
          <cell r="I974" t="e">
            <v>#N/A</v>
          </cell>
          <cell r="J974">
            <v>55.92</v>
          </cell>
        </row>
        <row r="975">
          <cell r="D975" t="str">
            <v/>
          </cell>
          <cell r="F975" t="str">
            <v/>
          </cell>
          <cell r="G975" t="str">
            <v/>
          </cell>
          <cell r="H975" t="str">
            <v/>
          </cell>
          <cell r="I975" t="str">
            <v/>
          </cell>
          <cell r="J975" t="str">
            <v/>
          </cell>
        </row>
        <row r="976">
          <cell r="D976" t="str">
            <v/>
          </cell>
          <cell r="F976" t="str">
            <v/>
          </cell>
          <cell r="G976" t="str">
            <v/>
          </cell>
          <cell r="H976" t="str">
            <v/>
          </cell>
          <cell r="I976" t="str">
            <v/>
          </cell>
          <cell r="J976" t="str">
            <v/>
          </cell>
        </row>
        <row r="977">
          <cell r="D977" t="str">
            <v/>
          </cell>
          <cell r="F977" t="str">
            <v/>
          </cell>
          <cell r="G977" t="str">
            <v/>
          </cell>
          <cell r="H977" t="str">
            <v/>
          </cell>
          <cell r="I977" t="str">
            <v/>
          </cell>
          <cell r="J977" t="str">
            <v/>
          </cell>
        </row>
        <row r="978">
          <cell r="F978" t="str">
            <v>CUSTO HORÁRIO DE MÃO DE OBRA - (B)</v>
          </cell>
          <cell r="J978">
            <v>77.03</v>
          </cell>
        </row>
        <row r="979">
          <cell r="F979" t="str">
            <v>FERRAMENTAS</v>
          </cell>
          <cell r="H979">
            <v>0.2051</v>
          </cell>
          <cell r="J979">
            <v>15.79</v>
          </cell>
        </row>
        <row r="980">
          <cell r="F980" t="str">
            <v>CUSTO HORÁRIO TOTAL - (A + B)</v>
          </cell>
          <cell r="J980">
            <v>584.09</v>
          </cell>
        </row>
        <row r="981">
          <cell r="F981" t="str">
            <v>CUSTO UNITÁRIO DE EXECUÇÃO - (D)</v>
          </cell>
          <cell r="J981">
            <v>23.36</v>
          </cell>
        </row>
        <row r="982">
          <cell r="C982" t="str">
            <v>ÍTEM</v>
          </cell>
          <cell r="D982" t="str">
            <v>M A T E R I A L</v>
          </cell>
          <cell r="E982" t="str">
            <v>UNID</v>
          </cell>
          <cell r="F982" t="str">
            <v>CONSUMO</v>
          </cell>
          <cell r="H982" t="str">
            <v xml:space="preserve"> PREÇO UNITÁRIO</v>
          </cell>
          <cell r="J982" t="str">
            <v>CUSTO UNITÁRIO</v>
          </cell>
        </row>
        <row r="983">
          <cell r="C983" t="str">
            <v>M980</v>
          </cell>
          <cell r="D983" t="str">
            <v>Indenização de jazida</v>
          </cell>
          <cell r="E983" t="str">
            <v>m3</v>
          </cell>
          <cell r="F983">
            <v>1</v>
          </cell>
          <cell r="H983">
            <v>0.01</v>
          </cell>
          <cell r="J983">
            <v>0.01</v>
          </cell>
        </row>
        <row r="984">
          <cell r="D984" t="str">
            <v/>
          </cell>
          <cell r="E984" t="str">
            <v/>
          </cell>
          <cell r="H984">
            <v>0</v>
          </cell>
          <cell r="J984" t="str">
            <v/>
          </cell>
        </row>
        <row r="985">
          <cell r="D985" t="str">
            <v/>
          </cell>
          <cell r="E985" t="str">
            <v/>
          </cell>
          <cell r="H985">
            <v>0</v>
          </cell>
          <cell r="J985" t="str">
            <v/>
          </cell>
        </row>
        <row r="986">
          <cell r="D986" t="str">
            <v/>
          </cell>
          <cell r="E986" t="str">
            <v/>
          </cell>
          <cell r="H986">
            <v>0</v>
          </cell>
          <cell r="J986" t="str">
            <v/>
          </cell>
        </row>
        <row r="987">
          <cell r="D987" t="str">
            <v/>
          </cell>
          <cell r="E987" t="str">
            <v/>
          </cell>
          <cell r="H987">
            <v>0</v>
          </cell>
          <cell r="J987" t="str">
            <v/>
          </cell>
        </row>
        <row r="988">
          <cell r="F988" t="str">
            <v>CUSTO TOTAL DE MATERIAL - (E)</v>
          </cell>
          <cell r="J988">
            <v>0.01</v>
          </cell>
        </row>
        <row r="989">
          <cell r="C989" t="str">
            <v>CODIGO</v>
          </cell>
          <cell r="D989" t="str">
            <v>ATIVIDADES AUXILIARES</v>
          </cell>
          <cell r="E989" t="str">
            <v>UNID</v>
          </cell>
          <cell r="F989" t="str">
            <v>QUANTIDADE</v>
          </cell>
          <cell r="H989" t="str">
            <v xml:space="preserve"> PREÇO UNITÁRIO</v>
          </cell>
          <cell r="J989" t="str">
            <v>CUSTO UNITÁRIO</v>
          </cell>
        </row>
        <row r="990">
          <cell r="C990" t="str">
            <v>1 A 00 963 00</v>
          </cell>
          <cell r="D990" t="str">
            <v>Peças de Desgaste do Britador 80m3/h</v>
          </cell>
          <cell r="E990" t="str">
            <v>cjh</v>
          </cell>
          <cell r="F990">
            <v>0.04</v>
          </cell>
          <cell r="H990">
            <v>148.97</v>
          </cell>
          <cell r="J990">
            <v>5.95</v>
          </cell>
        </row>
        <row r="991">
          <cell r="C991" t="str">
            <v>1 A 01 150 02</v>
          </cell>
          <cell r="D991" t="str">
            <v>Rocha para britagem com perfuratriz manual</v>
          </cell>
          <cell r="E991" t="str">
            <v>M³</v>
          </cell>
          <cell r="F991">
            <v>0.56999999999999995</v>
          </cell>
          <cell r="H991">
            <v>24.02</v>
          </cell>
          <cell r="J991">
            <v>13.69</v>
          </cell>
        </row>
        <row r="992">
          <cell r="D992" t="str">
            <v/>
          </cell>
          <cell r="E992" t="str">
            <v/>
          </cell>
          <cell r="H992" t="str">
            <v/>
          </cell>
          <cell r="J992" t="str">
            <v/>
          </cell>
        </row>
        <row r="993">
          <cell r="D993" t="str">
            <v/>
          </cell>
          <cell r="E993" t="str">
            <v/>
          </cell>
          <cell r="H993" t="str">
            <v/>
          </cell>
          <cell r="J993" t="str">
            <v/>
          </cell>
        </row>
        <row r="994">
          <cell r="D994" t="str">
            <v/>
          </cell>
          <cell r="E994" t="str">
            <v/>
          </cell>
          <cell r="H994" t="str">
            <v/>
          </cell>
          <cell r="J994" t="str">
            <v/>
          </cell>
        </row>
        <row r="995">
          <cell r="C995" t="str">
            <v>OBSERVAÇÕES:</v>
          </cell>
          <cell r="F995" t="str">
            <v>CUSTO ATIVIDADES AUXILIARES - (F)</v>
          </cell>
          <cell r="J995">
            <v>19.64</v>
          </cell>
        </row>
        <row r="996">
          <cell r="F996" t="str">
            <v>CUSTO UNITÁRIO DIRETO TOTAL</v>
          </cell>
          <cell r="J996">
            <v>43.01</v>
          </cell>
        </row>
        <row r="997">
          <cell r="F997" t="str">
            <v xml:space="preserve">BONIFICAÇÃO </v>
          </cell>
          <cell r="H997">
            <v>0</v>
          </cell>
          <cell r="J997">
            <v>0</v>
          </cell>
        </row>
        <row r="998">
          <cell r="F998" t="str">
            <v>PREÇO UNITÁRIO  TOTAL</v>
          </cell>
          <cell r="J998">
            <v>43.01</v>
          </cell>
        </row>
        <row r="1002">
          <cell r="A1002" t="str">
            <v>1 A 01 390 52</v>
          </cell>
          <cell r="C1002" t="str">
            <v>SERVIÇO:</v>
          </cell>
          <cell r="D1002" t="str">
            <v>Usinagem de CBUQ (capa de rolamento) AC/BC</v>
          </cell>
          <cell r="F1002" t="str">
            <v>PRODUÇÃO DA EQUIPE - (C):</v>
          </cell>
          <cell r="J1002">
            <v>50</v>
          </cell>
          <cell r="K1002" t="str">
            <v>T</v>
          </cell>
          <cell r="M1002">
            <v>70.39</v>
          </cell>
        </row>
        <row r="1003">
          <cell r="F1003" t="str">
            <v>UNITÁRIO</v>
          </cell>
          <cell r="H1003" t="str">
            <v>C. OPERACIONAL</v>
          </cell>
        </row>
        <row r="1004">
          <cell r="C1004" t="str">
            <v>ÍTEM</v>
          </cell>
          <cell r="D1004" t="str">
            <v>E Q U I P A M E N T O</v>
          </cell>
          <cell r="E1004" t="str">
            <v>QUANT.</v>
          </cell>
          <cell r="F1004" t="str">
            <v>PROD</v>
          </cell>
          <cell r="G1004" t="str">
            <v>IMPROD</v>
          </cell>
          <cell r="H1004" t="str">
            <v>PROD</v>
          </cell>
          <cell r="I1004" t="str">
            <v>IMPROD</v>
          </cell>
          <cell r="J1004" t="str">
            <v>CUSTO HORÁRIO</v>
          </cell>
        </row>
        <row r="1005">
          <cell r="C1005" t="str">
            <v>E010</v>
          </cell>
          <cell r="D1005" t="str">
            <v>Carregadeira de Pneus : Caterpillar : 950H -  3,3 m3</v>
          </cell>
          <cell r="E1005">
            <v>1</v>
          </cell>
          <cell r="F1005">
            <v>0.26</v>
          </cell>
          <cell r="G1005">
            <v>0.74</v>
          </cell>
          <cell r="H1005">
            <v>180.79</v>
          </cell>
          <cell r="I1005">
            <v>22.39</v>
          </cell>
          <cell r="J1005">
            <v>63.57</v>
          </cell>
        </row>
        <row r="1006">
          <cell r="C1006" t="str">
            <v>E110</v>
          </cell>
          <cell r="D1006" t="str">
            <v>Tanque de Estocagem de Asfalto : Cifali :  -  20.000 l</v>
          </cell>
          <cell r="E1006">
            <v>2</v>
          </cell>
          <cell r="F1006">
            <v>1</v>
          </cell>
          <cell r="G1006">
            <v>0</v>
          </cell>
          <cell r="H1006">
            <v>5.1100000000000003</v>
          </cell>
          <cell r="I1006">
            <v>0</v>
          </cell>
          <cell r="J1006">
            <v>10.220000000000001</v>
          </cell>
        </row>
        <row r="1007">
          <cell r="C1007" t="str">
            <v>E112</v>
          </cell>
          <cell r="D1007" t="str">
            <v xml:space="preserve">Aquecedor de Fluido Térmico : Tenge : TH III - </v>
          </cell>
          <cell r="E1007">
            <v>1</v>
          </cell>
          <cell r="F1007">
            <v>1</v>
          </cell>
          <cell r="G1007">
            <v>0</v>
          </cell>
          <cell r="H1007">
            <v>26.31</v>
          </cell>
          <cell r="I1007">
            <v>0</v>
          </cell>
          <cell r="J1007">
            <v>26.31</v>
          </cell>
        </row>
        <row r="1008">
          <cell r="C1008" t="str">
            <v>E147</v>
          </cell>
          <cell r="D1008" t="str">
            <v>Usina de Asfalto a Quente : Cifali : DMC-2 - 90/120 t/h com filtro de manga</v>
          </cell>
          <cell r="E1008">
            <v>1</v>
          </cell>
          <cell r="F1008">
            <v>1</v>
          </cell>
          <cell r="G1008">
            <v>0</v>
          </cell>
          <cell r="H1008">
            <v>309.3</v>
          </cell>
          <cell r="I1008">
            <v>23.67</v>
          </cell>
          <cell r="J1008">
            <v>309.3</v>
          </cell>
        </row>
        <row r="1009">
          <cell r="C1009" t="str">
            <v>E501</v>
          </cell>
          <cell r="D1009" t="str">
            <v>Grupo Gerador : Heimer : GEHM-40 - 36/40 KVA</v>
          </cell>
          <cell r="E1009">
            <v>1</v>
          </cell>
          <cell r="F1009">
            <v>1</v>
          </cell>
          <cell r="G1009">
            <v>0</v>
          </cell>
          <cell r="H1009">
            <v>34.1</v>
          </cell>
          <cell r="I1009">
            <v>17.27</v>
          </cell>
          <cell r="J1009">
            <v>34.1</v>
          </cell>
        </row>
        <row r="1010">
          <cell r="C1010" t="str">
            <v>E503</v>
          </cell>
          <cell r="D1010" t="str">
            <v>Grupo Gerador : Heimer : GEHM-180 - 164 / 180 KVA</v>
          </cell>
          <cell r="E1010">
            <v>1</v>
          </cell>
          <cell r="F1010">
            <v>1</v>
          </cell>
          <cell r="G1010">
            <v>0</v>
          </cell>
          <cell r="H1010">
            <v>87.13</v>
          </cell>
          <cell r="I1010">
            <v>17.27</v>
          </cell>
          <cell r="J1010">
            <v>87.13</v>
          </cell>
        </row>
        <row r="1011">
          <cell r="D1011" t="str">
            <v/>
          </cell>
          <cell r="G1011" t="str">
            <v/>
          </cell>
          <cell r="H1011" t="str">
            <v/>
          </cell>
          <cell r="I1011" t="str">
            <v/>
          </cell>
          <cell r="J1011" t="str">
            <v/>
          </cell>
        </row>
        <row r="1012">
          <cell r="F1012" t="str">
            <v>CUSTO HORÁRIO DO EQUIPAMENTO - (A)</v>
          </cell>
          <cell r="J1012">
            <v>530.63</v>
          </cell>
        </row>
        <row r="1013">
          <cell r="C1013" t="str">
            <v>ÍTEM</v>
          </cell>
          <cell r="D1013" t="str">
            <v>M Ã O    D E   O B R A</v>
          </cell>
          <cell r="E1013" t="str">
            <v>QUANT.</v>
          </cell>
          <cell r="F1013" t="str">
            <v>SALÁRIO HORA</v>
          </cell>
          <cell r="J1013" t="str">
            <v>CUSTO HORÁRIO</v>
          </cell>
        </row>
        <row r="1014">
          <cell r="C1014" t="str">
            <v>T501</v>
          </cell>
          <cell r="D1014" t="str">
            <v>Encarregado de turma</v>
          </cell>
          <cell r="E1014">
            <v>1</v>
          </cell>
          <cell r="F1014">
            <v>21.11</v>
          </cell>
          <cell r="G1014" t="e">
            <v>#N/A</v>
          </cell>
          <cell r="H1014" t="e">
            <v>#N/A</v>
          </cell>
          <cell r="I1014" t="e">
            <v>#N/A</v>
          </cell>
          <cell r="J1014">
            <v>21.11</v>
          </cell>
        </row>
        <row r="1015">
          <cell r="C1015" t="str">
            <v>T701</v>
          </cell>
          <cell r="D1015" t="str">
            <v>Servente</v>
          </cell>
          <cell r="E1015">
            <v>8</v>
          </cell>
          <cell r="F1015">
            <v>6.99</v>
          </cell>
          <cell r="G1015" t="e">
            <v>#N/A</v>
          </cell>
          <cell r="H1015" t="e">
            <v>#N/A</v>
          </cell>
          <cell r="I1015" t="e">
            <v>#N/A</v>
          </cell>
          <cell r="J1015">
            <v>55.92</v>
          </cell>
        </row>
        <row r="1016">
          <cell r="D1016" t="str">
            <v/>
          </cell>
          <cell r="F1016" t="str">
            <v/>
          </cell>
          <cell r="G1016" t="str">
            <v/>
          </cell>
          <cell r="H1016" t="str">
            <v/>
          </cell>
          <cell r="I1016" t="str">
            <v/>
          </cell>
          <cell r="J1016" t="str">
            <v/>
          </cell>
        </row>
        <row r="1017">
          <cell r="D1017" t="str">
            <v/>
          </cell>
          <cell r="F1017" t="str">
            <v/>
          </cell>
          <cell r="G1017" t="str">
            <v/>
          </cell>
          <cell r="H1017" t="str">
            <v/>
          </cell>
          <cell r="I1017" t="str">
            <v/>
          </cell>
          <cell r="J1017" t="str">
            <v/>
          </cell>
        </row>
        <row r="1018">
          <cell r="D1018" t="str">
            <v/>
          </cell>
          <cell r="F1018" t="str">
            <v/>
          </cell>
          <cell r="G1018" t="str">
            <v/>
          </cell>
          <cell r="H1018" t="str">
            <v/>
          </cell>
          <cell r="I1018" t="str">
            <v/>
          </cell>
          <cell r="J1018" t="str">
            <v/>
          </cell>
        </row>
        <row r="1019">
          <cell r="F1019" t="str">
            <v>CUSTO HORÁRIO DE MÃO DE OBRA - (B)</v>
          </cell>
          <cell r="J1019">
            <v>77.03</v>
          </cell>
        </row>
        <row r="1020">
          <cell r="F1020" t="str">
            <v>FERRAMENTAS</v>
          </cell>
          <cell r="H1020">
            <v>0.2051</v>
          </cell>
          <cell r="J1020">
            <v>15.79</v>
          </cell>
        </row>
        <row r="1021">
          <cell r="F1021" t="str">
            <v>CUSTO HORÁRIO TOTAL - (A + B)</v>
          </cell>
          <cell r="J1021">
            <v>623.45000000000005</v>
          </cell>
        </row>
        <row r="1022">
          <cell r="F1022" t="str">
            <v>CUSTO UNITÁRIO DE EXECUÇÃO - (D)</v>
          </cell>
          <cell r="J1022">
            <v>12.46</v>
          </cell>
        </row>
        <row r="1023">
          <cell r="C1023" t="str">
            <v>ÍTEM</v>
          </cell>
          <cell r="D1023" t="str">
            <v>M A T E R I A L</v>
          </cell>
          <cell r="E1023" t="str">
            <v>UNID</v>
          </cell>
          <cell r="F1023" t="str">
            <v>CONSUMO</v>
          </cell>
          <cell r="H1023" t="str">
            <v xml:space="preserve"> PREÇO UNITÁRIO</v>
          </cell>
          <cell r="J1023" t="str">
            <v>CUSTO UNITÁRIO</v>
          </cell>
        </row>
        <row r="1024">
          <cell r="C1024" t="str">
            <v>M003</v>
          </cell>
          <cell r="D1024" t="str">
            <v>Óleo combustível 1A</v>
          </cell>
          <cell r="E1024" t="str">
            <v>l</v>
          </cell>
          <cell r="F1024">
            <v>8</v>
          </cell>
          <cell r="H1024">
            <v>1.64</v>
          </cell>
          <cell r="I1024" t="e">
            <v>#N/A</v>
          </cell>
          <cell r="J1024">
            <v>13.12</v>
          </cell>
        </row>
        <row r="1025">
          <cell r="C1025" t="str">
            <v>M101</v>
          </cell>
          <cell r="D1025" t="str">
            <v>Cimento asfáltico CAP 50/70</v>
          </cell>
          <cell r="E1025" t="str">
            <v>t</v>
          </cell>
          <cell r="F1025">
            <v>5.5E-2</v>
          </cell>
          <cell r="H1025">
            <v>0</v>
          </cell>
          <cell r="J1025">
            <v>0</v>
          </cell>
        </row>
        <row r="1026">
          <cell r="C1026" t="str">
            <v>M905</v>
          </cell>
          <cell r="D1026" t="str">
            <v>Filler</v>
          </cell>
          <cell r="E1026" t="str">
            <v>kg</v>
          </cell>
          <cell r="F1026">
            <v>28</v>
          </cell>
          <cell r="H1026">
            <v>0.05</v>
          </cell>
          <cell r="J1026">
            <v>1.4</v>
          </cell>
        </row>
        <row r="1027">
          <cell r="C1027">
            <v>10323</v>
          </cell>
          <cell r="D1027" t="str">
            <v>Brita Comercial DMT até 50 km</v>
          </cell>
          <cell r="E1027" t="str">
            <v>m³</v>
          </cell>
          <cell r="F1027">
            <v>0.55800000000000005</v>
          </cell>
          <cell r="H1027">
            <v>72.8</v>
          </cell>
          <cell r="J1027">
            <v>40.619999999999997</v>
          </cell>
        </row>
        <row r="1028">
          <cell r="C1028">
            <v>10322</v>
          </cell>
          <cell r="D1028" t="str">
            <v xml:space="preserve">Areia comercial  DMT ate 50 km </v>
          </cell>
          <cell r="E1028" t="str">
            <v>m³</v>
          </cell>
          <cell r="F1028">
            <v>5.33E-2</v>
          </cell>
          <cell r="H1028">
            <v>52.5</v>
          </cell>
          <cell r="J1028">
            <v>2.79</v>
          </cell>
        </row>
        <row r="1029">
          <cell r="F1029" t="str">
            <v>CUSTO TOTAL DE MATERIAL - (E)</v>
          </cell>
          <cell r="J1029">
            <v>57.93</v>
          </cell>
        </row>
        <row r="1030">
          <cell r="C1030" t="str">
            <v>CODIGO</v>
          </cell>
          <cell r="D1030" t="str">
            <v>ATIVIDADES AUXILIARES</v>
          </cell>
          <cell r="E1030" t="str">
            <v>UNID</v>
          </cell>
          <cell r="F1030" t="str">
            <v>QUANTIDADE</v>
          </cell>
          <cell r="H1030" t="str">
            <v xml:space="preserve"> PREÇO UNITÁRIO</v>
          </cell>
          <cell r="J1030" t="str">
            <v>CUSTO UNITÁRIO</v>
          </cell>
        </row>
        <row r="1031">
          <cell r="D1031" t="str">
            <v/>
          </cell>
          <cell r="E1031" t="str">
            <v/>
          </cell>
          <cell r="H1031" t="str">
            <v/>
          </cell>
          <cell r="J1031" t="str">
            <v/>
          </cell>
        </row>
        <row r="1032">
          <cell r="D1032" t="str">
            <v/>
          </cell>
          <cell r="E1032" t="str">
            <v/>
          </cell>
          <cell r="H1032" t="str">
            <v/>
          </cell>
          <cell r="J1032" t="str">
            <v/>
          </cell>
        </row>
        <row r="1033">
          <cell r="D1033" t="str">
            <v/>
          </cell>
          <cell r="E1033" t="str">
            <v/>
          </cell>
          <cell r="H1033" t="str">
            <v/>
          </cell>
          <cell r="J1033" t="str">
            <v/>
          </cell>
        </row>
        <row r="1034">
          <cell r="D1034" t="str">
            <v/>
          </cell>
          <cell r="E1034" t="str">
            <v/>
          </cell>
          <cell r="H1034" t="str">
            <v/>
          </cell>
          <cell r="J1034" t="str">
            <v/>
          </cell>
        </row>
        <row r="1035">
          <cell r="D1035" t="str">
            <v/>
          </cell>
          <cell r="E1035" t="str">
            <v/>
          </cell>
          <cell r="H1035" t="str">
            <v/>
          </cell>
          <cell r="J1035" t="str">
            <v/>
          </cell>
        </row>
        <row r="1036">
          <cell r="C1036" t="str">
            <v>OBSERVAÇÕES:</v>
          </cell>
          <cell r="F1036" t="str">
            <v>CUSTO ATIVIDADES AUXILIARES - (F)</v>
          </cell>
          <cell r="J1036">
            <v>0</v>
          </cell>
        </row>
        <row r="1037">
          <cell r="F1037" t="str">
            <v>CUSTO UNITÁRIO DIRETO TOTAL</v>
          </cell>
          <cell r="J1037">
            <v>70.39</v>
          </cell>
        </row>
        <row r="1038">
          <cell r="F1038" t="str">
            <v xml:space="preserve">BONIFICAÇÃO </v>
          </cell>
          <cell r="H1038">
            <v>0</v>
          </cell>
          <cell r="J1038">
            <v>0</v>
          </cell>
        </row>
        <row r="1039">
          <cell r="F1039" t="str">
            <v>PREÇO UNITÁRIO  TOTAL</v>
          </cell>
          <cell r="J1039">
            <v>70.39</v>
          </cell>
        </row>
        <row r="1043">
          <cell r="A1043" t="str">
            <v>1 A 01 390 53</v>
          </cell>
          <cell r="C1043" t="str">
            <v>SERVIÇO:</v>
          </cell>
          <cell r="D1043" t="str">
            <v>Usinagem de CBUQ (binder) brita e areia comercial</v>
          </cell>
          <cell r="F1043" t="str">
            <v>PRODUÇÃO DA EQUIPE - (C):</v>
          </cell>
          <cell r="J1043">
            <v>1000</v>
          </cell>
          <cell r="K1043" t="str">
            <v>T</v>
          </cell>
          <cell r="M1043">
            <v>76.36</v>
          </cell>
        </row>
        <row r="1044">
          <cell r="F1044" t="str">
            <v>UNITÁRIO</v>
          </cell>
          <cell r="H1044" t="str">
            <v>C. OPERACIONAL</v>
          </cell>
        </row>
        <row r="1045">
          <cell r="C1045" t="str">
            <v>ÍTEM</v>
          </cell>
          <cell r="D1045" t="str">
            <v>E Q U I P A M E N T O</v>
          </cell>
          <cell r="E1045" t="str">
            <v>QUANT.</v>
          </cell>
          <cell r="F1045" t="str">
            <v>PROD</v>
          </cell>
          <cell r="G1045" t="str">
            <v>IMPROD</v>
          </cell>
          <cell r="H1045" t="str">
            <v>PROD</v>
          </cell>
          <cell r="I1045" t="str">
            <v>IMPROD</v>
          </cell>
          <cell r="J1045" t="str">
            <v>CUSTO HORÁRIO</v>
          </cell>
        </row>
        <row r="1046">
          <cell r="C1046" t="str">
            <v>E010</v>
          </cell>
          <cell r="D1046" t="str">
            <v>Carregadeira de Pneus : Caterpillar : 950H -  3,3 m3</v>
          </cell>
          <cell r="E1046">
            <v>1</v>
          </cell>
          <cell r="F1046">
            <v>0.27</v>
          </cell>
          <cell r="G1046">
            <v>0.73</v>
          </cell>
          <cell r="H1046">
            <v>180.79</v>
          </cell>
          <cell r="I1046">
            <v>22.39</v>
          </cell>
          <cell r="J1046">
            <v>65.150000000000006</v>
          </cell>
        </row>
        <row r="1047">
          <cell r="C1047" t="str">
            <v>E110</v>
          </cell>
          <cell r="D1047" t="str">
            <v>Tanque de Estocagem de Asfalto : Cifali :  -  20.000 l</v>
          </cell>
          <cell r="E1047">
            <v>3</v>
          </cell>
          <cell r="F1047">
            <v>1</v>
          </cell>
          <cell r="G1047">
            <v>0</v>
          </cell>
          <cell r="H1047">
            <v>5.1100000000000003</v>
          </cell>
          <cell r="I1047">
            <v>0</v>
          </cell>
          <cell r="J1047">
            <v>15.33</v>
          </cell>
        </row>
        <row r="1048">
          <cell r="C1048" t="str">
            <v>E112</v>
          </cell>
          <cell r="D1048" t="str">
            <v xml:space="preserve">Aquecedor de Fluido Térmico : Tenge : TH III - </v>
          </cell>
          <cell r="E1048">
            <v>1</v>
          </cell>
          <cell r="F1048">
            <v>1</v>
          </cell>
          <cell r="G1048">
            <v>0</v>
          </cell>
          <cell r="H1048">
            <v>26.31</v>
          </cell>
          <cell r="I1048">
            <v>0</v>
          </cell>
          <cell r="J1048">
            <v>26.31</v>
          </cell>
        </row>
        <row r="1049">
          <cell r="C1049" t="str">
            <v>E147</v>
          </cell>
          <cell r="D1049" t="str">
            <v>Usina de Asfalto a Quente : Cifali : DMC-2 - 90/120 t/h com filtro de manga</v>
          </cell>
          <cell r="E1049">
            <v>1</v>
          </cell>
          <cell r="F1049">
            <v>1</v>
          </cell>
          <cell r="G1049">
            <v>0</v>
          </cell>
          <cell r="H1049">
            <v>309.3</v>
          </cell>
          <cell r="I1049">
            <v>23.67</v>
          </cell>
          <cell r="J1049">
            <v>309.3</v>
          </cell>
        </row>
        <row r="1050">
          <cell r="C1050" t="str">
            <v>E501</v>
          </cell>
          <cell r="D1050" t="str">
            <v>Grupo Gerador : Heimer : GEHM-40 - 36/40 KVA</v>
          </cell>
          <cell r="E1050">
            <v>1</v>
          </cell>
          <cell r="F1050">
            <v>1</v>
          </cell>
          <cell r="G1050">
            <v>0</v>
          </cell>
          <cell r="H1050">
            <v>34.1</v>
          </cell>
          <cell r="I1050">
            <v>17.27</v>
          </cell>
          <cell r="J1050">
            <v>34.1</v>
          </cell>
        </row>
        <row r="1051">
          <cell r="C1051" t="str">
            <v>E503</v>
          </cell>
          <cell r="D1051" t="str">
            <v>Grupo Gerador : Heimer : GEHM-180 - 164 / 180 KVA</v>
          </cell>
          <cell r="E1051">
            <v>1</v>
          </cell>
          <cell r="F1051">
            <v>1</v>
          </cell>
          <cell r="G1051">
            <v>0</v>
          </cell>
          <cell r="H1051">
            <v>87.13</v>
          </cell>
          <cell r="I1051">
            <v>17.27</v>
          </cell>
          <cell r="J1051">
            <v>87.13</v>
          </cell>
        </row>
        <row r="1052">
          <cell r="D1052" t="str">
            <v/>
          </cell>
          <cell r="G1052" t="str">
            <v/>
          </cell>
          <cell r="H1052" t="str">
            <v/>
          </cell>
          <cell r="I1052" t="str">
            <v/>
          </cell>
          <cell r="J1052" t="str">
            <v/>
          </cell>
        </row>
        <row r="1053">
          <cell r="F1053" t="str">
            <v>CUSTO HORÁRIO DO EQUIPAMENTO - (A)</v>
          </cell>
          <cell r="J1053">
            <v>537.32000000000005</v>
          </cell>
        </row>
        <row r="1054">
          <cell r="C1054" t="str">
            <v>ÍTEM</v>
          </cell>
          <cell r="D1054" t="str">
            <v>M Ã O    D E   O B R A</v>
          </cell>
          <cell r="E1054" t="str">
            <v>QUANT.</v>
          </cell>
          <cell r="F1054" t="str">
            <v>SALÁRIO HORA</v>
          </cell>
          <cell r="J1054" t="str">
            <v>CUSTO HORÁRIO</v>
          </cell>
        </row>
        <row r="1055">
          <cell r="C1055" t="str">
            <v>T501</v>
          </cell>
          <cell r="D1055" t="str">
            <v>Encarregado de turma</v>
          </cell>
          <cell r="E1055">
            <v>0.1</v>
          </cell>
          <cell r="F1055">
            <v>21.11</v>
          </cell>
          <cell r="G1055" t="e">
            <v>#N/A</v>
          </cell>
          <cell r="H1055" t="e">
            <v>#N/A</v>
          </cell>
          <cell r="I1055" t="e">
            <v>#N/A</v>
          </cell>
          <cell r="J1055">
            <v>2.11</v>
          </cell>
        </row>
        <row r="1056">
          <cell r="C1056" t="str">
            <v>T701</v>
          </cell>
          <cell r="D1056" t="str">
            <v>Servente</v>
          </cell>
          <cell r="E1056">
            <v>4</v>
          </cell>
          <cell r="F1056">
            <v>6.99</v>
          </cell>
          <cell r="G1056" t="e">
            <v>#N/A</v>
          </cell>
          <cell r="H1056" t="e">
            <v>#N/A</v>
          </cell>
          <cell r="I1056" t="e">
            <v>#N/A</v>
          </cell>
          <cell r="J1056">
            <v>27.96</v>
          </cell>
        </row>
        <row r="1057">
          <cell r="D1057" t="str">
            <v/>
          </cell>
          <cell r="F1057" t="str">
            <v/>
          </cell>
          <cell r="G1057" t="str">
            <v/>
          </cell>
          <cell r="H1057" t="str">
            <v/>
          </cell>
          <cell r="I1057" t="str">
            <v/>
          </cell>
          <cell r="J1057" t="str">
            <v/>
          </cell>
        </row>
        <row r="1058">
          <cell r="D1058" t="str">
            <v/>
          </cell>
          <cell r="F1058" t="str">
            <v/>
          </cell>
          <cell r="G1058" t="str">
            <v/>
          </cell>
          <cell r="H1058" t="str">
            <v/>
          </cell>
          <cell r="I1058" t="str">
            <v/>
          </cell>
          <cell r="J1058" t="str">
            <v/>
          </cell>
        </row>
        <row r="1059">
          <cell r="D1059" t="str">
            <v/>
          </cell>
          <cell r="F1059" t="str">
            <v/>
          </cell>
          <cell r="G1059" t="str">
            <v/>
          </cell>
          <cell r="H1059" t="str">
            <v/>
          </cell>
          <cell r="I1059" t="str">
            <v/>
          </cell>
          <cell r="J1059" t="str">
            <v/>
          </cell>
        </row>
        <row r="1060">
          <cell r="F1060" t="str">
            <v>CUSTO HORÁRIO DE MÃO DE OBRA - (B)</v>
          </cell>
          <cell r="J1060">
            <v>30.07</v>
          </cell>
        </row>
        <row r="1061">
          <cell r="F1061" t="str">
            <v>FERRAMENTAS</v>
          </cell>
          <cell r="H1061">
            <v>0.15509999999999999</v>
          </cell>
          <cell r="J1061">
            <v>4.66</v>
          </cell>
        </row>
        <row r="1062">
          <cell r="F1062" t="str">
            <v>CUSTO HORÁRIO TOTAL - (A + B)</v>
          </cell>
          <cell r="J1062">
            <v>572.04999999999995</v>
          </cell>
        </row>
        <row r="1063">
          <cell r="F1063" t="str">
            <v>CUSTO UNITÁRIO DE EXECUÇÃO - (D)</v>
          </cell>
          <cell r="J1063">
            <v>0.56999999999999995</v>
          </cell>
        </row>
        <row r="1064">
          <cell r="C1064" t="str">
            <v>ÍTEM</v>
          </cell>
          <cell r="D1064" t="str">
            <v>M A T E R I A L</v>
          </cell>
          <cell r="E1064" t="str">
            <v>UNID</v>
          </cell>
          <cell r="F1064" t="str">
            <v>CONSUMO</v>
          </cell>
          <cell r="H1064" t="str">
            <v xml:space="preserve"> PREÇO UNITÁRIO</v>
          </cell>
          <cell r="J1064" t="str">
            <v>CUSTO UNITÁRIO</v>
          </cell>
        </row>
        <row r="1065">
          <cell r="C1065">
            <v>10322</v>
          </cell>
          <cell r="D1065" t="str">
            <v xml:space="preserve">Areia comercial  DMT ate 50 km </v>
          </cell>
          <cell r="E1065" t="str">
            <v>m³</v>
          </cell>
          <cell r="F1065">
            <v>0.161</v>
          </cell>
          <cell r="H1065">
            <v>52.5</v>
          </cell>
          <cell r="J1065">
            <v>8.4499999999999993</v>
          </cell>
        </row>
        <row r="1066">
          <cell r="C1066" t="str">
            <v>M003</v>
          </cell>
          <cell r="D1066" t="str">
            <v>Óleo combustível 1A</v>
          </cell>
          <cell r="E1066" t="str">
            <v>l</v>
          </cell>
          <cell r="F1066">
            <v>8</v>
          </cell>
          <cell r="H1066">
            <v>1.64</v>
          </cell>
          <cell r="J1066">
            <v>13.12</v>
          </cell>
        </row>
        <row r="1067">
          <cell r="C1067" t="str">
            <v>M101</v>
          </cell>
          <cell r="D1067" t="str">
            <v>Cimento asfáltico CAP 50/70</v>
          </cell>
          <cell r="E1067" t="str">
            <v>t</v>
          </cell>
          <cell r="F1067">
            <v>0.05</v>
          </cell>
          <cell r="H1067">
            <v>978.2</v>
          </cell>
          <cell r="J1067">
            <v>48.91</v>
          </cell>
        </row>
        <row r="1068">
          <cell r="C1068">
            <v>10323</v>
          </cell>
          <cell r="D1068" t="str">
            <v>Brita Comercial DMT até 50 km</v>
          </cell>
          <cell r="E1068" t="str">
            <v>m³</v>
          </cell>
          <cell r="F1068">
            <v>7.2999999999999995E-2</v>
          </cell>
          <cell r="H1068">
            <v>72.8</v>
          </cell>
          <cell r="J1068">
            <v>5.31</v>
          </cell>
        </row>
        <row r="1069">
          <cell r="F1069" t="str">
            <v>CUSTO TOTAL DE MATERIAL - (E)</v>
          </cell>
          <cell r="J1069">
            <v>75.790000000000006</v>
          </cell>
        </row>
        <row r="1070">
          <cell r="C1070" t="str">
            <v>CODIGO</v>
          </cell>
          <cell r="D1070" t="str">
            <v>ATIVIDADES AUXILIARES</v>
          </cell>
          <cell r="E1070" t="str">
            <v>UNID</v>
          </cell>
          <cell r="F1070" t="str">
            <v>QUANTIDADE</v>
          </cell>
          <cell r="H1070" t="str">
            <v xml:space="preserve"> PREÇO UNITÁRIO</v>
          </cell>
          <cell r="J1070" t="str">
            <v>CUSTO UNITÁRIO</v>
          </cell>
        </row>
        <row r="1071">
          <cell r="D1071" t="str">
            <v/>
          </cell>
          <cell r="E1071" t="str">
            <v/>
          </cell>
          <cell r="H1071" t="str">
            <v/>
          </cell>
          <cell r="J1071" t="str">
            <v/>
          </cell>
        </row>
        <row r="1072">
          <cell r="D1072" t="str">
            <v/>
          </cell>
          <cell r="E1072" t="str">
            <v/>
          </cell>
          <cell r="H1072" t="str">
            <v/>
          </cell>
          <cell r="J1072" t="str">
            <v/>
          </cell>
        </row>
        <row r="1073">
          <cell r="D1073" t="str">
            <v/>
          </cell>
          <cell r="E1073" t="str">
            <v/>
          </cell>
          <cell r="H1073" t="str">
            <v/>
          </cell>
          <cell r="J1073" t="str">
            <v/>
          </cell>
        </row>
        <row r="1074">
          <cell r="D1074" t="str">
            <v/>
          </cell>
          <cell r="E1074" t="str">
            <v/>
          </cell>
          <cell r="H1074" t="str">
            <v/>
          </cell>
          <cell r="J1074" t="str">
            <v/>
          </cell>
        </row>
        <row r="1075">
          <cell r="D1075" t="str">
            <v/>
          </cell>
          <cell r="E1075" t="str">
            <v/>
          </cell>
          <cell r="H1075" t="str">
            <v/>
          </cell>
          <cell r="J1075" t="str">
            <v/>
          </cell>
        </row>
        <row r="1076">
          <cell r="C1076" t="str">
            <v>OBSERVAÇÕES:</v>
          </cell>
          <cell r="F1076" t="str">
            <v>CUSTO ATIVIDADES AUXILIARES - (F)</v>
          </cell>
          <cell r="J1076">
            <v>0</v>
          </cell>
        </row>
        <row r="1077">
          <cell r="F1077" t="str">
            <v>CUSTO UNITÁRIO DIRETO TOTAL</v>
          </cell>
          <cell r="J1077">
            <v>76.36</v>
          </cell>
        </row>
        <row r="1078">
          <cell r="F1078" t="str">
            <v xml:space="preserve">BONIFICAÇÃO </v>
          </cell>
          <cell r="J1078">
            <v>0</v>
          </cell>
        </row>
        <row r="1079">
          <cell r="F1079" t="str">
            <v>PREÇO UNITÁRIO  TOTAL</v>
          </cell>
          <cell r="J1079">
            <v>76.36</v>
          </cell>
        </row>
        <row r="1083">
          <cell r="A1083" t="str">
            <v>1 A 01 401 01</v>
          </cell>
          <cell r="C1083" t="str">
            <v>SERVIÇO:</v>
          </cell>
          <cell r="D1083" t="str">
            <v>Fôrma comum de madeira</v>
          </cell>
          <cell r="F1083" t="str">
            <v>PRODUÇÃO DA EQUIPE - (C):</v>
          </cell>
          <cell r="J1083">
            <v>1</v>
          </cell>
          <cell r="K1083" t="str">
            <v>m²</v>
          </cell>
          <cell r="M1083">
            <v>27.24</v>
          </cell>
        </row>
        <row r="1084">
          <cell r="F1084" t="str">
            <v>UNITÁRIO</v>
          </cell>
          <cell r="H1084" t="str">
            <v>C. OPERACIONAL</v>
          </cell>
        </row>
        <row r="1085">
          <cell r="C1085" t="str">
            <v>ÍTEM</v>
          </cell>
          <cell r="D1085" t="str">
            <v>E Q U I P A M E N T O</v>
          </cell>
          <cell r="E1085" t="str">
            <v>QUANT.</v>
          </cell>
          <cell r="F1085" t="str">
            <v>PROD</v>
          </cell>
          <cell r="G1085" t="str">
            <v>IMPROD</v>
          </cell>
          <cell r="H1085" t="str">
            <v>PROD</v>
          </cell>
          <cell r="I1085" t="str">
            <v>IMPROD</v>
          </cell>
          <cell r="J1085" t="str">
            <v>CUSTO HORÁRIO</v>
          </cell>
        </row>
        <row r="1086">
          <cell r="C1086" t="str">
            <v>E509</v>
          </cell>
          <cell r="D1086" t="str">
            <v>Grupo Gerador : Heimer : GEHMI-40 - 32,0  KVA</v>
          </cell>
          <cell r="E1086">
            <v>0.18</v>
          </cell>
          <cell r="F1086">
            <v>1</v>
          </cell>
          <cell r="G1086">
            <v>0</v>
          </cell>
          <cell r="H1086">
            <v>32.17</v>
          </cell>
          <cell r="I1086">
            <v>17.27</v>
          </cell>
          <cell r="J1086">
            <v>5.79</v>
          </cell>
        </row>
        <row r="1087">
          <cell r="C1087" t="str">
            <v>E904</v>
          </cell>
          <cell r="D1087" t="str">
            <v>Máquina de Bancada - serra circular de 12" (4 kW)</v>
          </cell>
          <cell r="E1087">
            <v>0.18</v>
          </cell>
          <cell r="F1087">
            <v>1</v>
          </cell>
          <cell r="G1087">
            <v>0</v>
          </cell>
          <cell r="H1087">
            <v>1.97</v>
          </cell>
          <cell r="I1087">
            <v>0</v>
          </cell>
          <cell r="J1087">
            <v>0.35</v>
          </cell>
        </row>
        <row r="1088">
          <cell r="D1088" t="str">
            <v/>
          </cell>
          <cell r="G1088" t="str">
            <v/>
          </cell>
          <cell r="H1088" t="str">
            <v/>
          </cell>
          <cell r="I1088" t="str">
            <v/>
          </cell>
          <cell r="J1088" t="str">
            <v/>
          </cell>
        </row>
        <row r="1089">
          <cell r="D1089" t="str">
            <v/>
          </cell>
          <cell r="G1089" t="str">
            <v/>
          </cell>
          <cell r="H1089" t="str">
            <v/>
          </cell>
          <cell r="I1089" t="str">
            <v/>
          </cell>
          <cell r="J1089" t="str">
            <v/>
          </cell>
        </row>
        <row r="1090">
          <cell r="D1090" t="str">
            <v/>
          </cell>
          <cell r="G1090" t="str">
            <v/>
          </cell>
          <cell r="H1090" t="str">
            <v/>
          </cell>
          <cell r="I1090" t="str">
            <v/>
          </cell>
          <cell r="J1090" t="str">
            <v/>
          </cell>
        </row>
        <row r="1091">
          <cell r="D1091" t="str">
            <v/>
          </cell>
          <cell r="G1091" t="str">
            <v/>
          </cell>
          <cell r="H1091" t="str">
            <v/>
          </cell>
          <cell r="I1091" t="str">
            <v/>
          </cell>
          <cell r="J1091" t="str">
            <v/>
          </cell>
        </row>
        <row r="1092">
          <cell r="F1092" t="str">
            <v>CUSTO HORÁRIO DO EQUIPAMENTO - (A)</v>
          </cell>
          <cell r="J1092">
            <v>6.14</v>
          </cell>
        </row>
        <row r="1093">
          <cell r="C1093" t="str">
            <v>ÍTEM</v>
          </cell>
          <cell r="D1093" t="str">
            <v>M Ã O    D E   O B R A</v>
          </cell>
          <cell r="E1093" t="str">
            <v>QUANT.</v>
          </cell>
          <cell r="F1093" t="str">
            <v>SALÁRIO HORA</v>
          </cell>
          <cell r="J1093" t="str">
            <v>CUSTO HORÁRIO</v>
          </cell>
        </row>
        <row r="1094">
          <cell r="C1094" t="str">
            <v>T603</v>
          </cell>
          <cell r="D1094" t="str">
            <v>Carpinteiro</v>
          </cell>
          <cell r="E1094">
            <v>0.5</v>
          </cell>
          <cell r="F1094">
            <v>9.44</v>
          </cell>
          <cell r="G1094" t="e">
            <v>#N/A</v>
          </cell>
          <cell r="H1094" t="e">
            <v>#N/A</v>
          </cell>
          <cell r="I1094" t="e">
            <v>#N/A</v>
          </cell>
          <cell r="J1094">
            <v>4.72</v>
          </cell>
        </row>
        <row r="1095">
          <cell r="C1095" t="str">
            <v>T701</v>
          </cell>
          <cell r="D1095" t="str">
            <v>Servente</v>
          </cell>
          <cell r="E1095">
            <v>0.5</v>
          </cell>
          <cell r="F1095">
            <v>6.99</v>
          </cell>
          <cell r="G1095" t="e">
            <v>#N/A</v>
          </cell>
          <cell r="H1095" t="e">
            <v>#N/A</v>
          </cell>
          <cell r="I1095" t="e">
            <v>#N/A</v>
          </cell>
          <cell r="J1095">
            <v>3.49</v>
          </cell>
        </row>
        <row r="1096">
          <cell r="D1096" t="str">
            <v/>
          </cell>
          <cell r="F1096" t="str">
            <v/>
          </cell>
          <cell r="G1096" t="str">
            <v/>
          </cell>
          <cell r="H1096" t="str">
            <v/>
          </cell>
          <cell r="I1096" t="str">
            <v/>
          </cell>
          <cell r="J1096" t="str">
            <v/>
          </cell>
        </row>
        <row r="1097">
          <cell r="D1097" t="str">
            <v/>
          </cell>
          <cell r="F1097" t="str">
            <v/>
          </cell>
          <cell r="G1097" t="str">
            <v/>
          </cell>
          <cell r="H1097" t="str">
            <v/>
          </cell>
          <cell r="I1097" t="str">
            <v/>
          </cell>
          <cell r="J1097" t="str">
            <v/>
          </cell>
        </row>
        <row r="1098">
          <cell r="D1098" t="str">
            <v/>
          </cell>
          <cell r="F1098" t="str">
            <v/>
          </cell>
          <cell r="G1098" t="str">
            <v/>
          </cell>
          <cell r="H1098" t="str">
            <v/>
          </cell>
          <cell r="I1098" t="str">
            <v/>
          </cell>
          <cell r="J1098" t="str">
            <v/>
          </cell>
        </row>
        <row r="1099">
          <cell r="F1099" t="str">
            <v>CUSTO HORÁRIO DE MÃO DE OBRA - (B)</v>
          </cell>
          <cell r="J1099">
            <v>8.2100000000000009</v>
          </cell>
        </row>
        <row r="1100">
          <cell r="F1100" t="str">
            <v>FERRAMENTAS</v>
          </cell>
          <cell r="H1100">
            <v>0.2051</v>
          </cell>
          <cell r="J1100">
            <v>1.68</v>
          </cell>
        </row>
        <row r="1101">
          <cell r="F1101" t="str">
            <v>CUSTO HORÁRIO TOTAL - (A + B)</v>
          </cell>
          <cell r="J1101">
            <v>16.03</v>
          </cell>
        </row>
        <row r="1102">
          <cell r="F1102" t="str">
            <v>CUSTO UNITÁRIO DE EXECUÇÃO - (D)</v>
          </cell>
          <cell r="J1102">
            <v>16.03</v>
          </cell>
        </row>
        <row r="1103">
          <cell r="C1103" t="str">
            <v>ÍTEM</v>
          </cell>
          <cell r="D1103" t="str">
            <v>M A T E R I A L</v>
          </cell>
          <cell r="E1103" t="str">
            <v>UNID</v>
          </cell>
          <cell r="F1103" t="str">
            <v>CONSUMO</v>
          </cell>
          <cell r="H1103" t="str">
            <v xml:space="preserve"> PREÇO UNITÁRIO</v>
          </cell>
          <cell r="J1103" t="str">
            <v>CUSTO UNITÁRIO</v>
          </cell>
        </row>
        <row r="1104">
          <cell r="C1104" t="str">
            <v>M320</v>
          </cell>
          <cell r="D1104" t="str">
            <v>Pregos de ferro 18x30</v>
          </cell>
          <cell r="E1104" t="str">
            <v>kg</v>
          </cell>
          <cell r="F1104">
            <v>0.1</v>
          </cell>
          <cell r="H1104">
            <v>4.12</v>
          </cell>
          <cell r="I1104" t="e">
            <v>#N/A</v>
          </cell>
          <cell r="J1104">
            <v>0.41</v>
          </cell>
        </row>
        <row r="1105">
          <cell r="C1105" t="str">
            <v>M406</v>
          </cell>
          <cell r="D1105" t="str">
            <v>Caibros de 7,5 cm x 7,5 cm</v>
          </cell>
          <cell r="E1105" t="str">
            <v>m</v>
          </cell>
          <cell r="F1105">
            <v>1.1499999999999999</v>
          </cell>
          <cell r="H1105">
            <v>1.98</v>
          </cell>
          <cell r="J1105">
            <v>2.27</v>
          </cell>
        </row>
        <row r="1106">
          <cell r="C1106" t="str">
            <v>M408</v>
          </cell>
          <cell r="D1106" t="str">
            <v>Tábua de 5ª 2,5 cm x 30,0 cm</v>
          </cell>
          <cell r="E1106" t="str">
            <v>m</v>
          </cell>
          <cell r="F1106">
            <v>1.92</v>
          </cell>
          <cell r="H1106">
            <v>2.7</v>
          </cell>
          <cell r="J1106">
            <v>5.18</v>
          </cell>
        </row>
        <row r="1107">
          <cell r="C1107" t="str">
            <v>M413</v>
          </cell>
          <cell r="D1107" t="str">
            <v>Gastalho 10 x 2,5 cm</v>
          </cell>
          <cell r="E1107" t="str">
            <v>m</v>
          </cell>
          <cell r="F1107">
            <v>1.29</v>
          </cell>
          <cell r="H1107">
            <v>2</v>
          </cell>
          <cell r="J1107">
            <v>2.58</v>
          </cell>
        </row>
        <row r="1108">
          <cell r="C1108" t="str">
            <v>M621</v>
          </cell>
          <cell r="D1108" t="str">
            <v>Desmoldante</v>
          </cell>
          <cell r="E1108" t="str">
            <v>l</v>
          </cell>
          <cell r="F1108">
            <v>0.02</v>
          </cell>
          <cell r="H1108">
            <v>4.32</v>
          </cell>
          <cell r="J1108">
            <v>0.08</v>
          </cell>
        </row>
        <row r="1109">
          <cell r="F1109" t="str">
            <v>CUSTO TOTAL DE MATERIAL - (E)</v>
          </cell>
          <cell r="J1109">
            <v>10.52</v>
          </cell>
        </row>
        <row r="1110">
          <cell r="C1110" t="str">
            <v>CODIGO</v>
          </cell>
          <cell r="D1110" t="str">
            <v>ATIVIDADES AUXILIARES</v>
          </cell>
          <cell r="E1110" t="str">
            <v>UND</v>
          </cell>
          <cell r="F1110" t="str">
            <v>CONSUMO</v>
          </cell>
          <cell r="H1110" t="str">
            <v>CUSTO UNITÁRIO</v>
          </cell>
          <cell r="J1110" t="str">
            <v>CUSTO UNITÁRIO</v>
          </cell>
        </row>
        <row r="1111">
          <cell r="C1111" t="str">
            <v>1 A 00 301 00</v>
          </cell>
          <cell r="D1111" t="str">
            <v>Fornecimento de Aço CA-25</v>
          </cell>
          <cell r="E1111" t="str">
            <v>kg</v>
          </cell>
          <cell r="F1111">
            <v>0.25</v>
          </cell>
          <cell r="H1111">
            <v>2.79</v>
          </cell>
          <cell r="J1111">
            <v>0.69</v>
          </cell>
        </row>
        <row r="1112">
          <cell r="D1112" t="str">
            <v/>
          </cell>
          <cell r="H1112" t="str">
            <v/>
          </cell>
          <cell r="J1112" t="str">
            <v/>
          </cell>
        </row>
        <row r="1113">
          <cell r="D1113" t="str">
            <v/>
          </cell>
          <cell r="H1113" t="str">
            <v/>
          </cell>
          <cell r="J1113" t="str">
            <v/>
          </cell>
        </row>
        <row r="1114">
          <cell r="D1114" t="str">
            <v/>
          </cell>
          <cell r="H1114" t="str">
            <v/>
          </cell>
          <cell r="J1114" t="str">
            <v/>
          </cell>
        </row>
        <row r="1115">
          <cell r="D1115" t="str">
            <v/>
          </cell>
          <cell r="H1115" t="str">
            <v/>
          </cell>
          <cell r="J1115" t="str">
            <v/>
          </cell>
        </row>
        <row r="1116">
          <cell r="C1116" t="str">
            <v>OBSERVAÇÕES:</v>
          </cell>
          <cell r="F1116" t="str">
            <v>CUSTO UNITÁRIO DE TRANSPORTE - (F)</v>
          </cell>
          <cell r="J1116">
            <v>0.69</v>
          </cell>
        </row>
        <row r="1117">
          <cell r="F1117" t="str">
            <v>CUSTO UNITÁRIO DIRETO TOTAL</v>
          </cell>
          <cell r="J1117">
            <v>27.24</v>
          </cell>
        </row>
        <row r="1118">
          <cell r="F1118" t="str">
            <v xml:space="preserve">BONIFICAÇÃO </v>
          </cell>
          <cell r="H1118">
            <v>0</v>
          </cell>
          <cell r="J1118">
            <v>0</v>
          </cell>
        </row>
        <row r="1119">
          <cell r="F1119" t="str">
            <v>PREÇO UNITÁRIO  TOTAL</v>
          </cell>
          <cell r="J1119">
            <v>27.24</v>
          </cell>
        </row>
        <row r="1123">
          <cell r="A1123" t="str">
            <v>1 A 01 402 01</v>
          </cell>
          <cell r="C1123" t="str">
            <v>SERVIÇO:</v>
          </cell>
          <cell r="D1123" t="str">
            <v>Fôrma de placa compensada resinada</v>
          </cell>
          <cell r="F1123" t="str">
            <v>PRODUÇÃO DA EQUIPE - (C):</v>
          </cell>
          <cell r="J1123">
            <v>1</v>
          </cell>
          <cell r="K1123" t="str">
            <v>m²</v>
          </cell>
          <cell r="M1123">
            <v>38.14</v>
          </cell>
        </row>
        <row r="1124">
          <cell r="F1124" t="str">
            <v>UNITÁRIO</v>
          </cell>
          <cell r="H1124" t="str">
            <v>C. OPERACIONAL</v>
          </cell>
        </row>
        <row r="1125">
          <cell r="C1125" t="str">
            <v>ÍTEM</v>
          </cell>
          <cell r="D1125" t="str">
            <v>E Q U I P A M E N T O</v>
          </cell>
          <cell r="E1125" t="str">
            <v>QUANT.</v>
          </cell>
          <cell r="F1125" t="str">
            <v>PROD</v>
          </cell>
          <cell r="G1125" t="str">
            <v>IMPROD</v>
          </cell>
          <cell r="H1125" t="str">
            <v>PROD</v>
          </cell>
          <cell r="I1125" t="str">
            <v>IMPROD</v>
          </cell>
          <cell r="J1125" t="str">
            <v>CUSTO HORÁRIO</v>
          </cell>
        </row>
        <row r="1126">
          <cell r="C1126" t="str">
            <v>E509</v>
          </cell>
          <cell r="D1126" t="str">
            <v>Grupo Gerador : Heimer : GEHMI-40 - 32,0  KVA</v>
          </cell>
          <cell r="E1126">
            <v>0.18</v>
          </cell>
          <cell r="F1126">
            <v>1</v>
          </cell>
          <cell r="G1126">
            <v>0</v>
          </cell>
          <cell r="H1126">
            <v>32.17</v>
          </cell>
          <cell r="I1126">
            <v>17.27</v>
          </cell>
          <cell r="J1126">
            <v>5.79</v>
          </cell>
        </row>
        <row r="1127">
          <cell r="C1127" t="str">
            <v>E904</v>
          </cell>
          <cell r="D1127" t="str">
            <v>Máquina de Bancada - serra circular de 12" (4 kW)</v>
          </cell>
          <cell r="E1127">
            <v>0.18</v>
          </cell>
          <cell r="F1127">
            <v>1</v>
          </cell>
          <cell r="G1127">
            <v>0</v>
          </cell>
          <cell r="H1127">
            <v>1.97</v>
          </cell>
          <cell r="I1127">
            <v>0</v>
          </cell>
          <cell r="J1127">
            <v>0.35</v>
          </cell>
        </row>
        <row r="1128">
          <cell r="D1128" t="str">
            <v/>
          </cell>
          <cell r="G1128" t="str">
            <v/>
          </cell>
          <cell r="H1128" t="str">
            <v/>
          </cell>
          <cell r="I1128" t="str">
            <v/>
          </cell>
          <cell r="J1128" t="str">
            <v/>
          </cell>
        </row>
        <row r="1129">
          <cell r="D1129" t="str">
            <v/>
          </cell>
          <cell r="G1129" t="str">
            <v/>
          </cell>
          <cell r="H1129" t="str">
            <v/>
          </cell>
          <cell r="I1129" t="str">
            <v/>
          </cell>
          <cell r="J1129" t="str">
            <v/>
          </cell>
        </row>
        <row r="1130">
          <cell r="D1130" t="str">
            <v/>
          </cell>
          <cell r="G1130" t="str">
            <v/>
          </cell>
          <cell r="H1130" t="str">
            <v/>
          </cell>
          <cell r="I1130" t="str">
            <v/>
          </cell>
          <cell r="J1130" t="str">
            <v/>
          </cell>
        </row>
        <row r="1131">
          <cell r="D1131" t="str">
            <v/>
          </cell>
          <cell r="G1131" t="str">
            <v/>
          </cell>
          <cell r="H1131" t="str">
            <v/>
          </cell>
          <cell r="I1131" t="str">
            <v/>
          </cell>
          <cell r="J1131" t="str">
            <v/>
          </cell>
        </row>
        <row r="1132">
          <cell r="F1132" t="str">
            <v>CUSTO HORÁRIO DO EQUIPAMENTO - (A)</v>
          </cell>
          <cell r="J1132">
            <v>6.14</v>
          </cell>
        </row>
        <row r="1133">
          <cell r="C1133" t="str">
            <v>ÍTEM</v>
          </cell>
          <cell r="D1133" t="str">
            <v>M Ã O    D E   O B R A</v>
          </cell>
          <cell r="E1133" t="str">
            <v>QUANT.</v>
          </cell>
          <cell r="F1133" t="str">
            <v>SALÁRIO HORA</v>
          </cell>
          <cell r="J1133" t="str">
            <v>CUSTO HORÁRIO</v>
          </cell>
        </row>
        <row r="1134">
          <cell r="C1134" t="str">
            <v>T603</v>
          </cell>
          <cell r="D1134" t="str">
            <v>Carpinteiro</v>
          </cell>
          <cell r="E1134">
            <v>1</v>
          </cell>
          <cell r="F1134">
            <v>9.44</v>
          </cell>
          <cell r="G1134" t="e">
            <v>#N/A</v>
          </cell>
          <cell r="H1134" t="e">
            <v>#N/A</v>
          </cell>
          <cell r="I1134" t="e">
            <v>#N/A</v>
          </cell>
          <cell r="J1134">
            <v>9.44</v>
          </cell>
        </row>
        <row r="1135">
          <cell r="C1135" t="str">
            <v>T701</v>
          </cell>
          <cell r="D1135" t="str">
            <v>Servente</v>
          </cell>
          <cell r="E1135">
            <v>1</v>
          </cell>
          <cell r="F1135">
            <v>6.99</v>
          </cell>
          <cell r="G1135" t="e">
            <v>#N/A</v>
          </cell>
          <cell r="H1135" t="e">
            <v>#N/A</v>
          </cell>
          <cell r="I1135" t="e">
            <v>#N/A</v>
          </cell>
          <cell r="J1135">
            <v>6.99</v>
          </cell>
        </row>
        <row r="1136">
          <cell r="D1136" t="str">
            <v/>
          </cell>
          <cell r="F1136" t="str">
            <v/>
          </cell>
          <cell r="G1136" t="str">
            <v/>
          </cell>
          <cell r="H1136" t="str">
            <v/>
          </cell>
          <cell r="I1136" t="str">
            <v/>
          </cell>
          <cell r="J1136" t="str">
            <v/>
          </cell>
        </row>
        <row r="1137">
          <cell r="D1137" t="str">
            <v/>
          </cell>
          <cell r="F1137" t="str">
            <v/>
          </cell>
          <cell r="G1137" t="str">
            <v/>
          </cell>
          <cell r="H1137" t="str">
            <v/>
          </cell>
          <cell r="I1137" t="str">
            <v/>
          </cell>
          <cell r="J1137" t="str">
            <v/>
          </cell>
        </row>
        <row r="1138">
          <cell r="D1138" t="str">
            <v/>
          </cell>
          <cell r="F1138" t="str">
            <v/>
          </cell>
          <cell r="G1138" t="str">
            <v/>
          </cell>
          <cell r="H1138" t="str">
            <v/>
          </cell>
          <cell r="I1138" t="str">
            <v/>
          </cell>
          <cell r="J1138" t="str">
            <v/>
          </cell>
        </row>
        <row r="1139">
          <cell r="F1139" t="str">
            <v>CUSTO HORÁRIO DE MÃO DE OBRA - (B)</v>
          </cell>
          <cell r="J1139">
            <v>16.43</v>
          </cell>
        </row>
        <row r="1140">
          <cell r="F1140" t="str">
            <v>FERRAMENTAS</v>
          </cell>
          <cell r="H1140">
            <v>0.2051</v>
          </cell>
          <cell r="J1140">
            <v>3.36</v>
          </cell>
        </row>
        <row r="1141">
          <cell r="F1141" t="str">
            <v>CUSTO HORÁRIO TOTAL - (A + B)</v>
          </cell>
          <cell r="J1141">
            <v>25.93</v>
          </cell>
        </row>
        <row r="1142">
          <cell r="F1142" t="str">
            <v>CUSTO UNITÁRIO DE EXECUÇÃO - (D)</v>
          </cell>
          <cell r="J1142">
            <v>25.93</v>
          </cell>
        </row>
        <row r="1143">
          <cell r="C1143" t="str">
            <v>ÍTEM</v>
          </cell>
          <cell r="D1143" t="str">
            <v>M A T E R I A L</v>
          </cell>
          <cell r="E1143" t="str">
            <v>UNID</v>
          </cell>
          <cell r="F1143" t="str">
            <v>CONSUMO</v>
          </cell>
          <cell r="H1143" t="str">
            <v xml:space="preserve"> PREÇO UNITÁRIO</v>
          </cell>
          <cell r="J1143" t="str">
            <v>CUSTO UNITÁRIO</v>
          </cell>
        </row>
        <row r="1144">
          <cell r="C1144" t="str">
            <v>M320</v>
          </cell>
          <cell r="D1144" t="str">
            <v>Pregos de ferro 18x30</v>
          </cell>
          <cell r="E1144" t="str">
            <v>kg</v>
          </cell>
          <cell r="F1144">
            <v>0.1</v>
          </cell>
          <cell r="H1144">
            <v>4.12</v>
          </cell>
          <cell r="I1144" t="e">
            <v>#N/A</v>
          </cell>
          <cell r="J1144">
            <v>0.41</v>
          </cell>
        </row>
        <row r="1145">
          <cell r="C1145" t="str">
            <v>M406</v>
          </cell>
          <cell r="D1145" t="str">
            <v>Caibros de 7,5 cm x 7,5 cm</v>
          </cell>
          <cell r="E1145" t="str">
            <v>m</v>
          </cell>
          <cell r="F1145">
            <v>0.7</v>
          </cell>
          <cell r="H1145">
            <v>1.98</v>
          </cell>
          <cell r="J1145">
            <v>1.38</v>
          </cell>
        </row>
        <row r="1146">
          <cell r="C1146" t="str">
            <v>M410</v>
          </cell>
          <cell r="D1146" t="str">
            <v>Compensado resinado de 17 mm</v>
          </cell>
          <cell r="E1146" t="str">
            <v>m2</v>
          </cell>
          <cell r="F1146">
            <v>0.4</v>
          </cell>
          <cell r="H1146">
            <v>16.48</v>
          </cell>
          <cell r="J1146">
            <v>6.59</v>
          </cell>
        </row>
        <row r="1147">
          <cell r="C1147" t="str">
            <v>M413</v>
          </cell>
          <cell r="D1147" t="str">
            <v>Gastalho 10 x 2,5 cm</v>
          </cell>
          <cell r="E1147" t="str">
            <v>m</v>
          </cell>
          <cell r="F1147">
            <v>1.39</v>
          </cell>
          <cell r="H1147">
            <v>2</v>
          </cell>
          <cell r="J1147">
            <v>2.78</v>
          </cell>
        </row>
        <row r="1148">
          <cell r="C1148" t="str">
            <v>M621</v>
          </cell>
          <cell r="D1148" t="str">
            <v>Desmoldante</v>
          </cell>
          <cell r="E1148" t="str">
            <v>l</v>
          </cell>
          <cell r="F1148">
            <v>0.02</v>
          </cell>
          <cell r="H1148">
            <v>4.32</v>
          </cell>
          <cell r="J1148">
            <v>0.08</v>
          </cell>
        </row>
        <row r="1149">
          <cell r="F1149" t="str">
            <v>CUSTO TOTAL DE MATERIAL - (E)</v>
          </cell>
          <cell r="J1149">
            <v>11.24</v>
          </cell>
        </row>
        <row r="1150">
          <cell r="C1150" t="str">
            <v>CODIGO</v>
          </cell>
          <cell r="D1150" t="str">
            <v>ATIVIDADES AUXILIARES</v>
          </cell>
          <cell r="E1150" t="str">
            <v>UND</v>
          </cell>
          <cell r="F1150" t="str">
            <v>CONSUMO</v>
          </cell>
          <cell r="H1150" t="str">
            <v>CUSTO UNITÁRIO</v>
          </cell>
          <cell r="J1150" t="str">
            <v>CUSTO UNITÁRIO</v>
          </cell>
        </row>
        <row r="1151">
          <cell r="C1151" t="str">
            <v>1 A 00 301 00</v>
          </cell>
          <cell r="D1151" t="str">
            <v>Fornecimento de Aço CA-25</v>
          </cell>
          <cell r="E1151" t="str">
            <v>kg</v>
          </cell>
          <cell r="F1151">
            <v>0.35</v>
          </cell>
          <cell r="H1151">
            <v>2.79</v>
          </cell>
          <cell r="J1151">
            <v>0.97</v>
          </cell>
        </row>
        <row r="1152">
          <cell r="D1152" t="str">
            <v/>
          </cell>
          <cell r="H1152" t="str">
            <v/>
          </cell>
          <cell r="J1152" t="str">
            <v/>
          </cell>
        </row>
        <row r="1153">
          <cell r="D1153" t="str">
            <v/>
          </cell>
          <cell r="H1153" t="str">
            <v/>
          </cell>
          <cell r="J1153" t="str">
            <v/>
          </cell>
        </row>
        <row r="1154">
          <cell r="D1154" t="str">
            <v/>
          </cell>
          <cell r="H1154" t="str">
            <v/>
          </cell>
          <cell r="J1154" t="str">
            <v/>
          </cell>
        </row>
        <row r="1155">
          <cell r="D1155" t="str">
            <v/>
          </cell>
          <cell r="H1155" t="str">
            <v/>
          </cell>
          <cell r="J1155" t="str">
            <v/>
          </cell>
        </row>
        <row r="1156">
          <cell r="C1156" t="str">
            <v>OBSERVAÇÕES:</v>
          </cell>
          <cell r="F1156" t="str">
            <v>CUSTO UNITÁRIO DE TRANSPORTE - (F)</v>
          </cell>
          <cell r="J1156">
            <v>0.97</v>
          </cell>
        </row>
        <row r="1157">
          <cell r="F1157" t="str">
            <v>CUSTO UNITÁRIO DIRETO TOTAL</v>
          </cell>
          <cell r="J1157">
            <v>38.14</v>
          </cell>
        </row>
        <row r="1158">
          <cell r="F1158" t="str">
            <v xml:space="preserve">BONIFICAÇÃO </v>
          </cell>
          <cell r="H1158">
            <v>0</v>
          </cell>
          <cell r="J1158">
            <v>0</v>
          </cell>
        </row>
        <row r="1159">
          <cell r="F1159" t="str">
            <v>PREÇO UNITÁRIO  TOTAL</v>
          </cell>
          <cell r="J1159">
            <v>38.14</v>
          </cell>
        </row>
        <row r="1163">
          <cell r="A1163" t="str">
            <v>1 A 01 404 01</v>
          </cell>
          <cell r="C1163" t="str">
            <v>SERVIÇO:</v>
          </cell>
          <cell r="D1163" t="str">
            <v>Forma para tubulão</v>
          </cell>
          <cell r="F1163" t="str">
            <v>PRODUÇÃO DA EQUIPE - (C):</v>
          </cell>
          <cell r="J1163">
            <v>1</v>
          </cell>
          <cell r="K1163" t="str">
            <v>m²</v>
          </cell>
          <cell r="M1163">
            <v>25.83</v>
          </cell>
        </row>
        <row r="1164">
          <cell r="F1164" t="str">
            <v>UNITÁRIO</v>
          </cell>
          <cell r="H1164" t="str">
            <v>C. OPERACIONAL</v>
          </cell>
        </row>
        <row r="1165">
          <cell r="C1165" t="str">
            <v>ÍTEM</v>
          </cell>
          <cell r="D1165" t="str">
            <v>E Q U I P A M E N T O</v>
          </cell>
          <cell r="E1165" t="str">
            <v>QUANT.</v>
          </cell>
          <cell r="F1165" t="str">
            <v>PROD</v>
          </cell>
          <cell r="G1165" t="str">
            <v>IMPROD</v>
          </cell>
          <cell r="H1165" t="str">
            <v>PROD</v>
          </cell>
          <cell r="I1165" t="str">
            <v>IMPROD</v>
          </cell>
          <cell r="J1165" t="str">
            <v>CUSTO HORÁRIO</v>
          </cell>
        </row>
        <row r="1166">
          <cell r="C1166" t="str">
            <v>E509</v>
          </cell>
          <cell r="D1166" t="str">
            <v>Grupo Gerador : Heimer : GEHMI-40 - 32,0  KVA</v>
          </cell>
          <cell r="E1166">
            <v>0.18</v>
          </cell>
          <cell r="F1166">
            <v>1</v>
          </cell>
          <cell r="G1166">
            <v>0</v>
          </cell>
          <cell r="H1166">
            <v>32.17</v>
          </cell>
          <cell r="I1166">
            <v>17.27</v>
          </cell>
          <cell r="J1166">
            <v>5.79</v>
          </cell>
        </row>
        <row r="1167">
          <cell r="C1167" t="str">
            <v>E904</v>
          </cell>
          <cell r="D1167" t="str">
            <v>Máquina de Bancada - serra circular de 12" (4 kW)</v>
          </cell>
          <cell r="E1167">
            <v>0.18</v>
          </cell>
          <cell r="F1167">
            <v>1</v>
          </cell>
          <cell r="G1167">
            <v>0</v>
          </cell>
          <cell r="H1167">
            <v>1.97</v>
          </cell>
          <cell r="I1167">
            <v>0</v>
          </cell>
          <cell r="J1167">
            <v>0.35</v>
          </cell>
        </row>
        <row r="1168">
          <cell r="D1168" t="str">
            <v/>
          </cell>
          <cell r="G1168" t="str">
            <v/>
          </cell>
          <cell r="H1168" t="str">
            <v/>
          </cell>
          <cell r="I1168" t="str">
            <v/>
          </cell>
          <cell r="J1168" t="str">
            <v/>
          </cell>
        </row>
        <row r="1169">
          <cell r="D1169" t="str">
            <v/>
          </cell>
          <cell r="G1169" t="str">
            <v/>
          </cell>
          <cell r="H1169" t="str">
            <v/>
          </cell>
          <cell r="I1169" t="str">
            <v/>
          </cell>
          <cell r="J1169" t="str">
            <v/>
          </cell>
        </row>
        <row r="1170">
          <cell r="D1170" t="str">
            <v/>
          </cell>
          <cell r="G1170" t="str">
            <v/>
          </cell>
          <cell r="H1170" t="str">
            <v/>
          </cell>
          <cell r="I1170" t="str">
            <v/>
          </cell>
          <cell r="J1170" t="str">
            <v/>
          </cell>
        </row>
        <row r="1171">
          <cell r="D1171" t="str">
            <v/>
          </cell>
          <cell r="G1171" t="str">
            <v/>
          </cell>
          <cell r="H1171" t="str">
            <v/>
          </cell>
          <cell r="I1171" t="str">
            <v/>
          </cell>
          <cell r="J1171" t="str">
            <v/>
          </cell>
        </row>
        <row r="1172">
          <cell r="F1172" t="str">
            <v>CUSTO HORÁRIO DO EQUIPAMENTO - (A)</v>
          </cell>
          <cell r="J1172">
            <v>6.14</v>
          </cell>
        </row>
        <row r="1173">
          <cell r="C1173" t="str">
            <v>ÍTEM</v>
          </cell>
          <cell r="D1173" t="str">
            <v>M Ã O    D E   O B R A</v>
          </cell>
          <cell r="E1173" t="str">
            <v>QUANT.</v>
          </cell>
          <cell r="F1173" t="str">
            <v>SALÁRIO HORA</v>
          </cell>
          <cell r="J1173" t="str">
            <v>CUSTO HORÁRIO</v>
          </cell>
        </row>
        <row r="1174">
          <cell r="C1174" t="str">
            <v>T603</v>
          </cell>
          <cell r="D1174" t="str">
            <v>Carpinteiro</v>
          </cell>
          <cell r="E1174">
            <v>0.49</v>
          </cell>
          <cell r="F1174">
            <v>9.44</v>
          </cell>
          <cell r="G1174" t="e">
            <v>#N/A</v>
          </cell>
          <cell r="H1174" t="e">
            <v>#N/A</v>
          </cell>
          <cell r="I1174" t="e">
            <v>#N/A</v>
          </cell>
          <cell r="J1174">
            <v>4.62</v>
          </cell>
        </row>
        <row r="1175">
          <cell r="C1175" t="str">
            <v>T701</v>
          </cell>
          <cell r="D1175" t="str">
            <v>Servente</v>
          </cell>
          <cell r="E1175">
            <v>0.49</v>
          </cell>
          <cell r="F1175">
            <v>6.99</v>
          </cell>
          <cell r="G1175" t="e">
            <v>#N/A</v>
          </cell>
          <cell r="H1175" t="e">
            <v>#N/A</v>
          </cell>
          <cell r="I1175" t="e">
            <v>#N/A</v>
          </cell>
          <cell r="J1175">
            <v>3.42</v>
          </cell>
        </row>
        <row r="1176">
          <cell r="D1176" t="str">
            <v/>
          </cell>
          <cell r="F1176" t="str">
            <v/>
          </cell>
          <cell r="G1176" t="str">
            <v/>
          </cell>
          <cell r="H1176" t="str">
            <v/>
          </cell>
          <cell r="I1176" t="str">
            <v/>
          </cell>
          <cell r="J1176" t="str">
            <v/>
          </cell>
        </row>
        <row r="1177">
          <cell r="D1177" t="str">
            <v/>
          </cell>
          <cell r="F1177" t="str">
            <v/>
          </cell>
          <cell r="G1177" t="str">
            <v/>
          </cell>
          <cell r="H1177" t="str">
            <v/>
          </cell>
          <cell r="I1177" t="str">
            <v/>
          </cell>
          <cell r="J1177" t="str">
            <v/>
          </cell>
        </row>
        <row r="1178">
          <cell r="D1178" t="str">
            <v/>
          </cell>
          <cell r="F1178" t="str">
            <v/>
          </cell>
          <cell r="G1178" t="str">
            <v/>
          </cell>
          <cell r="H1178" t="str">
            <v/>
          </cell>
          <cell r="I1178" t="str">
            <v/>
          </cell>
          <cell r="J1178" t="str">
            <v/>
          </cell>
        </row>
        <row r="1179">
          <cell r="F1179" t="str">
            <v>CUSTO HORÁRIO DE MÃO DE OBRA - (B)</v>
          </cell>
          <cell r="J1179">
            <v>8.0399999999999991</v>
          </cell>
        </row>
        <row r="1180">
          <cell r="F1180" t="str">
            <v>FERRAMENTAS</v>
          </cell>
          <cell r="H1180">
            <v>0.2051</v>
          </cell>
          <cell r="J1180">
            <v>1.64</v>
          </cell>
        </row>
        <row r="1181">
          <cell r="F1181" t="str">
            <v>CUSTO HORÁRIO TOTAL - (A + B)</v>
          </cell>
          <cell r="J1181">
            <v>15.82</v>
          </cell>
        </row>
        <row r="1182">
          <cell r="F1182" t="str">
            <v>CUSTO UNITÁRIO DE EXECUÇÃO - (D)</v>
          </cell>
          <cell r="J1182">
            <v>15.82</v>
          </cell>
        </row>
        <row r="1183">
          <cell r="C1183" t="str">
            <v>ÍTEM</v>
          </cell>
          <cell r="D1183" t="str">
            <v>M A T E R I A L</v>
          </cell>
          <cell r="E1183" t="str">
            <v>UNID</v>
          </cell>
          <cell r="F1183" t="str">
            <v>CONSUMO</v>
          </cell>
          <cell r="H1183" t="str">
            <v xml:space="preserve"> PREÇO UNITÁRIO</v>
          </cell>
          <cell r="J1183" t="str">
            <v>CUSTO UNITÁRIO</v>
          </cell>
        </row>
        <row r="1184">
          <cell r="C1184" t="str">
            <v>M320</v>
          </cell>
          <cell r="D1184" t="str">
            <v>Pregos de ferro 18x30</v>
          </cell>
          <cell r="E1184" t="str">
            <v>kg</v>
          </cell>
          <cell r="F1184">
            <v>0.2</v>
          </cell>
          <cell r="H1184">
            <v>4.12</v>
          </cell>
          <cell r="I1184" t="e">
            <v>#N/A</v>
          </cell>
          <cell r="J1184">
            <v>0.82</v>
          </cell>
        </row>
        <row r="1185">
          <cell r="C1185" t="str">
            <v>M332</v>
          </cell>
          <cell r="D1185" t="str">
            <v>Parafuso 1/2" x 3" com porca,</v>
          </cell>
          <cell r="E1185" t="str">
            <v>kg</v>
          </cell>
          <cell r="F1185">
            <v>0.2</v>
          </cell>
          <cell r="H1185">
            <v>16.8</v>
          </cell>
          <cell r="J1185">
            <v>3.36</v>
          </cell>
        </row>
        <row r="1186">
          <cell r="C1186" t="str">
            <v>M345</v>
          </cell>
          <cell r="D1186" t="str">
            <v>Chapa de aço n. 28 fina galvanizada</v>
          </cell>
          <cell r="E1186" t="str">
            <v>kg</v>
          </cell>
          <cell r="F1186">
            <v>0.22</v>
          </cell>
          <cell r="H1186">
            <v>4.03</v>
          </cell>
          <cell r="J1186">
            <v>0.88</v>
          </cell>
        </row>
        <row r="1187">
          <cell r="C1187" t="str">
            <v>M408</v>
          </cell>
          <cell r="D1187" t="str">
            <v>Tábua de 5ª 2,5 cm x 30,0 cm</v>
          </cell>
          <cell r="E1187" t="str">
            <v>m</v>
          </cell>
          <cell r="F1187">
            <v>0.54</v>
          </cell>
          <cell r="H1187">
            <v>2.7</v>
          </cell>
          <cell r="J1187">
            <v>1.45</v>
          </cell>
        </row>
        <row r="1188">
          <cell r="C1188" t="str">
            <v>M413</v>
          </cell>
          <cell r="D1188" t="str">
            <v>Gastalho 10 x 2,5 cm</v>
          </cell>
          <cell r="E1188" t="str">
            <v>m</v>
          </cell>
          <cell r="F1188">
            <v>1.75</v>
          </cell>
          <cell r="H1188">
            <v>2</v>
          </cell>
          <cell r="J1188">
            <v>3.5</v>
          </cell>
        </row>
        <row r="1189">
          <cell r="F1189" t="str">
            <v>CUSTO TOTAL DE MATERIAL - (E)</v>
          </cell>
          <cell r="J1189">
            <v>10.01</v>
          </cell>
        </row>
        <row r="1190">
          <cell r="C1190" t="str">
            <v>CODIGO</v>
          </cell>
          <cell r="D1190" t="str">
            <v>ATIVIDADES AUXILIARES</v>
          </cell>
          <cell r="E1190" t="str">
            <v>UND</v>
          </cell>
          <cell r="F1190" t="str">
            <v>CONSUMO</v>
          </cell>
          <cell r="H1190" t="str">
            <v>CUSTO UNITÁRIO</v>
          </cell>
          <cell r="J1190" t="str">
            <v>CUSTO UNITÁRIO</v>
          </cell>
        </row>
        <row r="1191">
          <cell r="D1191" t="str">
            <v/>
          </cell>
          <cell r="E1191" t="str">
            <v/>
          </cell>
          <cell r="H1191" t="str">
            <v/>
          </cell>
          <cell r="J1191" t="str">
            <v/>
          </cell>
        </row>
        <row r="1192">
          <cell r="D1192" t="str">
            <v/>
          </cell>
          <cell r="H1192" t="str">
            <v/>
          </cell>
          <cell r="J1192" t="str">
            <v/>
          </cell>
        </row>
        <row r="1193">
          <cell r="D1193" t="str">
            <v/>
          </cell>
          <cell r="H1193" t="str">
            <v/>
          </cell>
          <cell r="J1193" t="str">
            <v/>
          </cell>
        </row>
        <row r="1194">
          <cell r="D1194" t="str">
            <v/>
          </cell>
          <cell r="H1194" t="str">
            <v/>
          </cell>
          <cell r="J1194" t="str">
            <v/>
          </cell>
        </row>
        <row r="1195">
          <cell r="D1195" t="str">
            <v/>
          </cell>
          <cell r="H1195" t="str">
            <v/>
          </cell>
          <cell r="J1195" t="str">
            <v/>
          </cell>
        </row>
        <row r="1196">
          <cell r="C1196" t="str">
            <v>OBSERVAÇÕES:</v>
          </cell>
          <cell r="F1196" t="str">
            <v>CUSTO UNITÁRIO DE TRANSPORTE - (F)</v>
          </cell>
          <cell r="J1196">
            <v>0</v>
          </cell>
        </row>
        <row r="1197">
          <cell r="F1197" t="str">
            <v>CUSTO UNITÁRIO DIRETO TOTAL</v>
          </cell>
          <cell r="J1197">
            <v>25.83</v>
          </cell>
        </row>
        <row r="1198">
          <cell r="F1198" t="str">
            <v xml:space="preserve">BONIFICAÇÃO </v>
          </cell>
          <cell r="H1198">
            <v>0</v>
          </cell>
          <cell r="J1198">
            <v>0</v>
          </cell>
        </row>
        <row r="1199">
          <cell r="F1199" t="str">
            <v>PREÇO UNITÁRIO  TOTAL</v>
          </cell>
          <cell r="J1199">
            <v>25.83</v>
          </cell>
        </row>
        <row r="1204">
          <cell r="A1204" t="str">
            <v>1 A 01 407 01</v>
          </cell>
          <cell r="C1204" t="str">
            <v>SERVIÇO:</v>
          </cell>
          <cell r="D1204" t="str">
            <v>Confecção e lançam. de concreto magro em betoneira</v>
          </cell>
          <cell r="F1204" t="str">
            <v>PRODUÇÃO DA EQUIPE - (C):</v>
          </cell>
          <cell r="J1204">
            <v>2.5</v>
          </cell>
          <cell r="K1204" t="str">
            <v>m³</v>
          </cell>
          <cell r="M1204">
            <v>159.6</v>
          </cell>
        </row>
        <row r="1205">
          <cell r="F1205" t="str">
            <v>UNITÁRIO</v>
          </cell>
          <cell r="H1205" t="str">
            <v>C. OPERACIONAL</v>
          </cell>
        </row>
        <row r="1206">
          <cell r="C1206" t="str">
            <v>ÍTEM</v>
          </cell>
          <cell r="D1206" t="str">
            <v>E Q U I P A M E N T O</v>
          </cell>
          <cell r="E1206" t="str">
            <v>QUANT.</v>
          </cell>
          <cell r="F1206" t="str">
            <v>PROD</v>
          </cell>
          <cell r="G1206" t="str">
            <v>IMPROD</v>
          </cell>
          <cell r="H1206" t="str">
            <v>PROD</v>
          </cell>
          <cell r="I1206" t="str">
            <v>IMPROD</v>
          </cell>
          <cell r="J1206" t="str">
            <v>CUSTO HORÁRIO</v>
          </cell>
        </row>
        <row r="1207">
          <cell r="C1207" t="str">
            <v>E302</v>
          </cell>
          <cell r="D1207" t="str">
            <v xml:space="preserve">Betoneira : Penedo :  -  320 l </v>
          </cell>
          <cell r="E1207">
            <v>1</v>
          </cell>
          <cell r="F1207">
            <v>1</v>
          </cell>
          <cell r="G1207">
            <v>0</v>
          </cell>
          <cell r="H1207">
            <v>19.38</v>
          </cell>
          <cell r="I1207">
            <v>17.27</v>
          </cell>
          <cell r="J1207">
            <v>19.38</v>
          </cell>
        </row>
        <row r="1208">
          <cell r="C1208" t="str">
            <v>E304</v>
          </cell>
          <cell r="D1208" t="str">
            <v xml:space="preserve">Transportador Manual : AJS :  -  carrinho de mão 80 l </v>
          </cell>
          <cell r="E1208">
            <v>3</v>
          </cell>
          <cell r="F1208">
            <v>0.69</v>
          </cell>
          <cell r="G1208">
            <v>0.31</v>
          </cell>
          <cell r="H1208">
            <v>0.13</v>
          </cell>
          <cell r="I1208">
            <v>0</v>
          </cell>
          <cell r="J1208">
            <v>0.26</v>
          </cell>
        </row>
        <row r="1209">
          <cell r="C1209" t="str">
            <v>E306</v>
          </cell>
          <cell r="D1209" t="str">
            <v xml:space="preserve">(*) Vibrador de Concreto : Diversos : VIP45/MT2 -  de imersão </v>
          </cell>
          <cell r="E1209">
            <v>2</v>
          </cell>
          <cell r="F1209">
            <v>1</v>
          </cell>
          <cell r="G1209">
            <v>0</v>
          </cell>
          <cell r="H1209">
            <v>16.45</v>
          </cell>
          <cell r="I1209">
            <v>15.35</v>
          </cell>
          <cell r="J1209">
            <v>32.9</v>
          </cell>
        </row>
        <row r="1210">
          <cell r="C1210" t="str">
            <v>E509</v>
          </cell>
          <cell r="D1210" t="str">
            <v>Grupo Gerador : Heimer : GEHMI-40 - 32,0  KVA</v>
          </cell>
          <cell r="E1210">
            <v>1</v>
          </cell>
          <cell r="F1210">
            <v>1</v>
          </cell>
          <cell r="G1210">
            <v>0</v>
          </cell>
          <cell r="H1210">
            <v>32.17</v>
          </cell>
          <cell r="I1210">
            <v>17.27</v>
          </cell>
          <cell r="J1210">
            <v>32.17</v>
          </cell>
        </row>
        <row r="1211">
          <cell r="D1211" t="str">
            <v/>
          </cell>
          <cell r="G1211" t="str">
            <v/>
          </cell>
          <cell r="H1211" t="str">
            <v/>
          </cell>
          <cell r="I1211" t="str">
            <v/>
          </cell>
          <cell r="J1211" t="str">
            <v/>
          </cell>
        </row>
        <row r="1212">
          <cell r="D1212" t="str">
            <v/>
          </cell>
          <cell r="G1212" t="str">
            <v/>
          </cell>
          <cell r="H1212" t="str">
            <v/>
          </cell>
          <cell r="I1212" t="str">
            <v/>
          </cell>
          <cell r="J1212" t="str">
            <v/>
          </cell>
        </row>
        <row r="1213">
          <cell r="D1213" t="str">
            <v/>
          </cell>
          <cell r="G1213" t="str">
            <v/>
          </cell>
          <cell r="H1213" t="str">
            <v/>
          </cell>
          <cell r="I1213" t="str">
            <v/>
          </cell>
          <cell r="J1213" t="str">
            <v/>
          </cell>
        </row>
        <row r="1214">
          <cell r="F1214" t="str">
            <v>CUSTO HORÁRIO DO EQUIPAMENTO - (A)</v>
          </cell>
          <cell r="J1214">
            <v>84.71</v>
          </cell>
        </row>
        <row r="1215">
          <cell r="C1215" t="str">
            <v>ÍTEM</v>
          </cell>
          <cell r="D1215" t="str">
            <v>M Ã O    D E   O B R A</v>
          </cell>
          <cell r="E1215" t="str">
            <v>QUANT.</v>
          </cell>
          <cell r="F1215" t="str">
            <v>SALÁRIO HORA</v>
          </cell>
          <cell r="J1215" t="str">
            <v>CUSTO HORÁRIO</v>
          </cell>
        </row>
        <row r="1216">
          <cell r="C1216" t="str">
            <v>T604</v>
          </cell>
          <cell r="D1216" t="str">
            <v>Pedreiro</v>
          </cell>
          <cell r="E1216">
            <v>1</v>
          </cell>
          <cell r="F1216">
            <v>9.44</v>
          </cell>
          <cell r="G1216" t="e">
            <v>#N/A</v>
          </cell>
          <cell r="H1216" t="e">
            <v>#N/A</v>
          </cell>
          <cell r="I1216" t="e">
            <v>#N/A</v>
          </cell>
          <cell r="J1216">
            <v>9.44</v>
          </cell>
        </row>
        <row r="1217">
          <cell r="C1217" t="str">
            <v>T701</v>
          </cell>
          <cell r="D1217" t="str">
            <v>Servente</v>
          </cell>
          <cell r="E1217">
            <v>14</v>
          </cell>
          <cell r="F1217">
            <v>6.99</v>
          </cell>
          <cell r="G1217" t="e">
            <v>#N/A</v>
          </cell>
          <cell r="H1217" t="e">
            <v>#N/A</v>
          </cell>
          <cell r="I1217" t="e">
            <v>#N/A</v>
          </cell>
          <cell r="J1217">
            <v>97.86</v>
          </cell>
        </row>
        <row r="1218">
          <cell r="D1218" t="str">
            <v/>
          </cell>
          <cell r="F1218" t="str">
            <v/>
          </cell>
          <cell r="G1218" t="str">
            <v/>
          </cell>
          <cell r="H1218" t="str">
            <v/>
          </cell>
          <cell r="I1218" t="str">
            <v/>
          </cell>
          <cell r="J1218" t="str">
            <v/>
          </cell>
        </row>
        <row r="1219">
          <cell r="D1219" t="str">
            <v/>
          </cell>
          <cell r="F1219" t="str">
            <v/>
          </cell>
          <cell r="G1219" t="str">
            <v/>
          </cell>
          <cell r="H1219" t="str">
            <v/>
          </cell>
          <cell r="I1219" t="str">
            <v/>
          </cell>
          <cell r="J1219" t="str">
            <v/>
          </cell>
        </row>
        <row r="1220">
          <cell r="D1220" t="str">
            <v/>
          </cell>
          <cell r="F1220" t="str">
            <v/>
          </cell>
          <cell r="G1220" t="str">
            <v/>
          </cell>
          <cell r="H1220" t="str">
            <v/>
          </cell>
          <cell r="I1220" t="str">
            <v/>
          </cell>
          <cell r="J1220" t="str">
            <v/>
          </cell>
        </row>
        <row r="1221">
          <cell r="F1221" t="str">
            <v>CUSTO HORÁRIO DE MÃO DE OBRA - (B)</v>
          </cell>
          <cell r="J1221">
            <v>107.3</v>
          </cell>
        </row>
        <row r="1222">
          <cell r="F1222" t="str">
            <v>FERRAMENTAS</v>
          </cell>
          <cell r="H1222">
            <v>0.2051</v>
          </cell>
          <cell r="J1222">
            <v>22</v>
          </cell>
        </row>
        <row r="1223">
          <cell r="F1223" t="str">
            <v>CUSTO HORÁRIO TOTAL - (A + B)</v>
          </cell>
          <cell r="J1223">
            <v>214.01</v>
          </cell>
        </row>
        <row r="1224">
          <cell r="F1224" t="str">
            <v>CUSTO UNITÁRIO DE EXECUÇÃO - (D)</v>
          </cell>
          <cell r="J1224">
            <v>85.6</v>
          </cell>
        </row>
        <row r="1225">
          <cell r="C1225" t="str">
            <v>ÍTEM</v>
          </cell>
          <cell r="D1225" t="str">
            <v>M A T E R I A L</v>
          </cell>
          <cell r="E1225" t="str">
            <v>UNID</v>
          </cell>
          <cell r="F1225" t="str">
            <v>CONSUMO</v>
          </cell>
          <cell r="H1225" t="str">
            <v xml:space="preserve"> PREÇO UNITÁRIO</v>
          </cell>
          <cell r="J1225" t="str">
            <v>CUSTO UNITÁRIO</v>
          </cell>
        </row>
        <row r="1226">
          <cell r="C1226" t="str">
            <v>M202</v>
          </cell>
          <cell r="D1226" t="str">
            <v>Cimento portland CP II-32</v>
          </cell>
          <cell r="E1226" t="str">
            <v>kg</v>
          </cell>
          <cell r="F1226">
            <v>200</v>
          </cell>
          <cell r="H1226">
            <v>0.37</v>
          </cell>
          <cell r="I1226" t="e">
            <v>#N/A</v>
          </cell>
          <cell r="J1226">
            <v>74</v>
          </cell>
        </row>
        <row r="1227">
          <cell r="D1227" t="str">
            <v/>
          </cell>
          <cell r="E1227" t="str">
            <v/>
          </cell>
          <cell r="J1227">
            <v>0</v>
          </cell>
        </row>
        <row r="1228">
          <cell r="D1228" t="str">
            <v/>
          </cell>
          <cell r="E1228" t="str">
            <v/>
          </cell>
          <cell r="J1228">
            <v>0</v>
          </cell>
        </row>
        <row r="1229">
          <cell r="D1229" t="str">
            <v/>
          </cell>
          <cell r="E1229" t="str">
            <v/>
          </cell>
          <cell r="J1229">
            <v>0</v>
          </cell>
        </row>
        <row r="1230">
          <cell r="D1230" t="str">
            <v/>
          </cell>
          <cell r="E1230" t="str">
            <v/>
          </cell>
          <cell r="J1230">
            <v>0</v>
          </cell>
        </row>
        <row r="1231">
          <cell r="F1231" t="str">
            <v>CUSTO TOTAL DE MATERIAL - (E)</v>
          </cell>
          <cell r="J1231">
            <v>74</v>
          </cell>
        </row>
        <row r="1232">
          <cell r="C1232" t="str">
            <v>CODIGO</v>
          </cell>
          <cell r="D1232" t="str">
            <v>ATIVIDADES AUXILIARES</v>
          </cell>
          <cell r="E1232" t="str">
            <v>UND</v>
          </cell>
          <cell r="F1232" t="str">
            <v>CONSUMO</v>
          </cell>
          <cell r="H1232" t="str">
            <v>CUSTO UNITÁRIO</v>
          </cell>
          <cell r="J1232" t="str">
            <v>CUSTO UNITÁRIO</v>
          </cell>
        </row>
        <row r="1233">
          <cell r="D1233" t="str">
            <v/>
          </cell>
          <cell r="E1233" t="str">
            <v/>
          </cell>
          <cell r="H1233" t="str">
            <v/>
          </cell>
          <cell r="J1233" t="str">
            <v/>
          </cell>
        </row>
        <row r="1234">
          <cell r="D1234" t="str">
            <v/>
          </cell>
          <cell r="H1234" t="str">
            <v/>
          </cell>
          <cell r="J1234" t="str">
            <v/>
          </cell>
        </row>
        <row r="1235">
          <cell r="D1235" t="str">
            <v/>
          </cell>
          <cell r="H1235" t="str">
            <v/>
          </cell>
          <cell r="J1235" t="str">
            <v/>
          </cell>
        </row>
        <row r="1236">
          <cell r="D1236" t="str">
            <v/>
          </cell>
          <cell r="H1236" t="str">
            <v/>
          </cell>
          <cell r="J1236" t="str">
            <v/>
          </cell>
        </row>
        <row r="1237">
          <cell r="D1237" t="str">
            <v/>
          </cell>
          <cell r="H1237" t="str">
            <v/>
          </cell>
          <cell r="J1237" t="str">
            <v/>
          </cell>
        </row>
        <row r="1238">
          <cell r="C1238" t="str">
            <v>OBSERVAÇÕES:</v>
          </cell>
          <cell r="F1238" t="str">
            <v>CUSTO ATIVIDADES AUXILIARES - (F)</v>
          </cell>
          <cell r="J1238">
            <v>0</v>
          </cell>
        </row>
        <row r="1239">
          <cell r="F1239" t="str">
            <v>CUSTO UNITÁRIO DIRETO TOTAL</v>
          </cell>
          <cell r="J1239">
            <v>159.6</v>
          </cell>
        </row>
        <row r="1240">
          <cell r="F1240" t="str">
            <v xml:space="preserve">BONIFICAÇÃO </v>
          </cell>
          <cell r="H1240">
            <v>0</v>
          </cell>
          <cell r="J1240">
            <v>0</v>
          </cell>
        </row>
        <row r="1241">
          <cell r="F1241" t="str">
            <v>PREÇO UNITÁRIO  TOTAL</v>
          </cell>
          <cell r="J1241">
            <v>159.6</v>
          </cell>
        </row>
        <row r="1245">
          <cell r="A1245" t="str">
            <v>1 A 01 407 52</v>
          </cell>
          <cell r="C1245" t="str">
            <v>SERVIÇO:</v>
          </cell>
          <cell r="D1245" t="str">
            <v xml:space="preserve">Concreto estrutural fck=30 MPa-controle razoável uso geral confecção e lanç. AC/BC </v>
          </cell>
          <cell r="F1245" t="str">
            <v>PRODUÇÃO DA EQUIPE - (C):</v>
          </cell>
          <cell r="J1245">
            <v>1.5</v>
          </cell>
          <cell r="K1245" t="str">
            <v>m³</v>
          </cell>
          <cell r="M1245">
            <v>437.18</v>
          </cell>
        </row>
        <row r="1246">
          <cell r="F1246" t="str">
            <v>UNITÁRIO</v>
          </cell>
          <cell r="H1246" t="str">
            <v>C. OPERACIONAL</v>
          </cell>
        </row>
        <row r="1247">
          <cell r="C1247" t="str">
            <v>ÍTEM</v>
          </cell>
          <cell r="D1247" t="str">
            <v>E Q U I P A M E N T O</v>
          </cell>
          <cell r="E1247" t="str">
            <v>QUANT.</v>
          </cell>
          <cell r="F1247" t="str">
            <v>PROD</v>
          </cell>
          <cell r="G1247" t="str">
            <v>IMPROD</v>
          </cell>
          <cell r="H1247" t="str">
            <v>PROD</v>
          </cell>
          <cell r="I1247" t="str">
            <v>IMPROD</v>
          </cell>
          <cell r="J1247" t="str">
            <v>CUSTO HORÁRIO</v>
          </cell>
        </row>
        <row r="1248">
          <cell r="C1248" t="str">
            <v>E404</v>
          </cell>
          <cell r="D1248" t="str">
            <v>(*) Caminhão Basculante : Mercedes Benz : 2423K -  10 m3 - 15 t</v>
          </cell>
          <cell r="E1248">
            <v>0.02</v>
          </cell>
          <cell r="F1248">
            <v>1</v>
          </cell>
          <cell r="G1248">
            <v>0</v>
          </cell>
          <cell r="H1248">
            <v>121.69</v>
          </cell>
          <cell r="I1248">
            <v>20.47</v>
          </cell>
          <cell r="J1248">
            <v>2.4300000000000002</v>
          </cell>
        </row>
        <row r="1249">
          <cell r="C1249" t="str">
            <v>E402</v>
          </cell>
          <cell r="D1249" t="str">
            <v>(*) Caminhão Carroceria : Mercedes Benz : 2423K -  de madeira 15 t</v>
          </cell>
          <cell r="E1249">
            <v>0.09</v>
          </cell>
          <cell r="F1249">
            <v>1</v>
          </cell>
          <cell r="G1249">
            <v>0</v>
          </cell>
          <cell r="H1249">
            <v>117.18</v>
          </cell>
          <cell r="I1249">
            <v>20.47</v>
          </cell>
          <cell r="J1249">
            <v>10.54</v>
          </cell>
        </row>
        <row r="1250">
          <cell r="C1250" t="str">
            <v>E306</v>
          </cell>
          <cell r="D1250" t="str">
            <v xml:space="preserve">(*) Vibrador de Concreto : Diversos : VIP45/MT2 -  de imersão </v>
          </cell>
          <cell r="E1250">
            <v>2</v>
          </cell>
          <cell r="F1250">
            <v>1</v>
          </cell>
          <cell r="G1250">
            <v>0</v>
          </cell>
          <cell r="H1250">
            <v>16.45</v>
          </cell>
          <cell r="I1250">
            <v>15.35</v>
          </cell>
          <cell r="J1250">
            <v>32.9</v>
          </cell>
        </row>
        <row r="1251">
          <cell r="C1251" t="str">
            <v>E302</v>
          </cell>
          <cell r="D1251" t="str">
            <v xml:space="preserve">Betoneira : Penedo :  -  320 l </v>
          </cell>
          <cell r="E1251">
            <v>1</v>
          </cell>
          <cell r="F1251">
            <v>1</v>
          </cell>
          <cell r="G1251">
            <v>0</v>
          </cell>
          <cell r="H1251">
            <v>19.38</v>
          </cell>
          <cell r="I1251">
            <v>17.27</v>
          </cell>
          <cell r="J1251">
            <v>19.38</v>
          </cell>
        </row>
        <row r="1252">
          <cell r="C1252" t="str">
            <v>E509</v>
          </cell>
          <cell r="D1252" t="str">
            <v>Grupo Gerador : Heimer : GEHMI-40 - 32,0  KVA</v>
          </cell>
          <cell r="E1252">
            <v>1</v>
          </cell>
          <cell r="F1252">
            <v>1</v>
          </cell>
          <cell r="G1252">
            <v>0</v>
          </cell>
          <cell r="H1252">
            <v>32.17</v>
          </cell>
          <cell r="I1252">
            <v>17.27</v>
          </cell>
          <cell r="J1252">
            <v>32.17</v>
          </cell>
        </row>
        <row r="1253">
          <cell r="C1253" t="str">
            <v>E304</v>
          </cell>
          <cell r="D1253" t="str">
            <v xml:space="preserve">Transportador Manual : AJS :  -  carrinho de mão 80 l </v>
          </cell>
          <cell r="E1253">
            <v>3</v>
          </cell>
          <cell r="F1253">
            <v>0.69</v>
          </cell>
          <cell r="G1253">
            <v>0.31</v>
          </cell>
          <cell r="H1253">
            <v>0.13</v>
          </cell>
          <cell r="I1253">
            <v>0</v>
          </cell>
          <cell r="J1253">
            <v>0.26</v>
          </cell>
        </row>
        <row r="1254">
          <cell r="F1254" t="str">
            <v>CUSTO HORÁRIO DO EQUIPAMENTO - (A)</v>
          </cell>
          <cell r="J1254">
            <v>97.68</v>
          </cell>
        </row>
        <row r="1255">
          <cell r="C1255" t="str">
            <v>ÍTEM</v>
          </cell>
          <cell r="D1255" t="str">
            <v>M Ã O    D E   O B R A</v>
          </cell>
          <cell r="E1255" t="str">
            <v>QUANT.</v>
          </cell>
          <cell r="F1255" t="str">
            <v>SALÁRIO HORA</v>
          </cell>
          <cell r="J1255" t="str">
            <v>CUSTO HORÁRIO</v>
          </cell>
        </row>
        <row r="1256">
          <cell r="C1256" t="str">
            <v>T604</v>
          </cell>
          <cell r="D1256" t="str">
            <v>Pedreiro</v>
          </cell>
          <cell r="E1256">
            <v>1</v>
          </cell>
          <cell r="F1256">
            <v>9.44</v>
          </cell>
          <cell r="G1256" t="e">
            <v>#N/A</v>
          </cell>
          <cell r="H1256" t="e">
            <v>#N/A</v>
          </cell>
          <cell r="I1256" t="e">
            <v>#N/A</v>
          </cell>
          <cell r="J1256">
            <v>9.44</v>
          </cell>
        </row>
        <row r="1257">
          <cell r="C1257" t="str">
            <v>T701</v>
          </cell>
          <cell r="D1257" t="str">
            <v>Servente</v>
          </cell>
          <cell r="E1257">
            <v>14</v>
          </cell>
          <cell r="F1257">
            <v>6.99</v>
          </cell>
          <cell r="G1257" t="e">
            <v>#N/A</v>
          </cell>
          <cell r="H1257" t="e">
            <v>#N/A</v>
          </cell>
          <cell r="I1257" t="e">
            <v>#N/A</v>
          </cell>
          <cell r="J1257">
            <v>97.86</v>
          </cell>
        </row>
        <row r="1258">
          <cell r="D1258" t="str">
            <v/>
          </cell>
          <cell r="F1258" t="str">
            <v/>
          </cell>
          <cell r="G1258" t="str">
            <v/>
          </cell>
          <cell r="H1258" t="str">
            <v/>
          </cell>
          <cell r="I1258" t="str">
            <v/>
          </cell>
          <cell r="J1258" t="str">
            <v/>
          </cell>
        </row>
        <row r="1259">
          <cell r="D1259" t="str">
            <v/>
          </cell>
          <cell r="F1259" t="str">
            <v/>
          </cell>
          <cell r="G1259" t="str">
            <v/>
          </cell>
          <cell r="H1259" t="str">
            <v/>
          </cell>
          <cell r="I1259" t="str">
            <v/>
          </cell>
          <cell r="J1259" t="str">
            <v/>
          </cell>
        </row>
        <row r="1260">
          <cell r="D1260" t="str">
            <v/>
          </cell>
          <cell r="F1260" t="str">
            <v/>
          </cell>
          <cell r="G1260" t="str">
            <v/>
          </cell>
          <cell r="H1260" t="str">
            <v/>
          </cell>
          <cell r="I1260" t="str">
            <v/>
          </cell>
          <cell r="J1260" t="str">
            <v/>
          </cell>
        </row>
        <row r="1261">
          <cell r="F1261" t="str">
            <v>CUSTO HORÁRIO DE MÃO DE OBRA - (B)</v>
          </cell>
          <cell r="J1261">
            <v>107.3</v>
          </cell>
        </row>
        <row r="1262">
          <cell r="F1262" t="str">
            <v>FERRAMENTAS</v>
          </cell>
          <cell r="H1262">
            <v>0.05</v>
          </cell>
          <cell r="J1262">
            <v>5.36</v>
          </cell>
        </row>
        <row r="1263">
          <cell r="F1263" t="str">
            <v>CUSTO HORÁRIO TOTAL - (A + B)</v>
          </cell>
          <cell r="J1263">
            <v>210.34</v>
          </cell>
        </row>
        <row r="1264">
          <cell r="F1264" t="str">
            <v>CUSTO UNITÁRIO DE EXECUÇÃO - (D)</v>
          </cell>
          <cell r="J1264">
            <v>140.22</v>
          </cell>
        </row>
        <row r="1265">
          <cell r="C1265" t="str">
            <v>ÍTEM</v>
          </cell>
          <cell r="D1265" t="str">
            <v>M A T E R I A L</v>
          </cell>
          <cell r="E1265" t="str">
            <v>UNID</v>
          </cell>
          <cell r="F1265" t="str">
            <v>CONSUMO</v>
          </cell>
          <cell r="H1265" t="str">
            <v xml:space="preserve"> PREÇO UNITÁRIO</v>
          </cell>
          <cell r="J1265" t="str">
            <v>CUSTO UNITÁRIO</v>
          </cell>
        </row>
        <row r="1266">
          <cell r="C1266">
            <v>10322</v>
          </cell>
          <cell r="D1266" t="str">
            <v xml:space="preserve">Areia comercial  DMT ate 50 km </v>
          </cell>
          <cell r="E1266" t="str">
            <v>m³</v>
          </cell>
          <cell r="F1266">
            <v>0.51600000000000001</v>
          </cell>
          <cell r="H1266">
            <v>52.5</v>
          </cell>
          <cell r="I1266" t="str">
            <v/>
          </cell>
          <cell r="J1266">
            <v>27.09</v>
          </cell>
        </row>
        <row r="1267">
          <cell r="C1267">
            <v>10323</v>
          </cell>
          <cell r="D1267" t="str">
            <v>Brita Comercial DMT até 50 km</v>
          </cell>
          <cell r="E1267" t="str">
            <v>m³</v>
          </cell>
          <cell r="F1267">
            <v>0.74</v>
          </cell>
          <cell r="H1267">
            <v>72.8</v>
          </cell>
          <cell r="I1267" t="str">
            <v/>
          </cell>
          <cell r="J1267">
            <v>53.87</v>
          </cell>
        </row>
        <row r="1268">
          <cell r="C1268" t="str">
            <v>M202</v>
          </cell>
          <cell r="D1268" t="str">
            <v>Cimento portland CP II-32</v>
          </cell>
          <cell r="E1268" t="str">
            <v>kg</v>
          </cell>
          <cell r="F1268">
            <v>480</v>
          </cell>
          <cell r="H1268">
            <v>0.45</v>
          </cell>
          <cell r="I1268" t="str">
            <v/>
          </cell>
          <cell r="J1268">
            <v>216</v>
          </cell>
        </row>
        <row r="1269">
          <cell r="D1269" t="str">
            <v/>
          </cell>
          <cell r="E1269" t="str">
            <v/>
          </cell>
          <cell r="H1269" t="str">
            <v/>
          </cell>
          <cell r="I1269" t="str">
            <v/>
          </cell>
          <cell r="J1269" t="str">
            <v/>
          </cell>
        </row>
        <row r="1270">
          <cell r="D1270" t="str">
            <v/>
          </cell>
          <cell r="E1270" t="str">
            <v/>
          </cell>
          <cell r="H1270" t="str">
            <v/>
          </cell>
          <cell r="I1270" t="str">
            <v/>
          </cell>
          <cell r="J1270" t="str">
            <v/>
          </cell>
        </row>
        <row r="1271">
          <cell r="F1271" t="str">
            <v>CUSTO TOTAL DE MATERIAL - (E)</v>
          </cell>
          <cell r="J1271">
            <v>296.95999999999998</v>
          </cell>
        </row>
        <row r="1272">
          <cell r="C1272" t="str">
            <v>CODIGO</v>
          </cell>
          <cell r="D1272" t="str">
            <v>ATIVIDADES AUXILIARES</v>
          </cell>
          <cell r="E1272" t="str">
            <v>UND</v>
          </cell>
          <cell r="F1272" t="str">
            <v>CONSUMO</v>
          </cell>
          <cell r="H1272" t="str">
            <v>CUSTO UNITÁRIO</v>
          </cell>
          <cell r="J1272" t="str">
            <v>CUSTO UNITÁRIO</v>
          </cell>
        </row>
        <row r="1273">
          <cell r="D1273" t="str">
            <v/>
          </cell>
          <cell r="E1273" t="str">
            <v/>
          </cell>
          <cell r="H1273" t="str">
            <v/>
          </cell>
          <cell r="J1273" t="str">
            <v/>
          </cell>
        </row>
        <row r="1274">
          <cell r="D1274" t="str">
            <v/>
          </cell>
          <cell r="H1274" t="str">
            <v/>
          </cell>
          <cell r="J1274" t="str">
            <v/>
          </cell>
        </row>
        <row r="1275">
          <cell r="D1275" t="str">
            <v/>
          </cell>
          <cell r="H1275" t="str">
            <v/>
          </cell>
          <cell r="J1275" t="str">
            <v/>
          </cell>
        </row>
        <row r="1276">
          <cell r="D1276" t="str">
            <v/>
          </cell>
          <cell r="H1276" t="str">
            <v/>
          </cell>
          <cell r="J1276" t="str">
            <v/>
          </cell>
        </row>
        <row r="1277">
          <cell r="D1277" t="str">
            <v/>
          </cell>
          <cell r="H1277" t="str">
            <v/>
          </cell>
          <cell r="J1277" t="str">
            <v/>
          </cell>
        </row>
        <row r="1278">
          <cell r="C1278" t="str">
            <v>OBSERVAÇÕES:</v>
          </cell>
          <cell r="F1278" t="str">
            <v>CUSTO ATIVIDADES AUXILIARES - (F)</v>
          </cell>
          <cell r="J1278">
            <v>0</v>
          </cell>
        </row>
        <row r="1279">
          <cell r="F1279" t="str">
            <v>CUSTO UNITÁRIO DIRETO TOTAL</v>
          </cell>
          <cell r="J1279">
            <v>437.18</v>
          </cell>
        </row>
        <row r="1280">
          <cell r="F1280" t="str">
            <v xml:space="preserve">BONIFICAÇÃO </v>
          </cell>
          <cell r="H1280">
            <v>0</v>
          </cell>
          <cell r="J1280">
            <v>0</v>
          </cell>
        </row>
        <row r="1281">
          <cell r="F1281" t="str">
            <v>PREÇO UNITÁRIO  TOTAL</v>
          </cell>
          <cell r="J1281">
            <v>437.18</v>
          </cell>
        </row>
        <row r="1285">
          <cell r="A1285" t="str">
            <v>1 A 01 410 51</v>
          </cell>
          <cell r="C1285" t="str">
            <v>SERVIÇO:</v>
          </cell>
          <cell r="D1285" t="str">
            <v>Concreto fck=10MPa controle razoável uso geral confecção e lançamento AC/BC</v>
          </cell>
          <cell r="F1285" t="str">
            <v>PRODUÇÃO DA EQUIPE - (C):</v>
          </cell>
          <cell r="J1285">
            <v>2.5</v>
          </cell>
          <cell r="K1285" t="str">
            <v>m³</v>
          </cell>
          <cell r="M1285" t="e">
            <v>#N/A</v>
          </cell>
        </row>
        <row r="1286">
          <cell r="F1286" t="str">
            <v>UNITÁRIO</v>
          </cell>
          <cell r="H1286" t="str">
            <v>C. OPERACIONAL</v>
          </cell>
        </row>
        <row r="1287">
          <cell r="C1287" t="str">
            <v>ÍTEM</v>
          </cell>
          <cell r="D1287" t="str">
            <v>E Q U I P A M E N T O</v>
          </cell>
          <cell r="E1287" t="str">
            <v>QUANT.</v>
          </cell>
          <cell r="F1287" t="str">
            <v>PROD</v>
          </cell>
          <cell r="G1287" t="str">
            <v>IMPROD</v>
          </cell>
          <cell r="H1287" t="str">
            <v>PROD</v>
          </cell>
          <cell r="I1287" t="str">
            <v>IMPROD</v>
          </cell>
          <cell r="J1287" t="str">
            <v>CUSTO HORÁRIO</v>
          </cell>
        </row>
        <row r="1288">
          <cell r="C1288" t="str">
            <v>E306</v>
          </cell>
          <cell r="D1288" t="str">
            <v xml:space="preserve">(*) Vibrador de Concreto : Diversos : VIP45/MT2 -  de imersão </v>
          </cell>
          <cell r="E1288">
            <v>2</v>
          </cell>
          <cell r="F1288">
            <v>1</v>
          </cell>
          <cell r="G1288">
            <v>0</v>
          </cell>
          <cell r="H1288">
            <v>16.45</v>
          </cell>
          <cell r="I1288">
            <v>15.35</v>
          </cell>
          <cell r="J1288">
            <v>32.9</v>
          </cell>
        </row>
        <row r="1289">
          <cell r="C1289" t="str">
            <v>E302</v>
          </cell>
          <cell r="D1289" t="str">
            <v xml:space="preserve">Betoneira : Penedo :  -  320 l </v>
          </cell>
          <cell r="E1289">
            <v>1</v>
          </cell>
          <cell r="F1289">
            <v>1</v>
          </cell>
          <cell r="G1289">
            <v>0</v>
          </cell>
          <cell r="H1289">
            <v>19.38</v>
          </cell>
          <cell r="I1289">
            <v>17.27</v>
          </cell>
          <cell r="J1289">
            <v>19.38</v>
          </cell>
        </row>
        <row r="1290">
          <cell r="C1290" t="str">
            <v>E509</v>
          </cell>
          <cell r="D1290" t="str">
            <v>Grupo Gerador : Heimer : GEHMI-40 - 32,0  KVA</v>
          </cell>
          <cell r="E1290">
            <v>1</v>
          </cell>
          <cell r="F1290">
            <v>1</v>
          </cell>
          <cell r="G1290">
            <v>0</v>
          </cell>
          <cell r="H1290">
            <v>32.17</v>
          </cell>
          <cell r="I1290">
            <v>17.27</v>
          </cell>
          <cell r="J1290">
            <v>32.17</v>
          </cell>
        </row>
        <row r="1291">
          <cell r="C1291" t="str">
            <v>E304</v>
          </cell>
          <cell r="D1291" t="str">
            <v xml:space="preserve">Transportador Manual : AJS :  -  carrinho de mão 80 l </v>
          </cell>
          <cell r="E1291">
            <v>3</v>
          </cell>
          <cell r="F1291">
            <v>0.69</v>
          </cell>
          <cell r="G1291">
            <v>0.31</v>
          </cell>
          <cell r="H1291">
            <v>0.13</v>
          </cell>
          <cell r="I1291">
            <v>0</v>
          </cell>
          <cell r="J1291">
            <v>0.26</v>
          </cell>
        </row>
        <row r="1292">
          <cell r="D1292" t="str">
            <v/>
          </cell>
          <cell r="G1292" t="str">
            <v/>
          </cell>
          <cell r="H1292" t="str">
            <v/>
          </cell>
          <cell r="I1292" t="str">
            <v/>
          </cell>
          <cell r="J1292" t="str">
            <v/>
          </cell>
        </row>
        <row r="1293">
          <cell r="D1293" t="str">
            <v/>
          </cell>
          <cell r="G1293" t="str">
            <v/>
          </cell>
          <cell r="H1293" t="str">
            <v/>
          </cell>
          <cell r="I1293" t="str">
            <v/>
          </cell>
          <cell r="J1293" t="str">
            <v/>
          </cell>
        </row>
        <row r="1294">
          <cell r="D1294" t="str">
            <v/>
          </cell>
          <cell r="G1294" t="str">
            <v/>
          </cell>
          <cell r="H1294" t="str">
            <v/>
          </cell>
          <cell r="I1294" t="str">
            <v/>
          </cell>
          <cell r="J1294" t="str">
            <v/>
          </cell>
        </row>
        <row r="1295">
          <cell r="F1295" t="str">
            <v>CUSTO HORÁRIO DO EQUIPAMENTO - (A)</v>
          </cell>
          <cell r="J1295">
            <v>84.71</v>
          </cell>
        </row>
        <row r="1296">
          <cell r="C1296" t="str">
            <v>ÍTEM</v>
          </cell>
          <cell r="D1296" t="str">
            <v>M Ã O    D E   O B R A</v>
          </cell>
          <cell r="E1296" t="str">
            <v>QUANT.</v>
          </cell>
          <cell r="F1296" t="str">
            <v>SALÁRIO HORA</v>
          </cell>
          <cell r="J1296" t="str">
            <v>CUSTO HORÁRIO</v>
          </cell>
        </row>
        <row r="1297">
          <cell r="C1297" t="str">
            <v>T604</v>
          </cell>
          <cell r="D1297" t="str">
            <v>Pedreiro</v>
          </cell>
          <cell r="E1297">
            <v>1</v>
          </cell>
          <cell r="F1297">
            <v>9.44</v>
          </cell>
          <cell r="G1297" t="e">
            <v>#N/A</v>
          </cell>
          <cell r="H1297" t="e">
            <v>#N/A</v>
          </cell>
          <cell r="I1297" t="e">
            <v>#N/A</v>
          </cell>
          <cell r="J1297">
            <v>9.44</v>
          </cell>
        </row>
        <row r="1298">
          <cell r="C1298" t="str">
            <v>T701</v>
          </cell>
          <cell r="D1298" t="str">
            <v>Servente</v>
          </cell>
          <cell r="E1298">
            <v>14</v>
          </cell>
          <cell r="F1298">
            <v>6.99</v>
          </cell>
          <cell r="G1298" t="e">
            <v>#N/A</v>
          </cell>
          <cell r="H1298" t="e">
            <v>#N/A</v>
          </cell>
          <cell r="I1298" t="e">
            <v>#N/A</v>
          </cell>
          <cell r="J1298">
            <v>97.86</v>
          </cell>
        </row>
        <row r="1299">
          <cell r="D1299" t="str">
            <v/>
          </cell>
          <cell r="F1299" t="str">
            <v/>
          </cell>
          <cell r="G1299" t="str">
            <v/>
          </cell>
          <cell r="H1299" t="str">
            <v/>
          </cell>
          <cell r="I1299" t="str">
            <v/>
          </cell>
          <cell r="J1299" t="str">
            <v/>
          </cell>
        </row>
        <row r="1300">
          <cell r="D1300" t="str">
            <v/>
          </cell>
          <cell r="F1300" t="str">
            <v/>
          </cell>
          <cell r="G1300" t="str">
            <v/>
          </cell>
          <cell r="H1300" t="str">
            <v/>
          </cell>
          <cell r="I1300" t="str">
            <v/>
          </cell>
          <cell r="J1300" t="str">
            <v/>
          </cell>
        </row>
        <row r="1301">
          <cell r="D1301" t="str">
            <v/>
          </cell>
          <cell r="F1301" t="str">
            <v/>
          </cell>
          <cell r="G1301" t="str">
            <v/>
          </cell>
          <cell r="H1301" t="str">
            <v/>
          </cell>
          <cell r="I1301" t="str">
            <v/>
          </cell>
          <cell r="J1301" t="str">
            <v/>
          </cell>
        </row>
        <row r="1302">
          <cell r="F1302" t="str">
            <v>CUSTO HORÁRIO DE MÃO DE OBRA - (B)</v>
          </cell>
          <cell r="J1302">
            <v>107.3</v>
          </cell>
        </row>
        <row r="1303">
          <cell r="F1303" t="str">
            <v>FERRAMENTAS</v>
          </cell>
          <cell r="H1303">
            <v>0.2051</v>
          </cell>
          <cell r="J1303">
            <v>22</v>
          </cell>
        </row>
        <row r="1304">
          <cell r="F1304" t="str">
            <v>CUSTO HORÁRIO TOTAL - (A + B)</v>
          </cell>
          <cell r="J1304">
            <v>214.01</v>
          </cell>
        </row>
        <row r="1305">
          <cell r="F1305" t="str">
            <v>CUSTO UNITÁRIO DE EXECUÇÃO - (D)</v>
          </cell>
          <cell r="J1305">
            <v>85.6</v>
          </cell>
        </row>
        <row r="1306">
          <cell r="C1306" t="str">
            <v>ÍTEM</v>
          </cell>
          <cell r="D1306" t="str">
            <v>M A T E R I A L</v>
          </cell>
          <cell r="E1306" t="str">
            <v>UNID</v>
          </cell>
          <cell r="F1306" t="str">
            <v>CONSUMO</v>
          </cell>
          <cell r="H1306" t="str">
            <v xml:space="preserve"> PREÇO UNITÁRIO</v>
          </cell>
          <cell r="J1306" t="str">
            <v>CUSTO UNITÁRIO</v>
          </cell>
        </row>
        <row r="1307">
          <cell r="C1307" t="str">
            <v>M202</v>
          </cell>
          <cell r="D1307" t="str">
            <v>Cimento portland CP II-32</v>
          </cell>
          <cell r="E1307" t="str">
            <v>kg</v>
          </cell>
          <cell r="F1307">
            <v>230</v>
          </cell>
          <cell r="H1307">
            <v>0.45</v>
          </cell>
          <cell r="J1307">
            <v>103.5</v>
          </cell>
        </row>
        <row r="1308">
          <cell r="C1308" t="str">
            <v>M704</v>
          </cell>
          <cell r="D1308" t="str">
            <v>Areia lavada comercial DMT até 50 km</v>
          </cell>
          <cell r="E1308" t="str">
            <v>m3</v>
          </cell>
          <cell r="F1308">
            <v>0.74</v>
          </cell>
          <cell r="J1308">
            <v>0</v>
          </cell>
        </row>
        <row r="1309">
          <cell r="D1309" t="str">
            <v/>
          </cell>
          <cell r="E1309" t="str">
            <v/>
          </cell>
          <cell r="J1309" t="str">
            <v/>
          </cell>
        </row>
        <row r="1310">
          <cell r="D1310" t="str">
            <v/>
          </cell>
          <cell r="E1310" t="str">
            <v/>
          </cell>
          <cell r="J1310" t="str">
            <v/>
          </cell>
        </row>
        <row r="1311">
          <cell r="F1311" t="str">
            <v>CUSTO TOTAL DE MATERIAL - (E)</v>
          </cell>
          <cell r="J1311">
            <v>103.5</v>
          </cell>
        </row>
        <row r="1312">
          <cell r="C1312" t="str">
            <v>CODIGO</v>
          </cell>
          <cell r="D1312" t="str">
            <v>ATIVIDADES AUXILIARES</v>
          </cell>
          <cell r="E1312" t="str">
            <v>UND</v>
          </cell>
          <cell r="F1312" t="str">
            <v>QUANTIDADE</v>
          </cell>
          <cell r="H1312" t="str">
            <v>CUSTO UNITÁRIO</v>
          </cell>
          <cell r="J1312" t="str">
            <v>CUSTO UNITÁRIO</v>
          </cell>
        </row>
        <row r="1313">
          <cell r="C1313" t="str">
            <v>1 A 00 717 00</v>
          </cell>
          <cell r="D1313" t="e">
            <v>#N/A</v>
          </cell>
          <cell r="E1313" t="e">
            <v>#N/A</v>
          </cell>
          <cell r="F1313">
            <v>0.74</v>
          </cell>
          <cell r="H1313" t="e">
            <v>#N/A</v>
          </cell>
          <cell r="J1313" t="e">
            <v>#N/A</v>
          </cell>
        </row>
        <row r="1314">
          <cell r="D1314" t="str">
            <v/>
          </cell>
          <cell r="E1314" t="str">
            <v/>
          </cell>
          <cell r="H1314" t="str">
            <v/>
          </cell>
          <cell r="J1314" t="str">
            <v/>
          </cell>
        </row>
        <row r="1315">
          <cell r="D1315" t="str">
            <v/>
          </cell>
          <cell r="E1315" t="str">
            <v/>
          </cell>
          <cell r="H1315" t="str">
            <v/>
          </cell>
          <cell r="J1315" t="str">
            <v/>
          </cell>
        </row>
        <row r="1316">
          <cell r="D1316" t="str">
            <v/>
          </cell>
          <cell r="E1316" t="str">
            <v/>
          </cell>
          <cell r="H1316" t="str">
            <v/>
          </cell>
          <cell r="J1316" t="str">
            <v/>
          </cell>
        </row>
        <row r="1317">
          <cell r="D1317" t="str">
            <v/>
          </cell>
          <cell r="H1317" t="str">
            <v/>
          </cell>
          <cell r="J1317" t="str">
            <v/>
          </cell>
        </row>
        <row r="1318">
          <cell r="C1318" t="str">
            <v>OBSERVAÇÕES:</v>
          </cell>
          <cell r="F1318" t="str">
            <v>CUSTO ATIVIDADES AUXILIARES - (F)</v>
          </cell>
          <cell r="J1318" t="e">
            <v>#N/A</v>
          </cell>
        </row>
        <row r="1319">
          <cell r="F1319" t="str">
            <v>CUSTO UNITÁRIO DIRETO TOTAL</v>
          </cell>
          <cell r="J1319" t="e">
            <v>#N/A</v>
          </cell>
        </row>
        <row r="1320">
          <cell r="F1320" t="str">
            <v xml:space="preserve">BONIFICAÇÃO </v>
          </cell>
          <cell r="H1320">
            <v>0</v>
          </cell>
          <cell r="J1320" t="e">
            <v>#N/A</v>
          </cell>
        </row>
        <row r="1321">
          <cell r="F1321" t="str">
            <v>PREÇO UNITÁRIO  TOTAL</v>
          </cell>
          <cell r="J1321" t="e">
            <v>#N/A</v>
          </cell>
        </row>
        <row r="1325">
          <cell r="A1325" t="str">
            <v>1 A 01 412 01</v>
          </cell>
          <cell r="C1325" t="str">
            <v>SERVIÇO:</v>
          </cell>
          <cell r="D1325" t="str">
            <v>Concreto fck=12 MPa contr. razoável uso geral conf. e lanç.(brita prod. e areia estr.)</v>
          </cell>
          <cell r="F1325" t="str">
            <v>PRODUÇÃO DA EQUIPE - (C):</v>
          </cell>
          <cell r="J1325">
            <v>2.5</v>
          </cell>
          <cell r="K1325" t="str">
            <v>m³</v>
          </cell>
          <cell r="M1325">
            <v>251.52</v>
          </cell>
        </row>
        <row r="1326">
          <cell r="F1326" t="str">
            <v>UNITÁRIO</v>
          </cell>
          <cell r="H1326" t="str">
            <v>C. OPERACIONAL</v>
          </cell>
        </row>
        <row r="1327">
          <cell r="C1327" t="str">
            <v>ÍTEM</v>
          </cell>
          <cell r="D1327" t="str">
            <v>E Q U I P A M E N T O</v>
          </cell>
          <cell r="E1327" t="str">
            <v>QUANT.</v>
          </cell>
          <cell r="F1327" t="str">
            <v>PROD</v>
          </cell>
          <cell r="G1327" t="str">
            <v>IMPROD</v>
          </cell>
          <cell r="H1327" t="str">
            <v>PROD</v>
          </cell>
          <cell r="I1327" t="str">
            <v>IMPROD</v>
          </cell>
          <cell r="J1327" t="str">
            <v>CUSTO HORÁRIO</v>
          </cell>
        </row>
        <row r="1328">
          <cell r="C1328" t="str">
            <v>E302</v>
          </cell>
          <cell r="D1328" t="str">
            <v xml:space="preserve">Betoneira : Penedo :  -  320 l </v>
          </cell>
          <cell r="E1328">
            <v>1</v>
          </cell>
          <cell r="F1328">
            <v>1</v>
          </cell>
          <cell r="G1328">
            <v>0</v>
          </cell>
          <cell r="H1328">
            <v>19.38</v>
          </cell>
          <cell r="I1328">
            <v>17.27</v>
          </cell>
          <cell r="J1328">
            <v>19.38</v>
          </cell>
        </row>
        <row r="1329">
          <cell r="C1329" t="str">
            <v>E304</v>
          </cell>
          <cell r="D1329" t="str">
            <v xml:space="preserve">Transportador Manual : AJS :  -  carrinho de mão 80 l </v>
          </cell>
          <cell r="E1329">
            <v>3</v>
          </cell>
          <cell r="F1329">
            <v>0.69</v>
          </cell>
          <cell r="G1329">
            <v>0.31</v>
          </cell>
          <cell r="H1329">
            <v>0.13</v>
          </cell>
          <cell r="I1329">
            <v>0</v>
          </cell>
          <cell r="J1329">
            <v>0.26</v>
          </cell>
        </row>
        <row r="1330">
          <cell r="C1330" t="str">
            <v>E306</v>
          </cell>
          <cell r="D1330" t="str">
            <v xml:space="preserve">(*) Vibrador de Concreto : Diversos : VIP45/MT2 -  de imersão </v>
          </cell>
          <cell r="E1330">
            <v>2</v>
          </cell>
          <cell r="F1330">
            <v>1</v>
          </cell>
          <cell r="G1330">
            <v>0</v>
          </cell>
          <cell r="H1330">
            <v>16.45</v>
          </cell>
          <cell r="I1330">
            <v>15.35</v>
          </cell>
          <cell r="J1330">
            <v>32.9</v>
          </cell>
        </row>
        <row r="1331">
          <cell r="C1331" t="str">
            <v>E509</v>
          </cell>
          <cell r="D1331" t="str">
            <v>Grupo Gerador : Heimer : GEHMI-40 - 32,0  KVA</v>
          </cell>
          <cell r="E1331">
            <v>1</v>
          </cell>
          <cell r="F1331">
            <v>1</v>
          </cell>
          <cell r="G1331">
            <v>0</v>
          </cell>
          <cell r="H1331">
            <v>32.17</v>
          </cell>
          <cell r="I1331">
            <v>17.27</v>
          </cell>
          <cell r="J1331">
            <v>32.17</v>
          </cell>
        </row>
        <row r="1332">
          <cell r="D1332" t="str">
            <v/>
          </cell>
          <cell r="G1332" t="str">
            <v/>
          </cell>
          <cell r="H1332" t="str">
            <v/>
          </cell>
          <cell r="I1332" t="str">
            <v/>
          </cell>
          <cell r="J1332" t="str">
            <v/>
          </cell>
        </row>
        <row r="1333">
          <cell r="D1333" t="str">
            <v/>
          </cell>
          <cell r="G1333" t="str">
            <v/>
          </cell>
          <cell r="H1333" t="str">
            <v/>
          </cell>
          <cell r="I1333" t="str">
            <v/>
          </cell>
          <cell r="J1333" t="str">
            <v/>
          </cell>
        </row>
        <row r="1334">
          <cell r="F1334" t="str">
            <v>CUSTO HORÁRIO DO EQUIPAMENTO - (A)</v>
          </cell>
          <cell r="J1334">
            <v>84.71</v>
          </cell>
        </row>
        <row r="1335">
          <cell r="C1335" t="str">
            <v>ÍTEM</v>
          </cell>
          <cell r="D1335" t="str">
            <v>M Ã O    D E   O B R A</v>
          </cell>
          <cell r="E1335" t="str">
            <v>QUANT.</v>
          </cell>
          <cell r="F1335" t="str">
            <v>SALÁRIO HORA</v>
          </cell>
          <cell r="J1335" t="str">
            <v>CUSTO HORÁRIO</v>
          </cell>
        </row>
        <row r="1336">
          <cell r="C1336" t="str">
            <v>T604</v>
          </cell>
          <cell r="D1336" t="str">
            <v>Pedreiro</v>
          </cell>
          <cell r="E1336">
            <v>1</v>
          </cell>
          <cell r="F1336">
            <v>9.44</v>
          </cell>
          <cell r="G1336" t="e">
            <v>#N/A</v>
          </cell>
          <cell r="H1336" t="e">
            <v>#N/A</v>
          </cell>
          <cell r="I1336" t="e">
            <v>#N/A</v>
          </cell>
          <cell r="J1336">
            <v>9.44</v>
          </cell>
        </row>
        <row r="1337">
          <cell r="C1337" t="str">
            <v>T701</v>
          </cell>
          <cell r="D1337" t="str">
            <v>Servente</v>
          </cell>
          <cell r="E1337">
            <v>14</v>
          </cell>
          <cell r="F1337">
            <v>6.99</v>
          </cell>
          <cell r="G1337" t="e">
            <v>#N/A</v>
          </cell>
          <cell r="H1337" t="e">
            <v>#N/A</v>
          </cell>
          <cell r="I1337" t="e">
            <v>#N/A</v>
          </cell>
          <cell r="J1337">
            <v>97.86</v>
          </cell>
        </row>
        <row r="1338">
          <cell r="D1338" t="str">
            <v/>
          </cell>
          <cell r="F1338" t="str">
            <v/>
          </cell>
          <cell r="G1338" t="str">
            <v/>
          </cell>
          <cell r="H1338" t="str">
            <v/>
          </cell>
          <cell r="I1338" t="str">
            <v/>
          </cell>
          <cell r="J1338" t="str">
            <v/>
          </cell>
        </row>
        <row r="1339">
          <cell r="D1339" t="str">
            <v/>
          </cell>
          <cell r="F1339" t="str">
            <v/>
          </cell>
          <cell r="G1339" t="str">
            <v/>
          </cell>
          <cell r="H1339" t="str">
            <v/>
          </cell>
          <cell r="I1339" t="str">
            <v/>
          </cell>
          <cell r="J1339" t="str">
            <v/>
          </cell>
        </row>
        <row r="1340">
          <cell r="D1340" t="str">
            <v/>
          </cell>
          <cell r="F1340" t="str">
            <v/>
          </cell>
          <cell r="G1340" t="str">
            <v/>
          </cell>
          <cell r="H1340" t="str">
            <v/>
          </cell>
          <cell r="I1340" t="str">
            <v/>
          </cell>
          <cell r="J1340" t="str">
            <v/>
          </cell>
        </row>
        <row r="1341">
          <cell r="F1341" t="str">
            <v>CUSTO HORÁRIO DE MÃO DE OBRA - (B)</v>
          </cell>
          <cell r="J1341">
            <v>107.3</v>
          </cell>
        </row>
        <row r="1342">
          <cell r="F1342" t="str">
            <v>FERRAMENTAS</v>
          </cell>
          <cell r="H1342">
            <v>0.2051</v>
          </cell>
          <cell r="J1342">
            <v>22</v>
          </cell>
        </row>
        <row r="1343">
          <cell r="F1343" t="str">
            <v>CUSTO HORÁRIO TOTAL - (A + B)</v>
          </cell>
          <cell r="J1343">
            <v>214.01</v>
          </cell>
        </row>
        <row r="1344">
          <cell r="F1344" t="str">
            <v>CUSTO UNITÁRIO DE EXECUÇÃO - (D)</v>
          </cell>
          <cell r="J1344">
            <v>85.6</v>
          </cell>
        </row>
        <row r="1345">
          <cell r="C1345" t="str">
            <v>ÍTEM</v>
          </cell>
          <cell r="D1345" t="str">
            <v>M A T E R I A L</v>
          </cell>
          <cell r="E1345" t="str">
            <v>UNID</v>
          </cell>
          <cell r="F1345" t="str">
            <v>CONSUMO</v>
          </cell>
          <cell r="H1345" t="str">
            <v xml:space="preserve"> PREÇO UNITÁRIO</v>
          </cell>
          <cell r="J1345" t="str">
            <v>CUSTO UNITÁRIO</v>
          </cell>
        </row>
        <row r="1346">
          <cell r="C1346" t="str">
            <v>M202</v>
          </cell>
          <cell r="D1346" t="str">
            <v>Cimento portland CP II-32</v>
          </cell>
          <cell r="E1346" t="str">
            <v>kg</v>
          </cell>
          <cell r="F1346">
            <v>314</v>
          </cell>
          <cell r="H1346">
            <v>0.45</v>
          </cell>
          <cell r="I1346" t="e">
            <v>#N/A</v>
          </cell>
          <cell r="J1346">
            <v>141.30000000000001</v>
          </cell>
        </row>
        <row r="1347">
          <cell r="D1347" t="str">
            <v/>
          </cell>
          <cell r="E1347" t="str">
            <v/>
          </cell>
          <cell r="H1347">
            <v>0</v>
          </cell>
          <cell r="J1347" t="str">
            <v/>
          </cell>
        </row>
        <row r="1348">
          <cell r="D1348" t="str">
            <v/>
          </cell>
          <cell r="E1348" t="str">
            <v/>
          </cell>
          <cell r="H1348">
            <v>0</v>
          </cell>
          <cell r="J1348" t="str">
            <v/>
          </cell>
        </row>
        <row r="1349">
          <cell r="D1349" t="str">
            <v/>
          </cell>
          <cell r="E1349" t="str">
            <v/>
          </cell>
          <cell r="J1349" t="str">
            <v/>
          </cell>
        </row>
        <row r="1350">
          <cell r="D1350" t="str">
            <v/>
          </cell>
          <cell r="E1350" t="str">
            <v/>
          </cell>
          <cell r="J1350" t="str">
            <v/>
          </cell>
        </row>
        <row r="1351">
          <cell r="F1351" t="str">
            <v>CUSTO TOTAL DE MATERIAL - (E)</v>
          </cell>
          <cell r="J1351">
            <v>141.30000000000001</v>
          </cell>
        </row>
        <row r="1352">
          <cell r="C1352" t="str">
            <v>CODIGO</v>
          </cell>
          <cell r="D1352" t="str">
            <v>ATIVIDADES AUXILIARES</v>
          </cell>
          <cell r="E1352" t="str">
            <v>UND</v>
          </cell>
          <cell r="F1352" t="str">
            <v>QUANTIDADE</v>
          </cell>
          <cell r="H1352" t="str">
            <v>CUSTO UNITÁRIO</v>
          </cell>
          <cell r="J1352" t="str">
            <v>CUSTO UNITÁRIO</v>
          </cell>
        </row>
        <row r="1353">
          <cell r="C1353" t="str">
            <v>1 A 01 170 01</v>
          </cell>
          <cell r="D1353" t="str">
            <v>Areia extraída com trator e carregadeira</v>
          </cell>
          <cell r="E1353" t="str">
            <v>M³</v>
          </cell>
          <cell r="F1353">
            <v>0.63200000000000001</v>
          </cell>
          <cell r="H1353">
            <v>5.56</v>
          </cell>
          <cell r="J1353">
            <v>3.51</v>
          </cell>
        </row>
        <row r="1354">
          <cell r="C1354" t="str">
            <v>1 A 01 200 01</v>
          </cell>
          <cell r="D1354" t="str">
            <v>Brita produzida em central de britagem de 80 m3/h</v>
          </cell>
          <cell r="E1354" t="str">
            <v>m³</v>
          </cell>
          <cell r="F1354">
            <v>0.74</v>
          </cell>
          <cell r="H1354">
            <v>28.54</v>
          </cell>
          <cell r="J1354">
            <v>21.11</v>
          </cell>
        </row>
        <row r="1355">
          <cell r="D1355" t="str">
            <v/>
          </cell>
          <cell r="E1355" t="str">
            <v/>
          </cell>
          <cell r="H1355" t="str">
            <v/>
          </cell>
          <cell r="J1355" t="str">
            <v/>
          </cell>
        </row>
        <row r="1356">
          <cell r="D1356" t="str">
            <v/>
          </cell>
          <cell r="E1356" t="str">
            <v/>
          </cell>
          <cell r="H1356" t="str">
            <v/>
          </cell>
          <cell r="J1356" t="str">
            <v/>
          </cell>
        </row>
        <row r="1357">
          <cell r="D1357" t="str">
            <v/>
          </cell>
          <cell r="H1357" t="str">
            <v/>
          </cell>
          <cell r="J1357" t="str">
            <v/>
          </cell>
        </row>
        <row r="1358">
          <cell r="C1358" t="str">
            <v>OBSERVAÇÕES:</v>
          </cell>
          <cell r="F1358" t="str">
            <v>CUSTO UNITÁRIO DE TRANSPORTE - (F)</v>
          </cell>
          <cell r="J1358">
            <v>24.62</v>
          </cell>
        </row>
        <row r="1359">
          <cell r="F1359" t="str">
            <v>CUSTO UNITÁRIO DIRETO TOTAL</v>
          </cell>
          <cell r="J1359">
            <v>251.52</v>
          </cell>
        </row>
        <row r="1360">
          <cell r="F1360" t="str">
            <v xml:space="preserve">BONIFICAÇÃO </v>
          </cell>
          <cell r="H1360">
            <v>0</v>
          </cell>
          <cell r="J1360">
            <v>0</v>
          </cell>
        </row>
        <row r="1361">
          <cell r="F1361" t="str">
            <v>PREÇO UNITÁRIO  TOTAL</v>
          </cell>
          <cell r="J1361">
            <v>251.52</v>
          </cell>
        </row>
        <row r="1365">
          <cell r="A1365" t="str">
            <v>1 A 01 412 51</v>
          </cell>
          <cell r="C1365" t="str">
            <v>SERVIÇO:</v>
          </cell>
          <cell r="D1365" t="str">
            <v>Concreto fck=12 MPa controle razoável uso geral confecção e lançamento AC/BC</v>
          </cell>
          <cell r="F1365" t="str">
            <v>PRODUÇÃO DA EQUIPE - (C):</v>
          </cell>
          <cell r="J1365">
            <v>3.3</v>
          </cell>
          <cell r="K1365" t="str">
            <v>m³</v>
          </cell>
          <cell r="M1365" t="e">
            <v>#N/A</v>
          </cell>
        </row>
        <row r="1366">
          <cell r="F1366" t="str">
            <v>UNITÁRIO</v>
          </cell>
          <cell r="H1366" t="str">
            <v>C. OPERACIONAL</v>
          </cell>
        </row>
        <row r="1367">
          <cell r="C1367" t="str">
            <v>ÍTEM</v>
          </cell>
          <cell r="D1367" t="str">
            <v>E Q U I P A M E N T O</v>
          </cell>
          <cell r="E1367" t="str">
            <v>QUANT.</v>
          </cell>
          <cell r="F1367" t="str">
            <v>PROD</v>
          </cell>
          <cell r="G1367" t="str">
            <v>IMPROD</v>
          </cell>
          <cell r="H1367" t="str">
            <v>PROD</v>
          </cell>
          <cell r="I1367" t="str">
            <v>IMPROD</v>
          </cell>
          <cell r="J1367" t="str">
            <v>CUSTO HORÁRIO</v>
          </cell>
        </row>
        <row r="1368">
          <cell r="C1368" t="str">
            <v>E302</v>
          </cell>
          <cell r="D1368" t="str">
            <v xml:space="preserve">Betoneira : Penedo :  -  320 l </v>
          </cell>
          <cell r="E1368">
            <v>1</v>
          </cell>
          <cell r="F1368">
            <v>1</v>
          </cell>
          <cell r="G1368">
            <v>0</v>
          </cell>
          <cell r="H1368">
            <v>19.38</v>
          </cell>
          <cell r="I1368">
            <v>17.27</v>
          </cell>
          <cell r="J1368">
            <v>19.38</v>
          </cell>
        </row>
        <row r="1369">
          <cell r="C1369" t="str">
            <v>E304</v>
          </cell>
          <cell r="D1369" t="str">
            <v xml:space="preserve">Transportador Manual : AJS :  -  carrinho de mão 80 l </v>
          </cell>
          <cell r="E1369">
            <v>3</v>
          </cell>
          <cell r="F1369">
            <v>0.69</v>
          </cell>
          <cell r="G1369">
            <v>0.31</v>
          </cell>
          <cell r="H1369">
            <v>0.13</v>
          </cell>
          <cell r="I1369">
            <v>0</v>
          </cell>
          <cell r="J1369">
            <v>0.26</v>
          </cell>
        </row>
        <row r="1370">
          <cell r="C1370" t="str">
            <v>E306</v>
          </cell>
          <cell r="D1370" t="str">
            <v xml:space="preserve">(*) Vibrador de Concreto : Diversos : VIP45/MT2 -  de imersão </v>
          </cell>
          <cell r="E1370">
            <v>2</v>
          </cell>
          <cell r="F1370">
            <v>1</v>
          </cell>
          <cell r="G1370">
            <v>0</v>
          </cell>
          <cell r="H1370">
            <v>16.45</v>
          </cell>
          <cell r="I1370">
            <v>15.35</v>
          </cell>
          <cell r="J1370">
            <v>32.9</v>
          </cell>
        </row>
        <row r="1371">
          <cell r="C1371" t="str">
            <v>E509</v>
          </cell>
          <cell r="D1371" t="str">
            <v>Grupo Gerador : Heimer : GEHMI-40 - 32,0  KVA</v>
          </cell>
          <cell r="E1371">
            <v>1</v>
          </cell>
          <cell r="F1371">
            <v>1</v>
          </cell>
          <cell r="G1371">
            <v>0</v>
          </cell>
          <cell r="H1371">
            <v>32.17</v>
          </cell>
          <cell r="I1371">
            <v>17.27</v>
          </cell>
          <cell r="J1371">
            <v>32.17</v>
          </cell>
        </row>
        <row r="1372">
          <cell r="D1372" t="str">
            <v/>
          </cell>
          <cell r="G1372" t="str">
            <v/>
          </cell>
          <cell r="H1372" t="str">
            <v/>
          </cell>
          <cell r="I1372" t="str">
            <v/>
          </cell>
          <cell r="J1372" t="str">
            <v/>
          </cell>
        </row>
        <row r="1373">
          <cell r="D1373" t="str">
            <v/>
          </cell>
          <cell r="G1373" t="str">
            <v/>
          </cell>
          <cell r="H1373" t="str">
            <v/>
          </cell>
          <cell r="I1373" t="str">
            <v/>
          </cell>
          <cell r="J1373" t="str">
            <v/>
          </cell>
        </row>
        <row r="1374">
          <cell r="F1374" t="str">
            <v>CUSTO HORÁRIO DO EQUIPAMENTO - (A)</v>
          </cell>
          <cell r="J1374">
            <v>84.71</v>
          </cell>
        </row>
        <row r="1375">
          <cell r="C1375" t="str">
            <v>ÍTEM</v>
          </cell>
          <cell r="D1375" t="str">
            <v>M Ã O    D E   O B R A</v>
          </cell>
          <cell r="E1375" t="str">
            <v>QUANT.</v>
          </cell>
          <cell r="F1375" t="str">
            <v>SALÁRIO HORA</v>
          </cell>
          <cell r="J1375" t="str">
            <v>CUSTO HORÁRIO</v>
          </cell>
        </row>
        <row r="1376">
          <cell r="C1376" t="str">
            <v>T604</v>
          </cell>
          <cell r="D1376" t="str">
            <v>Pedreiro</v>
          </cell>
          <cell r="E1376">
            <v>1</v>
          </cell>
          <cell r="F1376">
            <v>9.44</v>
          </cell>
          <cell r="G1376" t="e">
            <v>#N/A</v>
          </cell>
          <cell r="H1376" t="e">
            <v>#N/A</v>
          </cell>
          <cell r="I1376" t="e">
            <v>#N/A</v>
          </cell>
          <cell r="J1376">
            <v>9.44</v>
          </cell>
        </row>
        <row r="1377">
          <cell r="C1377" t="str">
            <v>T701</v>
          </cell>
          <cell r="D1377" t="str">
            <v>Servente</v>
          </cell>
          <cell r="E1377">
            <v>14</v>
          </cell>
          <cell r="F1377">
            <v>6.99</v>
          </cell>
          <cell r="G1377" t="e">
            <v>#N/A</v>
          </cell>
          <cell r="H1377" t="e">
            <v>#N/A</v>
          </cell>
          <cell r="I1377" t="e">
            <v>#N/A</v>
          </cell>
          <cell r="J1377">
            <v>97.86</v>
          </cell>
        </row>
        <row r="1378">
          <cell r="D1378" t="str">
            <v/>
          </cell>
          <cell r="F1378" t="str">
            <v/>
          </cell>
          <cell r="G1378" t="str">
            <v/>
          </cell>
          <cell r="H1378" t="str">
            <v/>
          </cell>
          <cell r="I1378" t="str">
            <v/>
          </cell>
          <cell r="J1378" t="str">
            <v/>
          </cell>
        </row>
        <row r="1379">
          <cell r="D1379" t="str">
            <v/>
          </cell>
          <cell r="F1379" t="str">
            <v/>
          </cell>
          <cell r="G1379" t="str">
            <v/>
          </cell>
          <cell r="H1379" t="str">
            <v/>
          </cell>
          <cell r="I1379" t="str">
            <v/>
          </cell>
          <cell r="J1379" t="str">
            <v/>
          </cell>
        </row>
        <row r="1380">
          <cell r="D1380" t="str">
            <v/>
          </cell>
          <cell r="F1380" t="str">
            <v/>
          </cell>
          <cell r="G1380" t="str">
            <v/>
          </cell>
          <cell r="H1380" t="str">
            <v/>
          </cell>
          <cell r="I1380" t="str">
            <v/>
          </cell>
          <cell r="J1380" t="str">
            <v/>
          </cell>
        </row>
        <row r="1381">
          <cell r="F1381" t="str">
            <v>CUSTO HORÁRIO DE MÃO DE OBRA - (B)</v>
          </cell>
          <cell r="J1381">
            <v>107.3</v>
          </cell>
        </row>
        <row r="1382">
          <cell r="F1382" t="str">
            <v>FERRAMENTAS</v>
          </cell>
          <cell r="H1382">
            <v>0.2051</v>
          </cell>
          <cell r="J1382">
            <v>22</v>
          </cell>
        </row>
        <row r="1383">
          <cell r="F1383" t="str">
            <v>CUSTO HORÁRIO TOTAL - (A + B)</v>
          </cell>
          <cell r="J1383">
            <v>214.01</v>
          </cell>
        </row>
        <row r="1384">
          <cell r="F1384" t="str">
            <v>CUSTO UNITÁRIO DE EXECUÇÃO - (D)</v>
          </cell>
          <cell r="J1384">
            <v>64.849999999999994</v>
          </cell>
        </row>
        <row r="1385">
          <cell r="C1385" t="str">
            <v>ÍTEM</v>
          </cell>
          <cell r="D1385" t="str">
            <v>M A T E R I A L</v>
          </cell>
          <cell r="E1385" t="str">
            <v>UNID</v>
          </cell>
          <cell r="F1385" t="str">
            <v>CONSUMO</v>
          </cell>
          <cell r="H1385" t="str">
            <v xml:space="preserve"> PREÇO UNITÁRIO</v>
          </cell>
          <cell r="J1385" t="str">
            <v>CUSTO UNITÁRIO</v>
          </cell>
        </row>
        <row r="1386">
          <cell r="C1386" t="str">
            <v>M704</v>
          </cell>
          <cell r="D1386" t="str">
            <v>Areia lavada comercial DMT até 50 km</v>
          </cell>
          <cell r="E1386" t="str">
            <v>m3</v>
          </cell>
          <cell r="F1386">
            <v>0.61399999999999999</v>
          </cell>
          <cell r="H1386">
            <v>60</v>
          </cell>
          <cell r="I1386" t="e">
            <v>#N/A</v>
          </cell>
          <cell r="J1386">
            <v>36.840000000000003</v>
          </cell>
        </row>
        <row r="1387">
          <cell r="C1387" t="str">
            <v>M202</v>
          </cell>
          <cell r="D1387" t="str">
            <v>Cimento portland CP II-32</v>
          </cell>
          <cell r="E1387" t="str">
            <v>kg</v>
          </cell>
          <cell r="F1387">
            <v>340</v>
          </cell>
          <cell r="H1387">
            <v>0.45</v>
          </cell>
          <cell r="J1387">
            <v>153</v>
          </cell>
        </row>
        <row r="1388">
          <cell r="D1388" t="str">
            <v/>
          </cell>
          <cell r="E1388" t="str">
            <v/>
          </cell>
          <cell r="H1388">
            <v>0</v>
          </cell>
          <cell r="J1388" t="str">
            <v/>
          </cell>
        </row>
        <row r="1389">
          <cell r="D1389" t="str">
            <v/>
          </cell>
          <cell r="E1389" t="str">
            <v/>
          </cell>
          <cell r="J1389" t="str">
            <v/>
          </cell>
        </row>
        <row r="1390">
          <cell r="D1390" t="str">
            <v/>
          </cell>
          <cell r="E1390" t="str">
            <v/>
          </cell>
          <cell r="J1390" t="str">
            <v/>
          </cell>
        </row>
        <row r="1391">
          <cell r="F1391" t="str">
            <v>CUSTO TOTAL DE MATERIAL - (E)</v>
          </cell>
          <cell r="J1391">
            <v>189.84</v>
          </cell>
        </row>
        <row r="1392">
          <cell r="C1392" t="str">
            <v>CODIGO</v>
          </cell>
          <cell r="D1392" t="str">
            <v>ATIVIDADES AUXILIARES</v>
          </cell>
          <cell r="E1392" t="str">
            <v>UND</v>
          </cell>
          <cell r="F1392" t="str">
            <v>QUANTIDADE</v>
          </cell>
          <cell r="H1392" t="str">
            <v>CUSTO UNITÁRIO</v>
          </cell>
          <cell r="J1392" t="str">
            <v>CUSTO UNITÁRIO</v>
          </cell>
        </row>
        <row r="1393">
          <cell r="C1393" t="str">
            <v>1 A 00 717 00</v>
          </cell>
          <cell r="D1393" t="e">
            <v>#N/A</v>
          </cell>
          <cell r="E1393" t="e">
            <v>#N/A</v>
          </cell>
          <cell r="F1393">
            <v>0.74</v>
          </cell>
          <cell r="H1393" t="e">
            <v>#N/A</v>
          </cell>
          <cell r="J1393" t="e">
            <v>#N/A</v>
          </cell>
        </row>
        <row r="1394">
          <cell r="D1394" t="str">
            <v/>
          </cell>
          <cell r="E1394" t="str">
            <v/>
          </cell>
          <cell r="H1394" t="str">
            <v/>
          </cell>
          <cell r="J1394" t="str">
            <v/>
          </cell>
        </row>
        <row r="1395">
          <cell r="D1395" t="str">
            <v/>
          </cell>
          <cell r="E1395" t="str">
            <v/>
          </cell>
          <cell r="H1395" t="str">
            <v/>
          </cell>
          <cell r="J1395" t="str">
            <v/>
          </cell>
        </row>
        <row r="1396">
          <cell r="D1396" t="str">
            <v/>
          </cell>
          <cell r="E1396" t="str">
            <v/>
          </cell>
          <cell r="H1396" t="str">
            <v/>
          </cell>
          <cell r="J1396" t="str">
            <v/>
          </cell>
        </row>
        <row r="1397">
          <cell r="D1397" t="str">
            <v/>
          </cell>
          <cell r="H1397" t="str">
            <v/>
          </cell>
          <cell r="J1397" t="str">
            <v/>
          </cell>
        </row>
        <row r="1398">
          <cell r="C1398" t="str">
            <v>OBSERVAÇÕES:</v>
          </cell>
          <cell r="F1398" t="str">
            <v>CUSTO UNITÁRIO DE TRANSPORTE - (F)</v>
          </cell>
          <cell r="J1398" t="e">
            <v>#N/A</v>
          </cell>
        </row>
        <row r="1399">
          <cell r="F1399" t="str">
            <v>CUSTO UNITÁRIO DIRETO TOTAL</v>
          </cell>
          <cell r="J1399" t="e">
            <v>#N/A</v>
          </cell>
        </row>
        <row r="1400">
          <cell r="F1400" t="str">
            <v xml:space="preserve">BONIFICAÇÃO </v>
          </cell>
          <cell r="H1400">
            <v>0</v>
          </cell>
          <cell r="J1400" t="e">
            <v>#N/A</v>
          </cell>
        </row>
        <row r="1401">
          <cell r="F1401" t="str">
            <v>PREÇO UNITÁRIO  TOTAL</v>
          </cell>
          <cell r="J1401" t="e">
            <v>#N/A</v>
          </cell>
        </row>
        <row r="1405">
          <cell r="A1405" t="str">
            <v>1 A 01 415 51</v>
          </cell>
          <cell r="C1405" t="str">
            <v>SERVIÇO:</v>
          </cell>
          <cell r="D1405" t="str">
            <v>Concreto estrutural fck=15 MPa controle razoável uso geral conf. e lanç. AC/BC</v>
          </cell>
          <cell r="F1405" t="str">
            <v>PRODUÇÃO DA EQUIPE - (C):</v>
          </cell>
          <cell r="J1405">
            <v>2.5</v>
          </cell>
          <cell r="K1405" t="str">
            <v>m³</v>
          </cell>
          <cell r="M1405" t="e">
            <v>#N/A</v>
          </cell>
        </row>
        <row r="1406">
          <cell r="F1406" t="str">
            <v>UNITÁRIO</v>
          </cell>
          <cell r="H1406" t="str">
            <v>C. OPERACIONAL</v>
          </cell>
        </row>
        <row r="1407">
          <cell r="C1407" t="str">
            <v>ÍTEM</v>
          </cell>
          <cell r="D1407" t="str">
            <v>E Q U I P A M E N T O</v>
          </cell>
          <cell r="E1407" t="str">
            <v>QUANT.</v>
          </cell>
          <cell r="F1407" t="str">
            <v>PROD</v>
          </cell>
          <cell r="G1407" t="str">
            <v>IMPROD</v>
          </cell>
          <cell r="H1407" t="str">
            <v>PROD</v>
          </cell>
          <cell r="I1407" t="str">
            <v>IMPROD</v>
          </cell>
          <cell r="J1407" t="str">
            <v>CUSTO HORÁRIO</v>
          </cell>
        </row>
        <row r="1408">
          <cell r="C1408" t="str">
            <v>E302</v>
          </cell>
          <cell r="D1408" t="str">
            <v xml:space="preserve">Betoneira : Penedo :  -  320 l </v>
          </cell>
          <cell r="E1408">
            <v>1</v>
          </cell>
          <cell r="F1408">
            <v>1</v>
          </cell>
          <cell r="G1408">
            <v>0</v>
          </cell>
          <cell r="H1408">
            <v>19.38</v>
          </cell>
          <cell r="I1408">
            <v>17.27</v>
          </cell>
          <cell r="J1408">
            <v>19.38</v>
          </cell>
        </row>
        <row r="1409">
          <cell r="C1409" t="str">
            <v>E304</v>
          </cell>
          <cell r="D1409" t="str">
            <v xml:space="preserve">Transportador Manual : AJS :  -  carrinho de mão 80 l </v>
          </cell>
          <cell r="E1409">
            <v>3</v>
          </cell>
          <cell r="F1409">
            <v>0.69</v>
          </cell>
          <cell r="G1409">
            <v>0.31</v>
          </cell>
          <cell r="H1409">
            <v>0.13</v>
          </cell>
          <cell r="I1409">
            <v>0</v>
          </cell>
          <cell r="J1409">
            <v>0.26</v>
          </cell>
        </row>
        <row r="1410">
          <cell r="C1410" t="str">
            <v>E306</v>
          </cell>
          <cell r="D1410" t="str">
            <v xml:space="preserve">(*) Vibrador de Concreto : Diversos : VIP45/MT2 -  de imersão </v>
          </cell>
          <cell r="E1410">
            <v>2</v>
          </cell>
          <cell r="F1410">
            <v>1</v>
          </cell>
          <cell r="G1410">
            <v>0</v>
          </cell>
          <cell r="H1410">
            <v>16.45</v>
          </cell>
          <cell r="I1410">
            <v>15.35</v>
          </cell>
          <cell r="J1410">
            <v>32.9</v>
          </cell>
        </row>
        <row r="1411">
          <cell r="C1411" t="str">
            <v>E509</v>
          </cell>
          <cell r="D1411" t="str">
            <v>Grupo Gerador : Heimer : GEHMI-40 - 32,0  KVA</v>
          </cell>
          <cell r="E1411">
            <v>1</v>
          </cell>
          <cell r="F1411">
            <v>1</v>
          </cell>
          <cell r="G1411">
            <v>0</v>
          </cell>
          <cell r="H1411">
            <v>32.17</v>
          </cell>
          <cell r="I1411">
            <v>17.27</v>
          </cell>
          <cell r="J1411">
            <v>32.17</v>
          </cell>
        </row>
        <row r="1412">
          <cell r="D1412" t="str">
            <v/>
          </cell>
          <cell r="G1412" t="str">
            <v/>
          </cell>
          <cell r="H1412" t="str">
            <v/>
          </cell>
          <cell r="I1412" t="str">
            <v/>
          </cell>
          <cell r="J1412" t="str">
            <v/>
          </cell>
        </row>
        <row r="1413">
          <cell r="D1413" t="str">
            <v/>
          </cell>
          <cell r="G1413" t="str">
            <v/>
          </cell>
          <cell r="H1413" t="str">
            <v/>
          </cell>
          <cell r="I1413" t="str">
            <v/>
          </cell>
          <cell r="J1413" t="str">
            <v/>
          </cell>
        </row>
        <row r="1414">
          <cell r="D1414" t="str">
            <v/>
          </cell>
          <cell r="G1414" t="str">
            <v/>
          </cell>
          <cell r="H1414" t="str">
            <v/>
          </cell>
          <cell r="I1414" t="str">
            <v/>
          </cell>
          <cell r="J1414" t="str">
            <v/>
          </cell>
        </row>
        <row r="1415">
          <cell r="F1415" t="str">
            <v>CUSTO HORÁRIO DO EQUIPAMENTO - (A)</v>
          </cell>
          <cell r="J1415">
            <v>84.71</v>
          </cell>
        </row>
        <row r="1416">
          <cell r="C1416" t="str">
            <v>ÍTEM</v>
          </cell>
          <cell r="D1416" t="str">
            <v>M Ã O    D E   O B R A</v>
          </cell>
          <cell r="E1416" t="str">
            <v>QUANT.</v>
          </cell>
          <cell r="F1416" t="str">
            <v>SALÁRIO HORA</v>
          </cell>
          <cell r="J1416" t="str">
            <v>CUSTO HORÁRIO</v>
          </cell>
        </row>
        <row r="1417">
          <cell r="C1417" t="str">
            <v>T604</v>
          </cell>
          <cell r="D1417" t="str">
            <v>Pedreiro</v>
          </cell>
          <cell r="E1417">
            <v>1</v>
          </cell>
          <cell r="F1417">
            <v>9.44</v>
          </cell>
          <cell r="G1417" t="e">
            <v>#N/A</v>
          </cell>
          <cell r="H1417" t="e">
            <v>#N/A</v>
          </cell>
          <cell r="I1417" t="e">
            <v>#N/A</v>
          </cell>
          <cell r="J1417">
            <v>9.44</v>
          </cell>
        </row>
        <row r="1418">
          <cell r="C1418" t="str">
            <v>T701</v>
          </cell>
          <cell r="D1418" t="str">
            <v>Servente</v>
          </cell>
          <cell r="E1418">
            <v>14</v>
          </cell>
          <cell r="F1418">
            <v>6.99</v>
          </cell>
          <cell r="G1418" t="e">
            <v>#N/A</v>
          </cell>
          <cell r="H1418" t="e">
            <v>#N/A</v>
          </cell>
          <cell r="I1418" t="e">
            <v>#N/A</v>
          </cell>
          <cell r="J1418">
            <v>97.86</v>
          </cell>
        </row>
        <row r="1419">
          <cell r="D1419" t="str">
            <v/>
          </cell>
          <cell r="F1419" t="str">
            <v/>
          </cell>
          <cell r="G1419" t="str">
            <v/>
          </cell>
          <cell r="H1419" t="str">
            <v/>
          </cell>
          <cell r="I1419" t="str">
            <v/>
          </cell>
          <cell r="J1419" t="str">
            <v/>
          </cell>
        </row>
        <row r="1420">
          <cell r="D1420" t="str">
            <v/>
          </cell>
          <cell r="F1420" t="str">
            <v/>
          </cell>
          <cell r="G1420" t="str">
            <v/>
          </cell>
          <cell r="H1420" t="str">
            <v/>
          </cell>
          <cell r="I1420" t="str">
            <v/>
          </cell>
          <cell r="J1420" t="str">
            <v/>
          </cell>
        </row>
        <row r="1421">
          <cell r="D1421" t="str">
            <v/>
          </cell>
          <cell r="F1421" t="str">
            <v/>
          </cell>
          <cell r="G1421" t="str">
            <v/>
          </cell>
          <cell r="H1421" t="str">
            <v/>
          </cell>
          <cell r="I1421" t="str">
            <v/>
          </cell>
          <cell r="J1421" t="str">
            <v/>
          </cell>
        </row>
        <row r="1422">
          <cell r="F1422" t="str">
            <v>CUSTO HORÁRIO DE MÃO DE OBRA - (B)</v>
          </cell>
          <cell r="J1422">
            <v>107.3</v>
          </cell>
        </row>
        <row r="1423">
          <cell r="F1423" t="str">
            <v>FERRAMENTAS</v>
          </cell>
          <cell r="H1423">
            <v>0.2051</v>
          </cell>
          <cell r="J1423">
            <v>22</v>
          </cell>
        </row>
        <row r="1424">
          <cell r="F1424" t="str">
            <v>CUSTO HORÁRIO TOTAL - (A + B)</v>
          </cell>
          <cell r="J1424">
            <v>214.01</v>
          </cell>
        </row>
        <row r="1425">
          <cell r="F1425" t="str">
            <v>CUSTO UNITÁRIO DE EXECUÇÃO - (D)</v>
          </cell>
          <cell r="J1425">
            <v>85.6</v>
          </cell>
        </row>
        <row r="1426">
          <cell r="C1426" t="str">
            <v>ÍTEM</v>
          </cell>
          <cell r="D1426" t="str">
            <v>M A T E R I A L</v>
          </cell>
          <cell r="E1426" t="str">
            <v>UNID</v>
          </cell>
          <cell r="F1426" t="str">
            <v>CONSUMO</v>
          </cell>
          <cell r="H1426" t="str">
            <v xml:space="preserve"> PREÇO UNITÁRIO</v>
          </cell>
          <cell r="J1426" t="str">
            <v>CUSTO UNITÁRIO</v>
          </cell>
        </row>
        <row r="1427">
          <cell r="C1427" t="str">
            <v>M202</v>
          </cell>
          <cell r="D1427" t="str">
            <v>Cimento portland CP II-32</v>
          </cell>
          <cell r="E1427" t="str">
            <v>kg</v>
          </cell>
          <cell r="F1427">
            <v>340</v>
          </cell>
          <cell r="H1427">
            <v>0.45</v>
          </cell>
          <cell r="I1427" t="e">
            <v>#N/A</v>
          </cell>
          <cell r="J1427">
            <v>153</v>
          </cell>
        </row>
        <row r="1428">
          <cell r="C1428" t="str">
            <v>M704</v>
          </cell>
          <cell r="D1428" t="str">
            <v>Areia lavada comercial DMT até 50 km</v>
          </cell>
          <cell r="E1428" t="str">
            <v>m3</v>
          </cell>
          <cell r="F1428">
            <v>0.61399999999999999</v>
          </cell>
          <cell r="H1428">
            <v>60</v>
          </cell>
          <cell r="J1428">
            <v>36.840000000000003</v>
          </cell>
        </row>
        <row r="1429">
          <cell r="D1429" t="str">
            <v/>
          </cell>
          <cell r="E1429" t="str">
            <v/>
          </cell>
          <cell r="J1429" t="str">
            <v/>
          </cell>
        </row>
        <row r="1430">
          <cell r="D1430" t="str">
            <v/>
          </cell>
          <cell r="E1430" t="str">
            <v/>
          </cell>
          <cell r="J1430" t="str">
            <v/>
          </cell>
        </row>
        <row r="1431">
          <cell r="D1431" t="str">
            <v/>
          </cell>
          <cell r="E1431" t="str">
            <v/>
          </cell>
          <cell r="J1431" t="str">
            <v/>
          </cell>
        </row>
        <row r="1432">
          <cell r="F1432" t="str">
            <v>CUSTO TOTAL DE MATERIAL - (E)</v>
          </cell>
          <cell r="J1432">
            <v>189.84</v>
          </cell>
        </row>
        <row r="1433">
          <cell r="C1433" t="str">
            <v>CODIGO</v>
          </cell>
          <cell r="D1433" t="str">
            <v>ATIVIDADES AUXILIARES</v>
          </cell>
          <cell r="E1433" t="str">
            <v>UND</v>
          </cell>
          <cell r="F1433" t="str">
            <v>QUANTIDADE</v>
          </cell>
          <cell r="H1433" t="str">
            <v>CUSTO UNITÁRIO</v>
          </cell>
          <cell r="J1433" t="str">
            <v>CUSTO UNITÁRIO</v>
          </cell>
        </row>
        <row r="1434">
          <cell r="C1434" t="str">
            <v>1 A 00 717 00</v>
          </cell>
          <cell r="D1434" t="e">
            <v>#N/A</v>
          </cell>
          <cell r="E1434" t="e">
            <v>#N/A</v>
          </cell>
          <cell r="F1434">
            <v>0.74</v>
          </cell>
          <cell r="H1434" t="e">
            <v>#N/A</v>
          </cell>
          <cell r="J1434" t="e">
            <v>#N/A</v>
          </cell>
        </row>
        <row r="1435">
          <cell r="D1435" t="str">
            <v/>
          </cell>
          <cell r="E1435" t="str">
            <v/>
          </cell>
          <cell r="H1435" t="str">
            <v/>
          </cell>
          <cell r="J1435" t="str">
            <v/>
          </cell>
        </row>
        <row r="1436">
          <cell r="D1436" t="str">
            <v/>
          </cell>
          <cell r="E1436" t="str">
            <v/>
          </cell>
          <cell r="H1436" t="str">
            <v/>
          </cell>
          <cell r="J1436" t="str">
            <v/>
          </cell>
        </row>
        <row r="1437">
          <cell r="D1437" t="str">
            <v/>
          </cell>
          <cell r="E1437" t="str">
            <v/>
          </cell>
          <cell r="H1437" t="str">
            <v/>
          </cell>
          <cell r="J1437" t="str">
            <v/>
          </cell>
        </row>
        <row r="1438">
          <cell r="D1438" t="str">
            <v/>
          </cell>
          <cell r="H1438" t="str">
            <v/>
          </cell>
          <cell r="J1438" t="str">
            <v/>
          </cell>
        </row>
        <row r="1439">
          <cell r="C1439" t="str">
            <v>OBSERVAÇÕES:</v>
          </cell>
          <cell r="F1439" t="str">
            <v>CUSTO ATIVIDADES AUXILIARES - (F)</v>
          </cell>
          <cell r="J1439" t="e">
            <v>#N/A</v>
          </cell>
        </row>
        <row r="1440">
          <cell r="F1440" t="str">
            <v>CUSTO UNITÁRIO DIRETO TOTAL</v>
          </cell>
          <cell r="J1440" t="e">
            <v>#N/A</v>
          </cell>
        </row>
        <row r="1441">
          <cell r="F1441" t="str">
            <v xml:space="preserve">BONIFICAÇÃO </v>
          </cell>
          <cell r="H1441">
            <v>0</v>
          </cell>
          <cell r="J1441" t="e">
            <v>#N/A</v>
          </cell>
        </row>
        <row r="1442">
          <cell r="F1442" t="str">
            <v>PREÇO UNITÁRIO  TOTAL</v>
          </cell>
          <cell r="J1442" t="e">
            <v>#N/A</v>
          </cell>
        </row>
        <row r="1446">
          <cell r="A1446" t="str">
            <v>1 A 01 418 51</v>
          </cell>
          <cell r="C1446" t="str">
            <v>SERVIÇO:</v>
          </cell>
          <cell r="D1446" t="str">
            <v>Concreto estrutural fck=18 MPa controle razoável uso geral confecção e lançamento AC/BC</v>
          </cell>
          <cell r="F1446" t="str">
            <v>PRODUÇÃO DA EQUIPE - (C):</v>
          </cell>
          <cell r="J1446">
            <v>2.5</v>
          </cell>
          <cell r="K1446" t="str">
            <v>m³</v>
          </cell>
          <cell r="M1446">
            <v>194.75</v>
          </cell>
        </row>
        <row r="1447">
          <cell r="F1447" t="str">
            <v>UNITÁRIO</v>
          </cell>
          <cell r="H1447" t="str">
            <v>C. OPERACIONAL</v>
          </cell>
        </row>
        <row r="1448">
          <cell r="C1448" t="str">
            <v>ÍTEM</v>
          </cell>
          <cell r="D1448" t="str">
            <v>E Q U I P A M E N T O</v>
          </cell>
          <cell r="E1448" t="str">
            <v>QUANT.</v>
          </cell>
          <cell r="F1448" t="str">
            <v>PROD</v>
          </cell>
          <cell r="G1448" t="str">
            <v>IMPROD</v>
          </cell>
          <cell r="H1448" t="str">
            <v>PROD</v>
          </cell>
          <cell r="I1448" t="str">
            <v>IMPROD</v>
          </cell>
          <cell r="J1448" t="str">
            <v>CUSTO HORÁRIO</v>
          </cell>
        </row>
        <row r="1449">
          <cell r="C1449" t="str">
            <v>E302</v>
          </cell>
          <cell r="D1449" t="str">
            <v xml:space="preserve">Betoneira : Penedo :  -  320 l </v>
          </cell>
          <cell r="E1449">
            <v>1</v>
          </cell>
          <cell r="F1449">
            <v>1</v>
          </cell>
          <cell r="G1449">
            <v>0</v>
          </cell>
          <cell r="H1449">
            <v>19.38</v>
          </cell>
          <cell r="I1449">
            <v>17.27</v>
          </cell>
          <cell r="J1449">
            <v>19.38</v>
          </cell>
        </row>
        <row r="1450">
          <cell r="C1450" t="str">
            <v>E304</v>
          </cell>
          <cell r="D1450" t="str">
            <v xml:space="preserve">Transportador Manual : AJS :  -  carrinho de mão 80 l </v>
          </cell>
          <cell r="E1450">
            <v>3</v>
          </cell>
          <cell r="F1450">
            <v>0.7</v>
          </cell>
          <cell r="G1450">
            <v>0.3</v>
          </cell>
          <cell r="H1450">
            <v>0.13</v>
          </cell>
          <cell r="I1450">
            <v>0</v>
          </cell>
          <cell r="J1450">
            <v>0.27</v>
          </cell>
        </row>
        <row r="1451">
          <cell r="C1451" t="str">
            <v>E306</v>
          </cell>
          <cell r="D1451" t="str">
            <v xml:space="preserve">(*) Vibrador de Concreto : Diversos : VIP45/MT2 -  de imersão </v>
          </cell>
          <cell r="E1451">
            <v>2</v>
          </cell>
          <cell r="F1451">
            <v>1</v>
          </cell>
          <cell r="G1451">
            <v>0</v>
          </cell>
          <cell r="H1451">
            <v>16.45</v>
          </cell>
          <cell r="I1451">
            <v>15.35</v>
          </cell>
          <cell r="J1451">
            <v>32.9</v>
          </cell>
        </row>
        <row r="1452">
          <cell r="C1452" t="str">
            <v>E509</v>
          </cell>
          <cell r="D1452" t="str">
            <v>Grupo Gerador : Heimer : GEHMI-40 - 32,0  KVA</v>
          </cell>
          <cell r="E1452">
            <v>1</v>
          </cell>
          <cell r="F1452">
            <v>1</v>
          </cell>
          <cell r="G1452">
            <v>0</v>
          </cell>
          <cell r="H1452">
            <v>32.17</v>
          </cell>
          <cell r="I1452">
            <v>17.27</v>
          </cell>
          <cell r="J1452">
            <v>32.17</v>
          </cell>
        </row>
        <row r="1453">
          <cell r="D1453" t="str">
            <v/>
          </cell>
          <cell r="G1453" t="str">
            <v/>
          </cell>
          <cell r="H1453" t="str">
            <v/>
          </cell>
          <cell r="I1453" t="str">
            <v/>
          </cell>
          <cell r="J1453" t="str">
            <v/>
          </cell>
        </row>
        <row r="1454">
          <cell r="D1454" t="str">
            <v/>
          </cell>
          <cell r="G1454" t="str">
            <v/>
          </cell>
          <cell r="H1454" t="str">
            <v/>
          </cell>
          <cell r="I1454" t="str">
            <v/>
          </cell>
          <cell r="J1454" t="str">
            <v/>
          </cell>
        </row>
        <row r="1455">
          <cell r="D1455" t="str">
            <v/>
          </cell>
          <cell r="G1455" t="str">
            <v/>
          </cell>
          <cell r="H1455" t="str">
            <v/>
          </cell>
          <cell r="I1455" t="str">
            <v/>
          </cell>
          <cell r="J1455" t="str">
            <v/>
          </cell>
        </row>
        <row r="1456">
          <cell r="F1456" t="str">
            <v>CUSTO HORÁRIO DO EQUIPAMENTO - (A)</v>
          </cell>
          <cell r="J1456">
            <v>84.72</v>
          </cell>
        </row>
        <row r="1457">
          <cell r="C1457" t="str">
            <v>ÍTEM</v>
          </cell>
          <cell r="D1457" t="str">
            <v>M Ã O    D E   O B R A</v>
          </cell>
          <cell r="E1457" t="str">
            <v>QUANT.</v>
          </cell>
          <cell r="F1457" t="str">
            <v>SALÁRIO HORA</v>
          </cell>
          <cell r="J1457" t="str">
            <v>CUSTO HORÁRIO</v>
          </cell>
        </row>
        <row r="1458">
          <cell r="C1458" t="str">
            <v>T604</v>
          </cell>
          <cell r="D1458" t="str">
            <v>Pedreiro</v>
          </cell>
          <cell r="E1458">
            <v>1</v>
          </cell>
          <cell r="F1458">
            <v>9.44</v>
          </cell>
          <cell r="J1458">
            <v>9.44</v>
          </cell>
        </row>
        <row r="1459">
          <cell r="C1459" t="str">
            <v>T701</v>
          </cell>
          <cell r="D1459" t="str">
            <v>Servente</v>
          </cell>
          <cell r="E1459">
            <v>14</v>
          </cell>
          <cell r="F1459">
            <v>6.99</v>
          </cell>
          <cell r="J1459">
            <v>97.86</v>
          </cell>
        </row>
        <row r="1460">
          <cell r="D1460" t="str">
            <v/>
          </cell>
          <cell r="F1460" t="str">
            <v/>
          </cell>
          <cell r="J1460" t="str">
            <v/>
          </cell>
        </row>
        <row r="1461">
          <cell r="D1461" t="str">
            <v/>
          </cell>
          <cell r="F1461" t="str">
            <v/>
          </cell>
          <cell r="J1461" t="str">
            <v/>
          </cell>
        </row>
        <row r="1462">
          <cell r="D1462" t="str">
            <v/>
          </cell>
          <cell r="F1462" t="str">
            <v/>
          </cell>
          <cell r="J1462" t="str">
            <v/>
          </cell>
        </row>
        <row r="1463">
          <cell r="F1463" t="str">
            <v>CUSTO HORÁRIO DE MÃO DE OBRA - (B)</v>
          </cell>
          <cell r="J1463">
            <v>107.3</v>
          </cell>
        </row>
        <row r="1464">
          <cell r="F1464" t="str">
            <v>FERRAMENTAS</v>
          </cell>
          <cell r="H1464">
            <v>0.2051</v>
          </cell>
          <cell r="J1464">
            <v>22</v>
          </cell>
        </row>
        <row r="1465">
          <cell r="F1465" t="str">
            <v>CUSTO HORÁRIO TOTAL - (A + B)</v>
          </cell>
          <cell r="J1465">
            <v>214.02</v>
          </cell>
        </row>
        <row r="1466">
          <cell r="F1466" t="str">
            <v>CUSTO UNITÁRIO DE EXECUÇÃO - (D)</v>
          </cell>
          <cell r="J1466">
            <v>85.6</v>
          </cell>
        </row>
        <row r="1467">
          <cell r="C1467" t="str">
            <v>ÍTEM</v>
          </cell>
          <cell r="D1467" t="str">
            <v>M A T E R I A L</v>
          </cell>
          <cell r="E1467" t="str">
            <v>UNID</v>
          </cell>
          <cell r="F1467" t="str">
            <v>CONSUMO</v>
          </cell>
          <cell r="H1467" t="str">
            <v xml:space="preserve"> PREÇO UNITÁRIO</v>
          </cell>
          <cell r="J1467" t="str">
            <v>CUSTO UNITÁRIO</v>
          </cell>
        </row>
        <row r="1468">
          <cell r="C1468" t="str">
            <v>M201</v>
          </cell>
          <cell r="D1468" t="str">
            <v>Cimento portland CP II-32(a granel)</v>
          </cell>
          <cell r="E1468" t="str">
            <v>kg</v>
          </cell>
          <cell r="F1468">
            <v>295</v>
          </cell>
          <cell r="H1468">
            <v>0.37</v>
          </cell>
          <cell r="J1468">
            <v>109.15</v>
          </cell>
        </row>
        <row r="1469">
          <cell r="D1469" t="str">
            <v/>
          </cell>
          <cell r="E1469" t="str">
            <v/>
          </cell>
          <cell r="J1469">
            <v>0</v>
          </cell>
        </row>
        <row r="1470">
          <cell r="D1470" t="str">
            <v/>
          </cell>
          <cell r="E1470" t="str">
            <v/>
          </cell>
          <cell r="J1470">
            <v>0</v>
          </cell>
        </row>
        <row r="1471">
          <cell r="D1471" t="str">
            <v/>
          </cell>
          <cell r="E1471" t="str">
            <v/>
          </cell>
          <cell r="J1471">
            <v>0</v>
          </cell>
        </row>
        <row r="1472">
          <cell r="D1472" t="str">
            <v/>
          </cell>
          <cell r="E1472" t="str">
            <v/>
          </cell>
          <cell r="J1472">
            <v>0</v>
          </cell>
        </row>
        <row r="1473">
          <cell r="F1473" t="str">
            <v>CUSTO TOTAL DE MATERIAL - (E)</v>
          </cell>
          <cell r="J1473">
            <v>109.15</v>
          </cell>
        </row>
        <row r="1474">
          <cell r="C1474" t="str">
            <v>CODIGO</v>
          </cell>
          <cell r="D1474" t="str">
            <v>ATIVIDADES AUXILIARES</v>
          </cell>
          <cell r="E1474" t="str">
            <v>UND</v>
          </cell>
          <cell r="F1474" t="str">
            <v>QUANTIDADE</v>
          </cell>
          <cell r="H1474" t="str">
            <v>CUSTO UNITÁRIO</v>
          </cell>
          <cell r="J1474" t="str">
            <v>CUSTO UNITÁRIO</v>
          </cell>
        </row>
        <row r="1475">
          <cell r="D1475" t="str">
            <v/>
          </cell>
          <cell r="E1475" t="str">
            <v/>
          </cell>
          <cell r="H1475" t="str">
            <v/>
          </cell>
          <cell r="J1475" t="str">
            <v/>
          </cell>
        </row>
        <row r="1476">
          <cell r="D1476" t="str">
            <v/>
          </cell>
          <cell r="E1476" t="str">
            <v/>
          </cell>
          <cell r="H1476" t="str">
            <v/>
          </cell>
          <cell r="J1476" t="str">
            <v/>
          </cell>
        </row>
        <row r="1477">
          <cell r="D1477" t="str">
            <v/>
          </cell>
          <cell r="E1477" t="str">
            <v/>
          </cell>
          <cell r="H1477" t="str">
            <v/>
          </cell>
          <cell r="J1477" t="str">
            <v/>
          </cell>
        </row>
        <row r="1478">
          <cell r="D1478" t="str">
            <v/>
          </cell>
          <cell r="E1478" t="str">
            <v/>
          </cell>
          <cell r="H1478" t="str">
            <v/>
          </cell>
          <cell r="J1478" t="str">
            <v/>
          </cell>
        </row>
        <row r="1479">
          <cell r="D1479" t="str">
            <v/>
          </cell>
          <cell r="H1479" t="str">
            <v/>
          </cell>
          <cell r="J1479" t="str">
            <v/>
          </cell>
        </row>
        <row r="1480">
          <cell r="C1480" t="str">
            <v>OBSERVAÇÕES:</v>
          </cell>
          <cell r="F1480" t="str">
            <v>CUSTO ATIVIDADES AUXILIARES - (F)</v>
          </cell>
          <cell r="J1480">
            <v>0</v>
          </cell>
        </row>
        <row r="1481">
          <cell r="F1481" t="str">
            <v>CUSTO UNITÁRIO DIRETO TOTAL</v>
          </cell>
          <cell r="J1481">
            <v>194.75</v>
          </cell>
        </row>
        <row r="1482">
          <cell r="F1482" t="str">
            <v xml:space="preserve">BONIFICAÇÃO </v>
          </cell>
          <cell r="H1482">
            <v>0</v>
          </cell>
          <cell r="J1482">
            <v>0</v>
          </cell>
        </row>
        <row r="1483">
          <cell r="F1483" t="str">
            <v>PREÇO UNITÁRIO  TOTAL</v>
          </cell>
          <cell r="J1483">
            <v>194.75</v>
          </cell>
        </row>
        <row r="1487">
          <cell r="A1487" t="str">
            <v>1 A 01 423 00</v>
          </cell>
          <cell r="C1487" t="str">
            <v>SERVIÇO:</v>
          </cell>
          <cell r="D1487" t="str">
            <v>Concreto fck=18MPa para pré-moldados (tubos) ( Brita produzida e areia extraída )</v>
          </cell>
          <cell r="F1487" t="str">
            <v>PRODUÇÃO DA EQUIPE - (C):</v>
          </cell>
          <cell r="J1487">
            <v>2.5</v>
          </cell>
          <cell r="K1487" t="str">
            <v>m³</v>
          </cell>
          <cell r="M1487">
            <v>257.58999999999997</v>
          </cell>
        </row>
        <row r="1488">
          <cell r="F1488" t="str">
            <v>UNITÁRIO</v>
          </cell>
          <cell r="H1488" t="str">
            <v>C. OPERACIONAL</v>
          </cell>
        </row>
        <row r="1489">
          <cell r="C1489" t="str">
            <v>ÍTEM</v>
          </cell>
          <cell r="D1489" t="str">
            <v>E Q U I P A M E N T O</v>
          </cell>
          <cell r="E1489" t="str">
            <v>QUANT.</v>
          </cell>
          <cell r="F1489" t="str">
            <v>PROD</v>
          </cell>
          <cell r="G1489" t="str">
            <v>IMPROD</v>
          </cell>
          <cell r="H1489" t="str">
            <v>PROD</v>
          </cell>
          <cell r="I1489" t="str">
            <v>IMPROD</v>
          </cell>
          <cell r="J1489" t="str">
            <v>CUSTO HORÁRIO</v>
          </cell>
        </row>
        <row r="1490">
          <cell r="C1490" t="str">
            <v>E302</v>
          </cell>
          <cell r="D1490" t="str">
            <v xml:space="preserve">Betoneira : Penedo :  -  320 l </v>
          </cell>
          <cell r="E1490">
            <v>1</v>
          </cell>
          <cell r="F1490">
            <v>1</v>
          </cell>
          <cell r="G1490">
            <v>0</v>
          </cell>
          <cell r="H1490">
            <v>19.38</v>
          </cell>
          <cell r="I1490">
            <v>17.27</v>
          </cell>
          <cell r="J1490">
            <v>19.38</v>
          </cell>
        </row>
        <row r="1491">
          <cell r="C1491" t="str">
            <v>E304</v>
          </cell>
          <cell r="D1491" t="str">
            <v xml:space="preserve">Transportador Manual : AJS :  -  carrinho de mão 80 l </v>
          </cell>
          <cell r="E1491">
            <v>4</v>
          </cell>
          <cell r="F1491">
            <v>1</v>
          </cell>
          <cell r="G1491">
            <v>0</v>
          </cell>
          <cell r="H1491">
            <v>0.13</v>
          </cell>
          <cell r="I1491">
            <v>0</v>
          </cell>
          <cell r="J1491">
            <v>0.52</v>
          </cell>
        </row>
        <row r="1492">
          <cell r="C1492" t="str">
            <v>E509</v>
          </cell>
          <cell r="D1492" t="str">
            <v>Grupo Gerador : Heimer : GEHMI-40 - 32,0  KVA</v>
          </cell>
          <cell r="E1492">
            <v>1</v>
          </cell>
          <cell r="F1492">
            <v>1</v>
          </cell>
          <cell r="G1492">
            <v>0</v>
          </cell>
          <cell r="H1492">
            <v>32.17</v>
          </cell>
          <cell r="I1492">
            <v>17.27</v>
          </cell>
          <cell r="J1492">
            <v>32.17</v>
          </cell>
        </row>
        <row r="1493">
          <cell r="D1493" t="str">
            <v/>
          </cell>
          <cell r="G1493" t="str">
            <v/>
          </cell>
          <cell r="H1493" t="str">
            <v/>
          </cell>
          <cell r="I1493" t="str">
            <v/>
          </cell>
          <cell r="J1493" t="str">
            <v/>
          </cell>
        </row>
        <row r="1494">
          <cell r="D1494" t="str">
            <v/>
          </cell>
          <cell r="G1494" t="str">
            <v/>
          </cell>
          <cell r="H1494" t="str">
            <v/>
          </cell>
          <cell r="I1494" t="str">
            <v/>
          </cell>
          <cell r="J1494" t="str">
            <v/>
          </cell>
        </row>
        <row r="1495">
          <cell r="F1495" t="str">
            <v>CUSTO HORÁRIO DO EQUIPAMENTO - (A)</v>
          </cell>
          <cell r="J1495">
            <v>52.07</v>
          </cell>
        </row>
        <row r="1496">
          <cell r="C1496" t="str">
            <v>ÍTEM</v>
          </cell>
          <cell r="D1496" t="str">
            <v>M Ã O    D E   O B R A</v>
          </cell>
          <cell r="E1496" t="str">
            <v>QUANT.</v>
          </cell>
          <cell r="F1496" t="str">
            <v>SALÁRIO HORA</v>
          </cell>
          <cell r="J1496" t="str">
            <v>CUSTO HORÁRIO</v>
          </cell>
        </row>
        <row r="1497">
          <cell r="C1497" t="str">
            <v>T501</v>
          </cell>
          <cell r="D1497" t="str">
            <v>Encarregado de turma</v>
          </cell>
          <cell r="E1497">
            <v>1</v>
          </cell>
          <cell r="F1497">
            <v>21.11</v>
          </cell>
          <cell r="G1497" t="e">
            <v>#N/A</v>
          </cell>
          <cell r="H1497" t="e">
            <v>#N/A</v>
          </cell>
          <cell r="I1497" t="e">
            <v>#N/A</v>
          </cell>
          <cell r="J1497">
            <v>21.11</v>
          </cell>
        </row>
        <row r="1498">
          <cell r="C1498" t="str">
            <v>T604</v>
          </cell>
          <cell r="D1498" t="str">
            <v>Pedreiro</v>
          </cell>
          <cell r="E1498">
            <v>1</v>
          </cell>
          <cell r="F1498">
            <v>9.44</v>
          </cell>
          <cell r="G1498" t="e">
            <v>#N/A</v>
          </cell>
          <cell r="H1498" t="e">
            <v>#N/A</v>
          </cell>
          <cell r="I1498" t="e">
            <v>#N/A</v>
          </cell>
          <cell r="J1498">
            <v>9.44</v>
          </cell>
        </row>
        <row r="1499">
          <cell r="C1499" t="str">
            <v>T701</v>
          </cell>
          <cell r="D1499" t="str">
            <v>Servente</v>
          </cell>
          <cell r="E1499">
            <v>14</v>
          </cell>
          <cell r="F1499">
            <v>6.99</v>
          </cell>
          <cell r="G1499" t="e">
            <v>#N/A</v>
          </cell>
          <cell r="H1499" t="e">
            <v>#N/A</v>
          </cell>
          <cell r="I1499" t="e">
            <v>#N/A</v>
          </cell>
          <cell r="J1499">
            <v>97.86</v>
          </cell>
        </row>
        <row r="1500">
          <cell r="D1500" t="str">
            <v/>
          </cell>
          <cell r="F1500" t="str">
            <v/>
          </cell>
          <cell r="G1500" t="str">
            <v/>
          </cell>
          <cell r="H1500" t="str">
            <v/>
          </cell>
          <cell r="I1500" t="str">
            <v/>
          </cell>
          <cell r="J1500" t="str">
            <v/>
          </cell>
        </row>
        <row r="1501">
          <cell r="D1501" t="str">
            <v/>
          </cell>
          <cell r="F1501" t="str">
            <v/>
          </cell>
          <cell r="G1501" t="str">
            <v/>
          </cell>
          <cell r="H1501" t="str">
            <v/>
          </cell>
          <cell r="I1501" t="str">
            <v/>
          </cell>
          <cell r="J1501" t="str">
            <v/>
          </cell>
        </row>
        <row r="1502">
          <cell r="F1502" t="str">
            <v>CUSTO HORÁRIO DE MÃO DE OBRA - (B)</v>
          </cell>
          <cell r="J1502">
            <v>128.41</v>
          </cell>
        </row>
        <row r="1503">
          <cell r="F1503" t="str">
            <v>FERRAMENTAS</v>
          </cell>
          <cell r="H1503">
            <v>0.05</v>
          </cell>
          <cell r="J1503">
            <v>6.42</v>
          </cell>
        </row>
        <row r="1504">
          <cell r="F1504" t="str">
            <v>CUSTO HORÁRIO TOTAL - (A + B)</v>
          </cell>
          <cell r="J1504">
            <v>186.9</v>
          </cell>
        </row>
        <row r="1505">
          <cell r="F1505" t="str">
            <v>CUSTO UNITÁRIO DE EXECUÇÃO - (D)</v>
          </cell>
          <cell r="J1505">
            <v>74.760000000000005</v>
          </cell>
        </row>
        <row r="1506">
          <cell r="C1506" t="str">
            <v>ÍTEM</v>
          </cell>
          <cell r="D1506" t="str">
            <v>M A T E R I A L</v>
          </cell>
          <cell r="E1506" t="str">
            <v>UNID</v>
          </cell>
          <cell r="F1506" t="str">
            <v>CONSUMO</v>
          </cell>
          <cell r="H1506" t="str">
            <v xml:space="preserve"> PREÇO UNITÁRIO</v>
          </cell>
          <cell r="J1506" t="str">
            <v>CUSTO UNITÁRIO</v>
          </cell>
        </row>
        <row r="1507">
          <cell r="C1507" t="str">
            <v>M202</v>
          </cell>
          <cell r="D1507" t="str">
            <v>Cimento portland CP II-32</v>
          </cell>
          <cell r="E1507" t="str">
            <v>kg</v>
          </cell>
          <cell r="F1507">
            <v>350</v>
          </cell>
          <cell r="H1507">
            <v>0.45</v>
          </cell>
          <cell r="I1507" t="str">
            <v/>
          </cell>
          <cell r="J1507">
            <v>157.5</v>
          </cell>
        </row>
        <row r="1508">
          <cell r="D1508" t="str">
            <v/>
          </cell>
          <cell r="E1508" t="str">
            <v/>
          </cell>
          <cell r="H1508" t="str">
            <v/>
          </cell>
          <cell r="I1508" t="str">
            <v/>
          </cell>
          <cell r="J1508" t="str">
            <v/>
          </cell>
        </row>
        <row r="1509">
          <cell r="D1509" t="str">
            <v/>
          </cell>
          <cell r="E1509" t="str">
            <v/>
          </cell>
          <cell r="H1509" t="str">
            <v/>
          </cell>
          <cell r="I1509" t="str">
            <v/>
          </cell>
          <cell r="J1509" t="str">
            <v/>
          </cell>
        </row>
        <row r="1510">
          <cell r="D1510" t="str">
            <v/>
          </cell>
          <cell r="E1510" t="str">
            <v/>
          </cell>
          <cell r="H1510" t="str">
            <v/>
          </cell>
          <cell r="I1510" t="str">
            <v/>
          </cell>
          <cell r="J1510" t="str">
            <v/>
          </cell>
        </row>
        <row r="1511">
          <cell r="D1511" t="str">
            <v/>
          </cell>
          <cell r="E1511" t="str">
            <v/>
          </cell>
          <cell r="H1511" t="str">
            <v/>
          </cell>
          <cell r="I1511" t="str">
            <v/>
          </cell>
          <cell r="J1511" t="str">
            <v/>
          </cell>
        </row>
        <row r="1512">
          <cell r="F1512" t="str">
            <v>CUSTO TOTAL DE MATERIAL - (E)</v>
          </cell>
          <cell r="J1512">
            <v>157.5</v>
          </cell>
        </row>
        <row r="1513">
          <cell r="C1513" t="str">
            <v>CODIGO</v>
          </cell>
          <cell r="D1513" t="str">
            <v>ATIVIDADES AUXILIARES</v>
          </cell>
          <cell r="E1513" t="str">
            <v>UND</v>
          </cell>
          <cell r="F1513" t="str">
            <v>QUANTIDADE</v>
          </cell>
          <cell r="H1513" t="str">
            <v>CUSTO UNITÁRIO</v>
          </cell>
          <cell r="J1513" t="str">
            <v>CUSTO UNITÁRIO</v>
          </cell>
        </row>
        <row r="1514">
          <cell r="C1514" t="str">
            <v>1 A 01 170 01</v>
          </cell>
          <cell r="D1514" t="str">
            <v>Areia extraída com trator e carregadeira</v>
          </cell>
          <cell r="E1514" t="str">
            <v>M³</v>
          </cell>
          <cell r="F1514">
            <v>0.61599999999999999</v>
          </cell>
          <cell r="H1514">
            <v>5.56</v>
          </cell>
          <cell r="J1514">
            <v>3.42</v>
          </cell>
        </row>
        <row r="1515">
          <cell r="C1515" t="str">
            <v>1 A 01 200 01</v>
          </cell>
          <cell r="D1515" t="str">
            <v>Brita produzida em central de britagem de 80 m3/h</v>
          </cell>
          <cell r="E1515" t="str">
            <v>m³</v>
          </cell>
          <cell r="F1515">
            <v>0.76800000000000002</v>
          </cell>
          <cell r="H1515">
            <v>28.54</v>
          </cell>
          <cell r="J1515">
            <v>21.91</v>
          </cell>
        </row>
        <row r="1516">
          <cell r="D1516" t="str">
            <v/>
          </cell>
          <cell r="E1516" t="str">
            <v/>
          </cell>
          <cell r="H1516" t="str">
            <v/>
          </cell>
          <cell r="J1516" t="str">
            <v/>
          </cell>
        </row>
        <row r="1517">
          <cell r="D1517" t="str">
            <v/>
          </cell>
          <cell r="E1517" t="str">
            <v/>
          </cell>
          <cell r="H1517" t="str">
            <v/>
          </cell>
          <cell r="J1517" t="str">
            <v/>
          </cell>
        </row>
        <row r="1518">
          <cell r="D1518" t="str">
            <v/>
          </cell>
          <cell r="H1518" t="str">
            <v/>
          </cell>
          <cell r="J1518" t="str">
            <v/>
          </cell>
        </row>
        <row r="1519">
          <cell r="C1519" t="str">
            <v>OBSERVAÇÕES:</v>
          </cell>
          <cell r="F1519" t="str">
            <v>CUSTO ATIVIDADES AUXILIARES - (F)</v>
          </cell>
          <cell r="J1519">
            <v>25.33</v>
          </cell>
        </row>
        <row r="1520">
          <cell r="F1520" t="str">
            <v>CUSTO UNITÁRIO DIRETO TOTAL</v>
          </cell>
          <cell r="J1520">
            <v>257.58999999999997</v>
          </cell>
        </row>
        <row r="1521">
          <cell r="F1521" t="str">
            <v xml:space="preserve">BONIFICAÇÃO </v>
          </cell>
          <cell r="H1521">
            <v>0</v>
          </cell>
          <cell r="J1521">
            <v>0</v>
          </cell>
        </row>
        <row r="1522">
          <cell r="F1522" t="str">
            <v>PREÇO UNITÁRIO  TOTAL</v>
          </cell>
          <cell r="J1522">
            <v>257.58999999999997</v>
          </cell>
        </row>
        <row r="1526">
          <cell r="A1526" t="str">
            <v>1 A 01 423 50</v>
          </cell>
          <cell r="C1526" t="str">
            <v>SERVIÇO:</v>
          </cell>
          <cell r="D1526" t="str">
            <v>Concreto fck=18MPa para pré-moldados (Tubos) AC/BC/TC</v>
          </cell>
          <cell r="F1526" t="str">
            <v>PRODUÇÃO DA EQUIPE - (C):</v>
          </cell>
          <cell r="J1526">
            <v>2.5</v>
          </cell>
          <cell r="K1526" t="str">
            <v>m³</v>
          </cell>
          <cell r="M1526" t="e">
            <v>#N/A</v>
          </cell>
        </row>
        <row r="1527">
          <cell r="F1527" t="str">
            <v>UNITÁRIO</v>
          </cell>
          <cell r="H1527" t="str">
            <v>C. OPERACIONAL</v>
          </cell>
        </row>
        <row r="1528">
          <cell r="C1528" t="str">
            <v>ÍTEM</v>
          </cell>
          <cell r="D1528" t="str">
            <v>E Q U I P A M E N T O</v>
          </cell>
          <cell r="E1528" t="str">
            <v>QUANT.</v>
          </cell>
          <cell r="F1528" t="str">
            <v>PROD</v>
          </cell>
          <cell r="G1528" t="str">
            <v>IMPROD</v>
          </cell>
          <cell r="H1528" t="str">
            <v>PROD</v>
          </cell>
          <cell r="I1528" t="str">
            <v>IMPROD</v>
          </cell>
          <cell r="J1528" t="str">
            <v>CUSTO HORÁRIO</v>
          </cell>
        </row>
        <row r="1529">
          <cell r="C1529" t="str">
            <v>E302</v>
          </cell>
          <cell r="D1529" t="str">
            <v xml:space="preserve">Betoneira : Penedo :  -  320 l </v>
          </cell>
          <cell r="E1529">
            <v>1</v>
          </cell>
          <cell r="F1529">
            <v>1</v>
          </cell>
          <cell r="G1529">
            <v>0</v>
          </cell>
          <cell r="H1529">
            <v>19.38</v>
          </cell>
          <cell r="I1529">
            <v>17.27</v>
          </cell>
          <cell r="J1529">
            <v>19.38</v>
          </cell>
        </row>
        <row r="1530">
          <cell r="C1530" t="str">
            <v>E304</v>
          </cell>
          <cell r="D1530" t="str">
            <v xml:space="preserve">Transportador Manual : AJS :  -  carrinho de mão 80 l </v>
          </cell>
          <cell r="E1530">
            <v>4</v>
          </cell>
          <cell r="F1530">
            <v>1</v>
          </cell>
          <cell r="G1530">
            <v>0</v>
          </cell>
          <cell r="H1530">
            <v>0.13</v>
          </cell>
          <cell r="I1530">
            <v>0</v>
          </cell>
          <cell r="J1530">
            <v>0.52</v>
          </cell>
        </row>
        <row r="1531">
          <cell r="C1531" t="str">
            <v>E509</v>
          </cell>
          <cell r="D1531" t="str">
            <v>Grupo Gerador : Heimer : GEHMI-40 - 32,0  KVA</v>
          </cell>
          <cell r="E1531">
            <v>1</v>
          </cell>
          <cell r="F1531">
            <v>1</v>
          </cell>
          <cell r="G1531">
            <v>0</v>
          </cell>
          <cell r="H1531">
            <v>32.17</v>
          </cell>
          <cell r="I1531">
            <v>17.27</v>
          </cell>
          <cell r="J1531">
            <v>32.17</v>
          </cell>
        </row>
        <row r="1532">
          <cell r="D1532" t="str">
            <v/>
          </cell>
          <cell r="G1532" t="str">
            <v/>
          </cell>
          <cell r="H1532" t="str">
            <v/>
          </cell>
          <cell r="I1532" t="str">
            <v/>
          </cell>
          <cell r="J1532" t="str">
            <v/>
          </cell>
        </row>
        <row r="1533">
          <cell r="D1533" t="str">
            <v/>
          </cell>
          <cell r="G1533" t="str">
            <v/>
          </cell>
          <cell r="H1533" t="str">
            <v/>
          </cell>
          <cell r="I1533" t="str">
            <v/>
          </cell>
          <cell r="J1533" t="str">
            <v/>
          </cell>
        </row>
        <row r="1534">
          <cell r="F1534" t="str">
            <v>CUSTO HORÁRIO DO EQUIPAMENTO - (A)</v>
          </cell>
          <cell r="J1534">
            <v>52.07</v>
          </cell>
        </row>
        <row r="1535">
          <cell r="C1535" t="str">
            <v>ÍTEM</v>
          </cell>
          <cell r="D1535" t="str">
            <v>M Ã O    D E   O B R A</v>
          </cell>
          <cell r="E1535" t="str">
            <v>QUANT.</v>
          </cell>
          <cell r="F1535" t="str">
            <v>SALÁRIO HORA</v>
          </cell>
          <cell r="J1535" t="str">
            <v>CUSTO HORÁRIO</v>
          </cell>
        </row>
        <row r="1536">
          <cell r="C1536" t="str">
            <v>T501</v>
          </cell>
          <cell r="D1536" t="str">
            <v>Encarregado de turma</v>
          </cell>
          <cell r="E1536">
            <v>1</v>
          </cell>
          <cell r="F1536">
            <v>21.11</v>
          </cell>
          <cell r="G1536" t="e">
            <v>#N/A</v>
          </cell>
          <cell r="H1536" t="e">
            <v>#N/A</v>
          </cell>
          <cell r="I1536" t="e">
            <v>#N/A</v>
          </cell>
          <cell r="J1536">
            <v>21.11</v>
          </cell>
        </row>
        <row r="1537">
          <cell r="C1537" t="str">
            <v>T604</v>
          </cell>
          <cell r="D1537" t="str">
            <v>Pedreiro</v>
          </cell>
          <cell r="E1537">
            <v>1</v>
          </cell>
          <cell r="F1537">
            <v>9.44</v>
          </cell>
          <cell r="G1537" t="e">
            <v>#N/A</v>
          </cell>
          <cell r="H1537" t="e">
            <v>#N/A</v>
          </cell>
          <cell r="I1537" t="e">
            <v>#N/A</v>
          </cell>
          <cell r="J1537">
            <v>9.44</v>
          </cell>
        </row>
        <row r="1538">
          <cell r="C1538" t="str">
            <v>T701</v>
          </cell>
          <cell r="D1538" t="str">
            <v>Servente</v>
          </cell>
          <cell r="E1538">
            <v>14</v>
          </cell>
          <cell r="F1538">
            <v>6.99</v>
          </cell>
          <cell r="G1538" t="e">
            <v>#N/A</v>
          </cell>
          <cell r="H1538" t="e">
            <v>#N/A</v>
          </cell>
          <cell r="I1538" t="e">
            <v>#N/A</v>
          </cell>
          <cell r="J1538">
            <v>97.86</v>
          </cell>
        </row>
        <row r="1539">
          <cell r="D1539" t="str">
            <v/>
          </cell>
          <cell r="F1539" t="str">
            <v/>
          </cell>
          <cell r="G1539" t="str">
            <v/>
          </cell>
          <cell r="H1539" t="str">
            <v/>
          </cell>
          <cell r="I1539" t="str">
            <v/>
          </cell>
          <cell r="J1539" t="str">
            <v/>
          </cell>
        </row>
        <row r="1540">
          <cell r="D1540" t="str">
            <v/>
          </cell>
          <cell r="F1540" t="str">
            <v/>
          </cell>
          <cell r="G1540" t="str">
            <v/>
          </cell>
          <cell r="H1540" t="str">
            <v/>
          </cell>
          <cell r="I1540" t="str">
            <v/>
          </cell>
          <cell r="J1540" t="str">
            <v/>
          </cell>
        </row>
        <row r="1541">
          <cell r="F1541" t="str">
            <v>CUSTO HORÁRIO DE MÃO DE OBRA - (B)</v>
          </cell>
          <cell r="J1541">
            <v>128.41</v>
          </cell>
        </row>
        <row r="1542">
          <cell r="F1542" t="str">
            <v>FERRAMENTAS</v>
          </cell>
          <cell r="H1542">
            <v>0.2051</v>
          </cell>
          <cell r="J1542">
            <v>26.33</v>
          </cell>
        </row>
        <row r="1543">
          <cell r="F1543" t="str">
            <v>CUSTO HORÁRIO TOTAL - (A + B)</v>
          </cell>
          <cell r="J1543">
            <v>206.81</v>
          </cell>
        </row>
        <row r="1544">
          <cell r="F1544" t="str">
            <v>CUSTO UNITÁRIO DE EXECUÇÃO - (D)</v>
          </cell>
          <cell r="J1544">
            <v>82.72</v>
          </cell>
        </row>
        <row r="1545">
          <cell r="C1545" t="str">
            <v>ÍTEM</v>
          </cell>
          <cell r="D1545" t="str">
            <v>M A T E R I A L</v>
          </cell>
          <cell r="E1545" t="str">
            <v>UNID</v>
          </cell>
          <cell r="F1545" t="str">
            <v>CONSUMO</v>
          </cell>
          <cell r="H1545" t="str">
            <v xml:space="preserve"> PREÇO UNITÁRIO</v>
          </cell>
          <cell r="J1545" t="str">
            <v>CUSTO UNITÁRIO</v>
          </cell>
        </row>
        <row r="1546">
          <cell r="C1546" t="str">
            <v>M202</v>
          </cell>
          <cell r="D1546" t="str">
            <v>Cimento portland CP II-32</v>
          </cell>
          <cell r="E1546" t="str">
            <v>kg</v>
          </cell>
          <cell r="F1546">
            <v>350</v>
          </cell>
          <cell r="H1546">
            <v>0.45</v>
          </cell>
          <cell r="I1546" t="str">
            <v/>
          </cell>
          <cell r="J1546">
            <v>157.5</v>
          </cell>
        </row>
        <row r="1547">
          <cell r="C1547" t="str">
            <v>M704</v>
          </cell>
          <cell r="D1547" t="str">
            <v>Areia lavada comercial DMT até 50 km</v>
          </cell>
          <cell r="E1547" t="str">
            <v>m3</v>
          </cell>
          <cell r="F1547">
            <v>0.61599999999999999</v>
          </cell>
          <cell r="H1547">
            <v>60</v>
          </cell>
          <cell r="I1547" t="str">
            <v/>
          </cell>
          <cell r="J1547">
            <v>36.96</v>
          </cell>
        </row>
        <row r="1548">
          <cell r="D1548" t="str">
            <v/>
          </cell>
          <cell r="E1548" t="str">
            <v/>
          </cell>
          <cell r="H1548" t="str">
            <v/>
          </cell>
          <cell r="I1548" t="str">
            <v/>
          </cell>
          <cell r="J1548" t="str">
            <v/>
          </cell>
        </row>
        <row r="1549">
          <cell r="D1549" t="str">
            <v/>
          </cell>
          <cell r="E1549" t="str">
            <v/>
          </cell>
          <cell r="H1549" t="str">
            <v/>
          </cell>
          <cell r="I1549" t="str">
            <v/>
          </cell>
          <cell r="J1549" t="str">
            <v/>
          </cell>
        </row>
        <row r="1550">
          <cell r="D1550" t="str">
            <v/>
          </cell>
          <cell r="E1550" t="str">
            <v/>
          </cell>
          <cell r="H1550" t="str">
            <v/>
          </cell>
          <cell r="I1550" t="str">
            <v/>
          </cell>
          <cell r="J1550" t="str">
            <v/>
          </cell>
        </row>
        <row r="1551">
          <cell r="F1551" t="str">
            <v>CUSTO TOTAL DE MATERIAL - (E)</v>
          </cell>
          <cell r="J1551">
            <v>194.46</v>
          </cell>
        </row>
        <row r="1552">
          <cell r="C1552" t="str">
            <v>CODIGO</v>
          </cell>
          <cell r="D1552" t="str">
            <v>ATIVIDADES AUXILIARES</v>
          </cell>
          <cell r="E1552" t="str">
            <v>UND</v>
          </cell>
          <cell r="F1552" t="str">
            <v>QUANTIDADE</v>
          </cell>
          <cell r="H1552" t="str">
            <v>CUSTO UNITÁRIO</v>
          </cell>
          <cell r="J1552" t="str">
            <v>CUSTO UNITÁRIO</v>
          </cell>
        </row>
        <row r="1553">
          <cell r="C1553" t="str">
            <v>1 A 00 717 00</v>
          </cell>
          <cell r="D1553" t="e">
            <v>#N/A</v>
          </cell>
          <cell r="E1553" t="e">
            <v>#N/A</v>
          </cell>
          <cell r="F1553">
            <v>0.76800000000000002</v>
          </cell>
          <cell r="H1553" t="e">
            <v>#N/A</v>
          </cell>
          <cell r="J1553" t="e">
            <v>#N/A</v>
          </cell>
        </row>
        <row r="1554">
          <cell r="D1554" t="str">
            <v/>
          </cell>
          <cell r="E1554" t="str">
            <v/>
          </cell>
          <cell r="H1554" t="str">
            <v/>
          </cell>
          <cell r="J1554" t="str">
            <v/>
          </cell>
        </row>
        <row r="1555">
          <cell r="D1555" t="str">
            <v/>
          </cell>
          <cell r="E1555" t="str">
            <v/>
          </cell>
          <cell r="H1555" t="str">
            <v/>
          </cell>
          <cell r="J1555" t="str">
            <v/>
          </cell>
        </row>
        <row r="1556">
          <cell r="D1556" t="str">
            <v/>
          </cell>
          <cell r="E1556" t="str">
            <v/>
          </cell>
          <cell r="H1556" t="str">
            <v/>
          </cell>
          <cell r="J1556" t="str">
            <v/>
          </cell>
        </row>
        <row r="1557">
          <cell r="D1557" t="str">
            <v/>
          </cell>
          <cell r="H1557" t="str">
            <v/>
          </cell>
          <cell r="J1557" t="str">
            <v/>
          </cell>
        </row>
        <row r="1558">
          <cell r="C1558" t="str">
            <v>OBSERVAÇÕES:</v>
          </cell>
          <cell r="F1558" t="str">
            <v>CUSTO ATIVIDADES AUXILIARES - (F)</v>
          </cell>
          <cell r="J1558" t="e">
            <v>#N/A</v>
          </cell>
        </row>
        <row r="1559">
          <cell r="F1559" t="str">
            <v>CUSTO UNITÁRIO DIRETO TOTAL</v>
          </cell>
          <cell r="J1559" t="e">
            <v>#N/A</v>
          </cell>
        </row>
        <row r="1560">
          <cell r="F1560" t="str">
            <v xml:space="preserve">BONIFICAÇÃO </v>
          </cell>
          <cell r="H1560">
            <v>0</v>
          </cell>
          <cell r="J1560" t="e">
            <v>#N/A</v>
          </cell>
        </row>
        <row r="1561">
          <cell r="F1561" t="str">
            <v>PREÇO UNITÁRIO  TOTAL</v>
          </cell>
          <cell r="J1561" t="e">
            <v>#N/A</v>
          </cell>
        </row>
        <row r="1565">
          <cell r="A1565" t="str">
            <v>1 A 01 425 51</v>
          </cell>
          <cell r="C1565" t="str">
            <v>SERVIÇO:</v>
          </cell>
          <cell r="D1565" t="str">
            <v>Concreto estrutural fck=25MPa controle razoável uso geral conf. e lanç. (brita e areia comerciais)</v>
          </cell>
          <cell r="F1565" t="str">
            <v>PRODUÇÃO DA EQUIPE - (C):</v>
          </cell>
          <cell r="J1565">
            <v>2.5</v>
          </cell>
          <cell r="K1565" t="str">
            <v>m³</v>
          </cell>
          <cell r="M1565" t="e">
            <v>#N/A</v>
          </cell>
        </row>
        <row r="1566">
          <cell r="F1566" t="str">
            <v>UNITÁRIO</v>
          </cell>
          <cell r="H1566" t="str">
            <v>C. OPERACIONAL</v>
          </cell>
        </row>
        <row r="1567">
          <cell r="C1567" t="str">
            <v>ÍTEM</v>
          </cell>
          <cell r="D1567" t="str">
            <v>E Q U I P A M E N T O</v>
          </cell>
          <cell r="E1567" t="str">
            <v>QUANT.</v>
          </cell>
          <cell r="F1567" t="str">
            <v>PROD</v>
          </cell>
          <cell r="G1567" t="str">
            <v>IMPROD</v>
          </cell>
          <cell r="H1567" t="str">
            <v>PROD</v>
          </cell>
          <cell r="I1567" t="str">
            <v>IMPROD</v>
          </cell>
          <cell r="J1567" t="str">
            <v>CUSTO HORÁRIO</v>
          </cell>
        </row>
        <row r="1568">
          <cell r="C1568" t="str">
            <v>E302</v>
          </cell>
          <cell r="D1568" t="str">
            <v xml:space="preserve">Betoneira : Penedo :  -  320 l </v>
          </cell>
          <cell r="E1568">
            <v>1</v>
          </cell>
          <cell r="F1568">
            <v>1</v>
          </cell>
          <cell r="G1568">
            <v>0</v>
          </cell>
          <cell r="H1568">
            <v>19.38</v>
          </cell>
          <cell r="I1568">
            <v>17.27</v>
          </cell>
          <cell r="J1568">
            <v>19.38</v>
          </cell>
        </row>
        <row r="1569">
          <cell r="C1569" t="str">
            <v>E304</v>
          </cell>
          <cell r="D1569" t="str">
            <v xml:space="preserve">Transportador Manual : AJS :  -  carrinho de mão 80 l </v>
          </cell>
          <cell r="E1569">
            <v>3</v>
          </cell>
          <cell r="F1569">
            <v>0.69</v>
          </cell>
          <cell r="G1569">
            <v>0.31</v>
          </cell>
          <cell r="H1569">
            <v>0.13</v>
          </cell>
          <cell r="I1569">
            <v>0</v>
          </cell>
          <cell r="J1569">
            <v>0.26</v>
          </cell>
        </row>
        <row r="1570">
          <cell r="C1570" t="str">
            <v>E306</v>
          </cell>
          <cell r="D1570" t="str">
            <v xml:space="preserve">(*) Vibrador de Concreto : Diversos : VIP45/MT2 -  de imersão </v>
          </cell>
          <cell r="E1570">
            <v>2</v>
          </cell>
          <cell r="F1570">
            <v>1</v>
          </cell>
          <cell r="G1570">
            <v>0</v>
          </cell>
          <cell r="H1570">
            <v>16.45</v>
          </cell>
          <cell r="I1570">
            <v>15.35</v>
          </cell>
          <cell r="J1570">
            <v>32.9</v>
          </cell>
        </row>
        <row r="1571">
          <cell r="C1571" t="str">
            <v>E509</v>
          </cell>
          <cell r="D1571" t="str">
            <v>Grupo Gerador : Heimer : GEHMI-40 - 32,0  KVA</v>
          </cell>
          <cell r="E1571">
            <v>1</v>
          </cell>
          <cell r="F1571">
            <v>1</v>
          </cell>
          <cell r="G1571">
            <v>0</v>
          </cell>
          <cell r="H1571">
            <v>32.17</v>
          </cell>
          <cell r="I1571">
            <v>17.27</v>
          </cell>
          <cell r="J1571">
            <v>32.17</v>
          </cell>
        </row>
        <row r="1572">
          <cell r="D1572" t="str">
            <v/>
          </cell>
          <cell r="G1572" t="str">
            <v/>
          </cell>
          <cell r="H1572" t="str">
            <v/>
          </cell>
          <cell r="I1572" t="str">
            <v/>
          </cell>
          <cell r="J1572" t="str">
            <v/>
          </cell>
        </row>
        <row r="1573">
          <cell r="D1573" t="str">
            <v/>
          </cell>
          <cell r="G1573" t="str">
            <v/>
          </cell>
          <cell r="H1573" t="str">
            <v/>
          </cell>
          <cell r="I1573" t="str">
            <v/>
          </cell>
          <cell r="J1573" t="str">
            <v/>
          </cell>
        </row>
        <row r="1574">
          <cell r="F1574" t="str">
            <v>CUSTO HORÁRIO DO EQUIPAMENTO - (A)</v>
          </cell>
          <cell r="J1574">
            <v>84.71</v>
          </cell>
        </row>
        <row r="1575">
          <cell r="C1575" t="str">
            <v>ÍTEM</v>
          </cell>
          <cell r="D1575" t="str">
            <v>M Ã O    D E   O B R A</v>
          </cell>
          <cell r="E1575" t="str">
            <v>QUANT.</v>
          </cell>
          <cell r="F1575" t="str">
            <v>SALÁRIO HORA</v>
          </cell>
          <cell r="J1575" t="str">
            <v>CUSTO HORÁRIO</v>
          </cell>
        </row>
        <row r="1576">
          <cell r="C1576" t="str">
            <v>T604</v>
          </cell>
          <cell r="D1576" t="str">
            <v>Pedreiro</v>
          </cell>
          <cell r="E1576">
            <v>1</v>
          </cell>
          <cell r="F1576">
            <v>9.44</v>
          </cell>
          <cell r="G1576" t="e">
            <v>#N/A</v>
          </cell>
          <cell r="H1576" t="e">
            <v>#N/A</v>
          </cell>
          <cell r="I1576" t="e">
            <v>#N/A</v>
          </cell>
          <cell r="J1576">
            <v>9.44</v>
          </cell>
        </row>
        <row r="1577">
          <cell r="C1577" t="str">
            <v>T701</v>
          </cell>
          <cell r="D1577" t="str">
            <v>Servente</v>
          </cell>
          <cell r="E1577">
            <v>14</v>
          </cell>
          <cell r="F1577">
            <v>6.99</v>
          </cell>
          <cell r="G1577" t="e">
            <v>#N/A</v>
          </cell>
          <cell r="H1577" t="e">
            <v>#N/A</v>
          </cell>
          <cell r="I1577" t="e">
            <v>#N/A</v>
          </cell>
          <cell r="J1577">
            <v>97.86</v>
          </cell>
        </row>
        <row r="1578">
          <cell r="D1578" t="str">
            <v/>
          </cell>
          <cell r="F1578" t="str">
            <v/>
          </cell>
          <cell r="G1578" t="str">
            <v/>
          </cell>
          <cell r="H1578" t="str">
            <v/>
          </cell>
          <cell r="I1578" t="str">
            <v/>
          </cell>
          <cell r="J1578" t="str">
            <v/>
          </cell>
        </row>
        <row r="1579">
          <cell r="D1579" t="str">
            <v/>
          </cell>
          <cell r="F1579" t="str">
            <v/>
          </cell>
          <cell r="G1579" t="str">
            <v/>
          </cell>
          <cell r="H1579" t="str">
            <v/>
          </cell>
          <cell r="I1579" t="str">
            <v/>
          </cell>
          <cell r="J1579" t="str">
            <v/>
          </cell>
        </row>
        <row r="1580">
          <cell r="D1580" t="str">
            <v/>
          </cell>
          <cell r="F1580" t="str">
            <v/>
          </cell>
          <cell r="G1580" t="str">
            <v/>
          </cell>
          <cell r="H1580" t="str">
            <v/>
          </cell>
          <cell r="I1580" t="str">
            <v/>
          </cell>
          <cell r="J1580" t="str">
            <v/>
          </cell>
        </row>
        <row r="1581">
          <cell r="F1581" t="str">
            <v>CUSTO HORÁRIO DE MÃO DE OBRA - (B)</v>
          </cell>
          <cell r="J1581">
            <v>107.3</v>
          </cell>
        </row>
        <row r="1582">
          <cell r="F1582" t="str">
            <v>FERRAMENTAS</v>
          </cell>
          <cell r="H1582">
            <v>0.2051</v>
          </cell>
          <cell r="J1582">
            <v>22</v>
          </cell>
        </row>
        <row r="1583">
          <cell r="F1583" t="str">
            <v>CUSTO HORÁRIO TOTAL - (A + B)</v>
          </cell>
          <cell r="J1583">
            <v>214.01</v>
          </cell>
        </row>
        <row r="1584">
          <cell r="F1584" t="str">
            <v>CUSTO UNITÁRIO DE EXECUÇÃO - (D)</v>
          </cell>
          <cell r="J1584">
            <v>85.6</v>
          </cell>
        </row>
        <row r="1585">
          <cell r="C1585" t="str">
            <v>ÍTEM</v>
          </cell>
          <cell r="D1585" t="str">
            <v>M A T E R I A L</v>
          </cell>
          <cell r="E1585" t="str">
            <v>UNID</v>
          </cell>
          <cell r="F1585" t="str">
            <v>CONSUMO</v>
          </cell>
          <cell r="H1585" t="str">
            <v xml:space="preserve"> PREÇO UNITÁRIO</v>
          </cell>
          <cell r="J1585" t="str">
            <v>CUSTO UNITÁRIO</v>
          </cell>
        </row>
        <row r="1586">
          <cell r="C1586" t="str">
            <v>M202</v>
          </cell>
          <cell r="D1586" t="str">
            <v>Cimento portland CP II-32</v>
          </cell>
          <cell r="E1586" t="str">
            <v>kg</v>
          </cell>
          <cell r="F1586">
            <v>435</v>
          </cell>
          <cell r="H1586">
            <v>0.45</v>
          </cell>
          <cell r="I1586" t="str">
            <v/>
          </cell>
          <cell r="J1586">
            <v>195.75</v>
          </cell>
        </row>
        <row r="1587">
          <cell r="C1587" t="str">
            <v>M704</v>
          </cell>
          <cell r="D1587" t="str">
            <v>Areia lavada comercial DMT até 50 km</v>
          </cell>
          <cell r="E1587" t="str">
            <v>m3</v>
          </cell>
          <cell r="F1587">
            <v>0.56499999999999995</v>
          </cell>
          <cell r="H1587">
            <v>60</v>
          </cell>
          <cell r="I1587" t="str">
            <v/>
          </cell>
          <cell r="J1587">
            <v>33.9</v>
          </cell>
        </row>
        <row r="1588">
          <cell r="D1588" t="str">
            <v/>
          </cell>
          <cell r="E1588" t="str">
            <v/>
          </cell>
          <cell r="H1588" t="str">
            <v/>
          </cell>
          <cell r="I1588" t="str">
            <v/>
          </cell>
          <cell r="J1588" t="str">
            <v/>
          </cell>
        </row>
        <row r="1589">
          <cell r="D1589" t="str">
            <v/>
          </cell>
          <cell r="E1589" t="str">
            <v/>
          </cell>
          <cell r="H1589" t="str">
            <v/>
          </cell>
          <cell r="I1589" t="str">
            <v/>
          </cell>
          <cell r="J1589" t="str">
            <v/>
          </cell>
        </row>
        <row r="1590">
          <cell r="D1590" t="str">
            <v/>
          </cell>
          <cell r="E1590" t="str">
            <v/>
          </cell>
          <cell r="H1590" t="str">
            <v/>
          </cell>
          <cell r="I1590" t="str">
            <v/>
          </cell>
          <cell r="J1590" t="str">
            <v/>
          </cell>
        </row>
        <row r="1591">
          <cell r="F1591" t="str">
            <v>CUSTO TOTAL DE MATERIAL - (E)</v>
          </cell>
          <cell r="J1591">
            <v>229.65</v>
          </cell>
        </row>
        <row r="1592">
          <cell r="C1592" t="str">
            <v>CODIGO</v>
          </cell>
          <cell r="D1592" t="str">
            <v>ATIVIDADES AUXILIARES</v>
          </cell>
          <cell r="E1592" t="str">
            <v>UND</v>
          </cell>
          <cell r="F1592" t="str">
            <v>QUANTIDADE</v>
          </cell>
          <cell r="H1592" t="str">
            <v>CUSTO UNITÁRIO</v>
          </cell>
          <cell r="J1592" t="str">
            <v>CUSTO UNITÁRIO</v>
          </cell>
        </row>
        <row r="1593">
          <cell r="C1593" t="str">
            <v>1 A 00 717 00</v>
          </cell>
          <cell r="D1593" t="e">
            <v>#N/A</v>
          </cell>
          <cell r="E1593" t="e">
            <v>#N/A</v>
          </cell>
          <cell r="F1593">
            <v>0.74</v>
          </cell>
          <cell r="H1593" t="e">
            <v>#N/A</v>
          </cell>
          <cell r="J1593" t="e">
            <v>#N/A</v>
          </cell>
        </row>
        <row r="1594">
          <cell r="D1594" t="str">
            <v/>
          </cell>
          <cell r="E1594" t="str">
            <v/>
          </cell>
          <cell r="H1594" t="str">
            <v/>
          </cell>
          <cell r="J1594" t="str">
            <v/>
          </cell>
        </row>
        <row r="1595">
          <cell r="D1595" t="str">
            <v/>
          </cell>
          <cell r="E1595" t="str">
            <v/>
          </cell>
          <cell r="H1595" t="str">
            <v/>
          </cell>
          <cell r="J1595" t="str">
            <v/>
          </cell>
        </row>
        <row r="1596">
          <cell r="D1596" t="str">
            <v/>
          </cell>
          <cell r="E1596" t="str">
            <v/>
          </cell>
          <cell r="H1596" t="str">
            <v/>
          </cell>
          <cell r="J1596" t="str">
            <v/>
          </cell>
        </row>
        <row r="1597">
          <cell r="D1597" t="str">
            <v/>
          </cell>
          <cell r="H1597" t="str">
            <v/>
          </cell>
          <cell r="J1597" t="str">
            <v/>
          </cell>
        </row>
        <row r="1598">
          <cell r="C1598" t="str">
            <v>OBSERVAÇÕES:</v>
          </cell>
          <cell r="F1598" t="str">
            <v>CUSTO ATIVIDADES AUXILIARES - (F)</v>
          </cell>
          <cell r="J1598" t="e">
            <v>#N/A</v>
          </cell>
        </row>
        <row r="1599">
          <cell r="F1599" t="str">
            <v>CUSTO UNITÁRIO DIRETO TOTAL</v>
          </cell>
          <cell r="J1599" t="e">
            <v>#N/A</v>
          </cell>
        </row>
        <row r="1600">
          <cell r="F1600" t="str">
            <v xml:space="preserve">BONIFICAÇÃO </v>
          </cell>
          <cell r="H1600">
            <v>0</v>
          </cell>
          <cell r="J1600" t="e">
            <v>#N/A</v>
          </cell>
        </row>
        <row r="1601">
          <cell r="F1601" t="str">
            <v>PREÇO UNITÁRIO  TOTAL</v>
          </cell>
          <cell r="J1601" t="e">
            <v>#N/A</v>
          </cell>
        </row>
        <row r="1605">
          <cell r="A1605" t="str">
            <v>1 A 01 450 01</v>
          </cell>
          <cell r="C1605" t="str">
            <v>SERVIÇO:</v>
          </cell>
          <cell r="D1605" t="str">
            <v>Escoramento de bueiros celulares</v>
          </cell>
          <cell r="F1605" t="str">
            <v>PRODUÇÃO DA EQUIPE - (C):</v>
          </cell>
          <cell r="J1605">
            <v>1</v>
          </cell>
          <cell r="K1605" t="str">
            <v>M³</v>
          </cell>
          <cell r="M1605">
            <v>57.56</v>
          </cell>
        </row>
        <row r="1606">
          <cell r="F1606" t="str">
            <v>UNITÁRIO</v>
          </cell>
          <cell r="H1606" t="str">
            <v>C. OPERACIONAL</v>
          </cell>
        </row>
        <row r="1607">
          <cell r="C1607" t="str">
            <v>ÍTEM</v>
          </cell>
          <cell r="D1607" t="str">
            <v>E Q U I P A M E N T O</v>
          </cell>
          <cell r="E1607" t="str">
            <v>QUANT.</v>
          </cell>
          <cell r="F1607" t="str">
            <v>PROD</v>
          </cell>
          <cell r="G1607" t="str">
            <v>IMPROD</v>
          </cell>
          <cell r="H1607" t="str">
            <v>PROD</v>
          </cell>
          <cell r="I1607" t="str">
            <v>IMPROD</v>
          </cell>
          <cell r="J1607" t="str">
            <v>CUSTO HORÁRIO</v>
          </cell>
        </row>
        <row r="1608">
          <cell r="C1608" t="str">
            <v>E509</v>
          </cell>
          <cell r="D1608" t="str">
            <v>Grupo Gerador : Heimer : GEHMI-40 - 32,0  KVA</v>
          </cell>
          <cell r="E1608">
            <v>1</v>
          </cell>
          <cell r="F1608">
            <v>1</v>
          </cell>
          <cell r="G1608">
            <v>0</v>
          </cell>
          <cell r="H1608">
            <v>32.17</v>
          </cell>
          <cell r="I1608">
            <v>17.27</v>
          </cell>
          <cell r="J1608">
            <v>32.17</v>
          </cell>
        </row>
        <row r="1609">
          <cell r="C1609" t="str">
            <v>E904</v>
          </cell>
          <cell r="D1609" t="str">
            <v>Máquina de Bancada - serra circular de 12" (4 kW)</v>
          </cell>
          <cell r="E1609">
            <v>1</v>
          </cell>
          <cell r="F1609">
            <v>1</v>
          </cell>
          <cell r="G1609">
            <v>0</v>
          </cell>
          <cell r="H1609">
            <v>1.97</v>
          </cell>
          <cell r="I1609">
            <v>0</v>
          </cell>
          <cell r="J1609">
            <v>1.97</v>
          </cell>
        </row>
        <row r="1610">
          <cell r="D1610" t="str">
            <v/>
          </cell>
          <cell r="G1610" t="str">
            <v/>
          </cell>
          <cell r="H1610" t="str">
            <v/>
          </cell>
          <cell r="I1610" t="str">
            <v/>
          </cell>
          <cell r="J1610" t="str">
            <v/>
          </cell>
        </row>
        <row r="1611">
          <cell r="D1611" t="str">
            <v/>
          </cell>
          <cell r="G1611" t="str">
            <v/>
          </cell>
          <cell r="H1611" t="str">
            <v/>
          </cell>
          <cell r="I1611" t="str">
            <v/>
          </cell>
          <cell r="J1611" t="str">
            <v/>
          </cell>
        </row>
        <row r="1612">
          <cell r="D1612" t="str">
            <v/>
          </cell>
          <cell r="G1612" t="str">
            <v/>
          </cell>
          <cell r="H1612" t="str">
            <v/>
          </cell>
          <cell r="I1612" t="str">
            <v/>
          </cell>
          <cell r="J1612" t="str">
            <v/>
          </cell>
        </row>
        <row r="1613">
          <cell r="D1613" t="str">
            <v/>
          </cell>
          <cell r="G1613" t="str">
            <v/>
          </cell>
          <cell r="H1613" t="str">
            <v/>
          </cell>
          <cell r="I1613" t="str">
            <v/>
          </cell>
          <cell r="J1613" t="str">
            <v/>
          </cell>
        </row>
        <row r="1614">
          <cell r="F1614" t="str">
            <v>CUSTO HORÁRIO DO EQUIPAMENTO - (A)</v>
          </cell>
          <cell r="J1614">
            <v>34.14</v>
          </cell>
        </row>
        <row r="1615">
          <cell r="C1615" t="str">
            <v>ÍTEM</v>
          </cell>
          <cell r="D1615" t="str">
            <v>M Ã O    D E   O B R A</v>
          </cell>
          <cell r="E1615" t="str">
            <v>QUANT.</v>
          </cell>
          <cell r="F1615" t="str">
            <v>SALÁRIO HORA</v>
          </cell>
          <cell r="J1615" t="str">
            <v>CUSTO HORÁRIO</v>
          </cell>
        </row>
        <row r="1616">
          <cell r="C1616" t="str">
            <v>T603</v>
          </cell>
          <cell r="D1616" t="str">
            <v>Carpinteiro</v>
          </cell>
          <cell r="E1616">
            <v>0.6</v>
          </cell>
          <cell r="F1616">
            <v>9.44</v>
          </cell>
          <cell r="G1616" t="e">
            <v>#N/A</v>
          </cell>
          <cell r="H1616" t="e">
            <v>#N/A</v>
          </cell>
          <cell r="I1616" t="e">
            <v>#N/A</v>
          </cell>
          <cell r="J1616">
            <v>5.66</v>
          </cell>
        </row>
        <row r="1617">
          <cell r="C1617" t="str">
            <v>T701</v>
          </cell>
          <cell r="D1617" t="str">
            <v>Servente</v>
          </cell>
          <cell r="E1617">
            <v>1.5</v>
          </cell>
          <cell r="F1617">
            <v>6.99</v>
          </cell>
          <cell r="G1617" t="e">
            <v>#N/A</v>
          </cell>
          <cell r="H1617" t="e">
            <v>#N/A</v>
          </cell>
          <cell r="I1617" t="e">
            <v>#N/A</v>
          </cell>
          <cell r="J1617">
            <v>10.48</v>
          </cell>
        </row>
        <row r="1618">
          <cell r="D1618" t="str">
            <v/>
          </cell>
          <cell r="F1618" t="str">
            <v/>
          </cell>
          <cell r="G1618" t="str">
            <v/>
          </cell>
          <cell r="H1618" t="str">
            <v/>
          </cell>
          <cell r="I1618" t="str">
            <v/>
          </cell>
          <cell r="J1618" t="str">
            <v/>
          </cell>
        </row>
        <row r="1619">
          <cell r="D1619" t="str">
            <v/>
          </cell>
          <cell r="F1619" t="str">
            <v/>
          </cell>
          <cell r="G1619" t="str">
            <v/>
          </cell>
          <cell r="H1619" t="str">
            <v/>
          </cell>
          <cell r="I1619" t="str">
            <v/>
          </cell>
          <cell r="J1619" t="str">
            <v/>
          </cell>
        </row>
        <row r="1620">
          <cell r="D1620" t="str">
            <v/>
          </cell>
          <cell r="F1620" t="str">
            <v/>
          </cell>
          <cell r="G1620" t="str">
            <v/>
          </cell>
          <cell r="H1620" t="str">
            <v/>
          </cell>
          <cell r="I1620" t="str">
            <v/>
          </cell>
          <cell r="J1620" t="str">
            <v/>
          </cell>
        </row>
        <row r="1621">
          <cell r="F1621" t="str">
            <v>CUSTO HORÁRIO DE MÃO DE OBRA - (B)</v>
          </cell>
          <cell r="J1621">
            <v>16.14</v>
          </cell>
        </row>
        <row r="1622">
          <cell r="F1622" t="str">
            <v>FERRAMENTAS</v>
          </cell>
          <cell r="H1622">
            <v>0.2051</v>
          </cell>
          <cell r="J1622">
            <v>3.31</v>
          </cell>
        </row>
        <row r="1623">
          <cell r="F1623" t="str">
            <v>CUSTO HORÁRIO TOTAL - (A + B)</v>
          </cell>
          <cell r="J1623">
            <v>53.59</v>
          </cell>
        </row>
        <row r="1624">
          <cell r="F1624" t="str">
            <v>CUSTO UNITÁRIO DE EXECUÇÃO - (D)</v>
          </cell>
          <cell r="J1624">
            <v>53.59</v>
          </cell>
        </row>
        <row r="1625">
          <cell r="C1625" t="str">
            <v>ÍTEM</v>
          </cell>
          <cell r="D1625" t="str">
            <v>M A T E R I A L</v>
          </cell>
          <cell r="E1625" t="str">
            <v>UNID</v>
          </cell>
          <cell r="F1625" t="str">
            <v>CONSUMO</v>
          </cell>
          <cell r="H1625" t="str">
            <v xml:space="preserve"> PREÇO UNITÁRIO</v>
          </cell>
          <cell r="J1625" t="str">
            <v>CUSTO UNITÁRIO</v>
          </cell>
        </row>
        <row r="1626">
          <cell r="C1626" t="str">
            <v>M320</v>
          </cell>
          <cell r="D1626" t="str">
            <v>Pregos de ferro 18x30</v>
          </cell>
          <cell r="E1626" t="str">
            <v>kg</v>
          </cell>
          <cell r="F1626">
            <v>1.4E-2</v>
          </cell>
          <cell r="H1626">
            <v>4.12</v>
          </cell>
          <cell r="I1626" t="e">
            <v>#N/A</v>
          </cell>
          <cell r="J1626">
            <v>0.05</v>
          </cell>
        </row>
        <row r="1627">
          <cell r="C1627" t="str">
            <v>M402</v>
          </cell>
          <cell r="D1627" t="str">
            <v>Pontaletes D=20 cm (tronco p/ esc.)</v>
          </cell>
          <cell r="E1627" t="str">
            <v>m</v>
          </cell>
          <cell r="F1627">
            <v>0.13</v>
          </cell>
          <cell r="H1627">
            <v>2.5</v>
          </cell>
          <cell r="J1627">
            <v>0.32</v>
          </cell>
        </row>
        <row r="1628">
          <cell r="C1628" t="str">
            <v>M407</v>
          </cell>
          <cell r="D1628" t="str">
            <v>Tábua pinho de 1ª 2,5 cm x 15,0 cm</v>
          </cell>
          <cell r="E1628" t="str">
            <v>m</v>
          </cell>
          <cell r="F1628">
            <v>0.74</v>
          </cell>
          <cell r="H1628">
            <v>4.5</v>
          </cell>
          <cell r="J1628">
            <v>3.33</v>
          </cell>
        </row>
        <row r="1629">
          <cell r="C1629" t="str">
            <v>M408</v>
          </cell>
          <cell r="D1629" t="str">
            <v>Tábua de 5ª 2,5 cm x 30,0 cm</v>
          </cell>
          <cell r="E1629" t="str">
            <v>m</v>
          </cell>
          <cell r="F1629">
            <v>0.1</v>
          </cell>
          <cell r="H1629">
            <v>2.7</v>
          </cell>
          <cell r="J1629">
            <v>0.27</v>
          </cell>
        </row>
        <row r="1630">
          <cell r="D1630" t="str">
            <v/>
          </cell>
          <cell r="E1630" t="str">
            <v/>
          </cell>
          <cell r="H1630">
            <v>0</v>
          </cell>
          <cell r="J1630" t="str">
            <v/>
          </cell>
        </row>
        <row r="1631">
          <cell r="F1631" t="str">
            <v>CUSTO TOTAL DE MATERIAL - (E)</v>
          </cell>
          <cell r="J1631">
            <v>3.97</v>
          </cell>
        </row>
        <row r="1632">
          <cell r="C1632" t="str">
            <v>CODIGO</v>
          </cell>
          <cell r="D1632" t="str">
            <v>ATIVIDADES AUXILIARES</v>
          </cell>
          <cell r="E1632" t="str">
            <v>UND</v>
          </cell>
          <cell r="F1632" t="str">
            <v>QUANTIDADE</v>
          </cell>
          <cell r="H1632" t="str">
            <v>CUSTO UNITÁRIO</v>
          </cell>
          <cell r="J1632" t="str">
            <v>CUSTO UNITÁRIO</v>
          </cell>
        </row>
        <row r="1633">
          <cell r="D1633" t="str">
            <v/>
          </cell>
          <cell r="E1633" t="str">
            <v/>
          </cell>
          <cell r="H1633" t="str">
            <v/>
          </cell>
          <cell r="J1633" t="str">
            <v/>
          </cell>
        </row>
        <row r="1634">
          <cell r="D1634" t="str">
            <v/>
          </cell>
          <cell r="E1634" t="str">
            <v/>
          </cell>
          <cell r="H1634" t="str">
            <v/>
          </cell>
          <cell r="J1634" t="str">
            <v/>
          </cell>
        </row>
        <row r="1635">
          <cell r="D1635" t="str">
            <v/>
          </cell>
          <cell r="E1635" t="str">
            <v/>
          </cell>
          <cell r="H1635" t="str">
            <v/>
          </cell>
          <cell r="J1635" t="str">
            <v/>
          </cell>
        </row>
        <row r="1636">
          <cell r="D1636" t="str">
            <v/>
          </cell>
          <cell r="E1636" t="str">
            <v/>
          </cell>
          <cell r="H1636" t="str">
            <v/>
          </cell>
          <cell r="J1636" t="str">
            <v/>
          </cell>
        </row>
        <row r="1637">
          <cell r="D1637" t="str">
            <v/>
          </cell>
          <cell r="H1637" t="str">
            <v/>
          </cell>
          <cell r="J1637" t="str">
            <v/>
          </cell>
        </row>
        <row r="1638">
          <cell r="C1638" t="str">
            <v>OBSERVAÇÕES:</v>
          </cell>
          <cell r="F1638" t="str">
            <v>CUSTO UNITÁRIO DE TRANSPORTE - (F)</v>
          </cell>
          <cell r="J1638">
            <v>0</v>
          </cell>
        </row>
        <row r="1639">
          <cell r="F1639" t="str">
            <v>CUSTO UNITÁRIO DIRETO TOTAL</v>
          </cell>
          <cell r="J1639">
            <v>57.56</v>
          </cell>
        </row>
        <row r="1640">
          <cell r="F1640" t="str">
            <v xml:space="preserve">BONIFICAÇÃO </v>
          </cell>
          <cell r="H1640">
            <v>0</v>
          </cell>
          <cell r="J1640">
            <v>0</v>
          </cell>
        </row>
        <row r="1641">
          <cell r="F1641" t="str">
            <v>PREÇO UNITÁRIO  TOTAL</v>
          </cell>
          <cell r="J1641">
            <v>57.56</v>
          </cell>
        </row>
        <row r="1645">
          <cell r="A1645" t="str">
            <v>1 A 01 512 10</v>
          </cell>
          <cell r="C1645" t="str">
            <v>SERVIÇO:</v>
          </cell>
          <cell r="D1645" t="str">
            <v>Concreto ciclópico fck=12 MPa (Brita produzida e areia extraída)</v>
          </cell>
          <cell r="F1645" t="str">
            <v>PRODUÇÃO DA EQUIPE - (C):</v>
          </cell>
          <cell r="J1645">
            <v>2.5</v>
          </cell>
          <cell r="K1645" t="str">
            <v>m³</v>
          </cell>
          <cell r="M1645">
            <v>197.63</v>
          </cell>
        </row>
        <row r="1646">
          <cell r="F1646" t="str">
            <v>UNITÁRIO</v>
          </cell>
          <cell r="H1646" t="str">
            <v>C. OPERACIONAL</v>
          </cell>
        </row>
        <row r="1647">
          <cell r="C1647" t="str">
            <v>ÍTEM</v>
          </cell>
          <cell r="D1647" t="str">
            <v>E Q U I P A M E N T O</v>
          </cell>
          <cell r="E1647" t="str">
            <v>QUANT.</v>
          </cell>
          <cell r="F1647" t="str">
            <v>PROD</v>
          </cell>
          <cell r="G1647" t="str">
            <v>IMPROD</v>
          </cell>
          <cell r="H1647" t="str">
            <v>PROD</v>
          </cell>
          <cell r="I1647" t="str">
            <v>IMPROD</v>
          </cell>
          <cell r="J1647" t="str">
            <v>CUSTO HORÁRIO</v>
          </cell>
        </row>
        <row r="1648">
          <cell r="D1648" t="str">
            <v/>
          </cell>
          <cell r="G1648" t="str">
            <v/>
          </cell>
          <cell r="H1648" t="str">
            <v/>
          </cell>
          <cell r="I1648" t="str">
            <v/>
          </cell>
          <cell r="J1648" t="str">
            <v/>
          </cell>
        </row>
        <row r="1649">
          <cell r="D1649" t="str">
            <v/>
          </cell>
          <cell r="G1649" t="str">
            <v/>
          </cell>
          <cell r="H1649" t="str">
            <v/>
          </cell>
          <cell r="I1649" t="str">
            <v/>
          </cell>
          <cell r="J1649" t="str">
            <v/>
          </cell>
        </row>
        <row r="1650">
          <cell r="D1650" t="str">
            <v/>
          </cell>
          <cell r="G1650" t="str">
            <v/>
          </cell>
          <cell r="H1650" t="str">
            <v/>
          </cell>
          <cell r="I1650" t="str">
            <v/>
          </cell>
          <cell r="J1650" t="str">
            <v/>
          </cell>
        </row>
        <row r="1651">
          <cell r="D1651" t="str">
            <v/>
          </cell>
          <cell r="G1651" t="str">
            <v/>
          </cell>
          <cell r="H1651" t="str">
            <v/>
          </cell>
          <cell r="I1651" t="str">
            <v/>
          </cell>
          <cell r="J1651" t="str">
            <v/>
          </cell>
        </row>
        <row r="1652">
          <cell r="D1652" t="str">
            <v/>
          </cell>
          <cell r="G1652" t="str">
            <v/>
          </cell>
          <cell r="H1652" t="str">
            <v/>
          </cell>
          <cell r="I1652" t="str">
            <v/>
          </cell>
          <cell r="J1652" t="str">
            <v/>
          </cell>
        </row>
        <row r="1653">
          <cell r="D1653" t="str">
            <v/>
          </cell>
          <cell r="G1653" t="str">
            <v/>
          </cell>
          <cell r="H1653" t="str">
            <v/>
          </cell>
          <cell r="I1653" t="str">
            <v/>
          </cell>
          <cell r="J1653" t="str">
            <v/>
          </cell>
        </row>
        <row r="1654">
          <cell r="F1654" t="str">
            <v>CUSTO HORÁRIO DO EQUIPAMENTO - (A)</v>
          </cell>
          <cell r="J1654">
            <v>0</v>
          </cell>
        </row>
        <row r="1655">
          <cell r="C1655" t="str">
            <v>ÍTEM</v>
          </cell>
          <cell r="D1655" t="str">
            <v>M Ã O    D E   O B R A</v>
          </cell>
          <cell r="E1655" t="str">
            <v>QUANT.</v>
          </cell>
          <cell r="F1655" t="str">
            <v>SALÁRIO HORA</v>
          </cell>
          <cell r="J1655" t="str">
            <v>CUSTO HORÁRIO</v>
          </cell>
        </row>
        <row r="1656">
          <cell r="C1656" t="str">
            <v>T604</v>
          </cell>
          <cell r="D1656" t="str">
            <v>Pedreiro</v>
          </cell>
          <cell r="E1656">
            <v>0.3</v>
          </cell>
          <cell r="F1656">
            <v>9.44</v>
          </cell>
          <cell r="G1656" t="e">
            <v>#N/A</v>
          </cell>
          <cell r="H1656" t="e">
            <v>#N/A</v>
          </cell>
          <cell r="I1656" t="e">
            <v>#N/A</v>
          </cell>
          <cell r="J1656">
            <v>2.83</v>
          </cell>
        </row>
        <row r="1657">
          <cell r="C1657" t="str">
            <v>T701</v>
          </cell>
          <cell r="D1657" t="str">
            <v>Servente</v>
          </cell>
          <cell r="E1657">
            <v>4</v>
          </cell>
          <cell r="F1657">
            <v>6.99</v>
          </cell>
          <cell r="G1657" t="e">
            <v>#N/A</v>
          </cell>
          <cell r="H1657" t="e">
            <v>#N/A</v>
          </cell>
          <cell r="I1657" t="e">
            <v>#N/A</v>
          </cell>
          <cell r="J1657">
            <v>27.96</v>
          </cell>
        </row>
        <row r="1658">
          <cell r="D1658" t="str">
            <v/>
          </cell>
          <cell r="F1658" t="str">
            <v/>
          </cell>
          <cell r="G1658" t="str">
            <v/>
          </cell>
          <cell r="H1658" t="str">
            <v/>
          </cell>
          <cell r="I1658" t="str">
            <v/>
          </cell>
          <cell r="J1658" t="str">
            <v/>
          </cell>
        </row>
        <row r="1659">
          <cell r="D1659" t="str">
            <v/>
          </cell>
          <cell r="F1659" t="str">
            <v/>
          </cell>
          <cell r="G1659" t="str">
            <v/>
          </cell>
          <cell r="H1659" t="str">
            <v/>
          </cell>
          <cell r="I1659" t="str">
            <v/>
          </cell>
          <cell r="J1659" t="str">
            <v/>
          </cell>
        </row>
        <row r="1660">
          <cell r="D1660" t="str">
            <v/>
          </cell>
          <cell r="F1660" t="str">
            <v/>
          </cell>
          <cell r="G1660" t="str">
            <v/>
          </cell>
          <cell r="H1660" t="str">
            <v/>
          </cell>
          <cell r="I1660" t="str">
            <v/>
          </cell>
          <cell r="J1660" t="str">
            <v/>
          </cell>
        </row>
        <row r="1661">
          <cell r="F1661" t="str">
            <v>CUSTO HORÁRIO DE MÃO DE OBRA - (B)</v>
          </cell>
          <cell r="J1661">
            <v>30.79</v>
          </cell>
        </row>
        <row r="1662">
          <cell r="F1662" t="str">
            <v>FERRAMENTAS</v>
          </cell>
          <cell r="H1662">
            <v>0.2051</v>
          </cell>
          <cell r="J1662">
            <v>6.31</v>
          </cell>
        </row>
        <row r="1663">
          <cell r="F1663" t="str">
            <v>CUSTO HORÁRIO TOTAL - (A + B)</v>
          </cell>
          <cell r="J1663">
            <v>37.1</v>
          </cell>
        </row>
        <row r="1664">
          <cell r="F1664" t="str">
            <v>CUSTO UNITÁRIO DE EXECUÇÃO - (D)</v>
          </cell>
          <cell r="J1664">
            <v>14.84</v>
          </cell>
        </row>
        <row r="1665">
          <cell r="C1665" t="str">
            <v>ÍTEM</v>
          </cell>
          <cell r="D1665" t="str">
            <v>M A T E R I A L</v>
          </cell>
          <cell r="E1665" t="str">
            <v>UNID</v>
          </cell>
          <cell r="F1665" t="str">
            <v>CONSUMO</v>
          </cell>
          <cell r="H1665" t="str">
            <v xml:space="preserve"> PREÇO UNITÁRIO</v>
          </cell>
          <cell r="J1665" t="str">
            <v>CUSTO UNITÁRIO</v>
          </cell>
        </row>
        <row r="1666">
          <cell r="D1666" t="str">
            <v/>
          </cell>
          <cell r="E1666" t="str">
            <v/>
          </cell>
          <cell r="H1666" t="str">
            <v/>
          </cell>
          <cell r="I1666" t="str">
            <v/>
          </cell>
          <cell r="J1666" t="str">
            <v/>
          </cell>
        </row>
        <row r="1667">
          <cell r="D1667" t="str">
            <v/>
          </cell>
          <cell r="E1667" t="str">
            <v/>
          </cell>
          <cell r="J1667" t="str">
            <v/>
          </cell>
        </row>
        <row r="1668">
          <cell r="D1668" t="str">
            <v/>
          </cell>
          <cell r="E1668" t="str">
            <v/>
          </cell>
          <cell r="J1668" t="str">
            <v/>
          </cell>
        </row>
        <row r="1669">
          <cell r="D1669" t="str">
            <v/>
          </cell>
          <cell r="E1669" t="str">
            <v/>
          </cell>
          <cell r="J1669" t="str">
            <v/>
          </cell>
        </row>
        <row r="1670">
          <cell r="D1670" t="str">
            <v/>
          </cell>
          <cell r="E1670" t="str">
            <v/>
          </cell>
          <cell r="J1670" t="str">
            <v/>
          </cell>
        </row>
        <row r="1671">
          <cell r="F1671" t="str">
            <v>CUSTO TOTAL DE MATERIAL - (E)</v>
          </cell>
          <cell r="J1671">
            <v>0</v>
          </cell>
        </row>
        <row r="1672">
          <cell r="C1672" t="str">
            <v>CODIGO</v>
          </cell>
          <cell r="D1672" t="str">
            <v>ATIVIDADES AUXILIARES</v>
          </cell>
          <cell r="E1672" t="str">
            <v>UND</v>
          </cell>
          <cell r="F1672" t="str">
            <v>QUANTIDADE</v>
          </cell>
          <cell r="H1672" t="str">
            <v>CUSTO UNITÁRIO</v>
          </cell>
          <cell r="J1672" t="str">
            <v>CUSTO UNITÁRIO</v>
          </cell>
        </row>
        <row r="1673">
          <cell r="C1673" t="str">
            <v>1 A 01 155 01</v>
          </cell>
          <cell r="D1673" t="str">
            <v>Rachão e pedra-de-mão produzidos - (construção e restauração).</v>
          </cell>
          <cell r="E1673" t="str">
            <v>m³</v>
          </cell>
          <cell r="F1673">
            <v>0.34499999999999997</v>
          </cell>
          <cell r="H1673">
            <v>19.53</v>
          </cell>
          <cell r="J1673">
            <v>6.73</v>
          </cell>
        </row>
        <row r="1674">
          <cell r="C1674" t="str">
            <v>1 A 01 412 01</v>
          </cell>
          <cell r="D1674" t="str">
            <v>Concreto fck=12 MPa contr. razoável uso geral conf. e lanç.(brita prod. e areia estr.)</v>
          </cell>
          <cell r="E1674" t="str">
            <v>m³</v>
          </cell>
          <cell r="F1674">
            <v>0.7</v>
          </cell>
          <cell r="H1674">
            <v>251.52</v>
          </cell>
          <cell r="J1674">
            <v>176.06</v>
          </cell>
        </row>
        <row r="1675">
          <cell r="D1675" t="str">
            <v/>
          </cell>
          <cell r="E1675" t="str">
            <v/>
          </cell>
          <cell r="H1675" t="str">
            <v/>
          </cell>
          <cell r="J1675" t="str">
            <v/>
          </cell>
        </row>
        <row r="1676">
          <cell r="D1676" t="str">
            <v/>
          </cell>
          <cell r="E1676" t="str">
            <v/>
          </cell>
          <cell r="H1676" t="str">
            <v/>
          </cell>
          <cell r="J1676" t="str">
            <v/>
          </cell>
        </row>
        <row r="1677">
          <cell r="D1677" t="str">
            <v/>
          </cell>
          <cell r="H1677" t="str">
            <v/>
          </cell>
          <cell r="J1677" t="str">
            <v/>
          </cell>
        </row>
        <row r="1678">
          <cell r="C1678" t="str">
            <v>OBSERVAÇÕES:</v>
          </cell>
          <cell r="F1678" t="str">
            <v>CUSTO UNITÁRIO DE TRANSPORTE - (F)</v>
          </cell>
          <cell r="J1678">
            <v>182.79</v>
          </cell>
        </row>
        <row r="1679">
          <cell r="F1679" t="str">
            <v>CUSTO UNITÁRIO DIRETO TOTAL</v>
          </cell>
          <cell r="J1679">
            <v>197.63</v>
          </cell>
        </row>
        <row r="1680">
          <cell r="F1680" t="str">
            <v xml:space="preserve">BONIFICAÇÃO </v>
          </cell>
          <cell r="H1680">
            <v>0</v>
          </cell>
          <cell r="J1680">
            <v>0</v>
          </cell>
        </row>
        <row r="1681">
          <cell r="F1681" t="str">
            <v>PREÇO UNITÁRIO  TOTAL</v>
          </cell>
          <cell r="J1681">
            <v>197.63</v>
          </cell>
        </row>
        <row r="1685">
          <cell r="A1685" t="str">
            <v>1 A 01 512 60</v>
          </cell>
          <cell r="C1685" t="str">
            <v>SERVIÇO:</v>
          </cell>
          <cell r="D1685" t="str">
            <v>Concreto ciclópico fck=12 MPa AC/BC/PC</v>
          </cell>
          <cell r="F1685" t="str">
            <v>PRODUÇÃO DA EQUIPE - (C):</v>
          </cell>
          <cell r="J1685">
            <v>3.5</v>
          </cell>
          <cell r="K1685" t="str">
            <v>m³</v>
          </cell>
          <cell r="M1685" t="e">
            <v>#N/A</v>
          </cell>
        </row>
        <row r="1686">
          <cell r="F1686" t="str">
            <v>UNITÁRIO</v>
          </cell>
          <cell r="H1686" t="str">
            <v>C. OPERACIONAL</v>
          </cell>
        </row>
        <row r="1687">
          <cell r="C1687" t="str">
            <v>ÍTEM</v>
          </cell>
          <cell r="D1687" t="str">
            <v>E Q U I P A M E N T O</v>
          </cell>
          <cell r="E1687" t="str">
            <v>QUANT.</v>
          </cell>
          <cell r="F1687" t="str">
            <v>PROD</v>
          </cell>
          <cell r="G1687" t="str">
            <v>IMPROD</v>
          </cell>
          <cell r="H1687" t="str">
            <v>PROD</v>
          </cell>
          <cell r="I1687" t="str">
            <v>IMPROD</v>
          </cell>
          <cell r="J1687" t="str">
            <v>CUSTO HORÁRIO</v>
          </cell>
        </row>
        <row r="1688">
          <cell r="D1688" t="str">
            <v/>
          </cell>
          <cell r="G1688" t="str">
            <v/>
          </cell>
          <cell r="H1688" t="str">
            <v/>
          </cell>
          <cell r="I1688" t="str">
            <v/>
          </cell>
          <cell r="J1688" t="str">
            <v/>
          </cell>
        </row>
        <row r="1689">
          <cell r="D1689" t="str">
            <v/>
          </cell>
          <cell r="G1689" t="str">
            <v/>
          </cell>
          <cell r="H1689" t="str">
            <v/>
          </cell>
          <cell r="I1689" t="str">
            <v/>
          </cell>
          <cell r="J1689" t="str">
            <v/>
          </cell>
        </row>
        <row r="1690">
          <cell r="D1690" t="str">
            <v/>
          </cell>
          <cell r="G1690" t="str">
            <v/>
          </cell>
          <cell r="H1690" t="str">
            <v/>
          </cell>
          <cell r="I1690" t="str">
            <v/>
          </cell>
          <cell r="J1690" t="str">
            <v/>
          </cell>
        </row>
        <row r="1691">
          <cell r="D1691" t="str">
            <v/>
          </cell>
          <cell r="G1691" t="str">
            <v/>
          </cell>
          <cell r="H1691" t="str">
            <v/>
          </cell>
          <cell r="I1691" t="str">
            <v/>
          </cell>
          <cell r="J1691" t="str">
            <v/>
          </cell>
        </row>
        <row r="1692">
          <cell r="D1692" t="str">
            <v/>
          </cell>
          <cell r="G1692" t="str">
            <v/>
          </cell>
          <cell r="H1692" t="str">
            <v/>
          </cell>
          <cell r="I1692" t="str">
            <v/>
          </cell>
          <cell r="J1692" t="str">
            <v/>
          </cell>
        </row>
        <row r="1693">
          <cell r="D1693" t="str">
            <v/>
          </cell>
          <cell r="G1693" t="str">
            <v/>
          </cell>
          <cell r="H1693" t="str">
            <v/>
          </cell>
          <cell r="I1693" t="str">
            <v/>
          </cell>
          <cell r="J1693" t="str">
            <v/>
          </cell>
        </row>
        <row r="1694">
          <cell r="F1694" t="str">
            <v>CUSTO HORÁRIO DO EQUIPAMENTO - (A)</v>
          </cell>
          <cell r="J1694">
            <v>0</v>
          </cell>
        </row>
        <row r="1695">
          <cell r="C1695" t="str">
            <v>ÍTEM</v>
          </cell>
          <cell r="D1695" t="str">
            <v>M Ã O    D E   O B R A</v>
          </cell>
          <cell r="E1695" t="str">
            <v>QUANT.</v>
          </cell>
          <cell r="F1695" t="str">
            <v>SALÁRIO HORA</v>
          </cell>
          <cell r="J1695" t="str">
            <v>CUSTO HORÁRIO</v>
          </cell>
        </row>
        <row r="1696">
          <cell r="C1696" t="str">
            <v>T604</v>
          </cell>
          <cell r="D1696" t="str">
            <v>Pedreiro</v>
          </cell>
          <cell r="E1696">
            <v>0.3</v>
          </cell>
          <cell r="F1696">
            <v>9.44</v>
          </cell>
          <cell r="G1696" t="e">
            <v>#N/A</v>
          </cell>
          <cell r="H1696" t="e">
            <v>#N/A</v>
          </cell>
          <cell r="I1696" t="e">
            <v>#N/A</v>
          </cell>
          <cell r="J1696">
            <v>2.83</v>
          </cell>
        </row>
        <row r="1697">
          <cell r="C1697" t="str">
            <v>T701</v>
          </cell>
          <cell r="D1697" t="str">
            <v>Servente</v>
          </cell>
          <cell r="E1697">
            <v>4</v>
          </cell>
          <cell r="F1697">
            <v>6.99</v>
          </cell>
          <cell r="G1697" t="e">
            <v>#N/A</v>
          </cell>
          <cell r="H1697" t="e">
            <v>#N/A</v>
          </cell>
          <cell r="I1697" t="e">
            <v>#N/A</v>
          </cell>
          <cell r="J1697">
            <v>27.96</v>
          </cell>
        </row>
        <row r="1698">
          <cell r="D1698" t="str">
            <v/>
          </cell>
          <cell r="F1698" t="str">
            <v/>
          </cell>
          <cell r="G1698" t="str">
            <v/>
          </cell>
          <cell r="H1698" t="str">
            <v/>
          </cell>
          <cell r="I1698" t="str">
            <v/>
          </cell>
          <cell r="J1698" t="str">
            <v/>
          </cell>
        </row>
        <row r="1699">
          <cell r="D1699" t="str">
            <v/>
          </cell>
          <cell r="F1699" t="str">
            <v/>
          </cell>
          <cell r="G1699" t="str">
            <v/>
          </cell>
          <cell r="H1699" t="str">
            <v/>
          </cell>
          <cell r="I1699" t="str">
            <v/>
          </cell>
          <cell r="J1699" t="str">
            <v/>
          </cell>
        </row>
        <row r="1700">
          <cell r="D1700" t="str">
            <v/>
          </cell>
          <cell r="F1700" t="str">
            <v/>
          </cell>
          <cell r="G1700" t="str">
            <v/>
          </cell>
          <cell r="H1700" t="str">
            <v/>
          </cell>
          <cell r="I1700" t="str">
            <v/>
          </cell>
          <cell r="J1700" t="str">
            <v/>
          </cell>
        </row>
        <row r="1701">
          <cell r="F1701" t="str">
            <v>CUSTO HORÁRIO DE MÃO DE OBRA - (B)</v>
          </cell>
          <cell r="J1701">
            <v>30.79</v>
          </cell>
        </row>
        <row r="1702">
          <cell r="F1702" t="str">
            <v>FERRAMENTAS</v>
          </cell>
          <cell r="H1702">
            <v>0.2051</v>
          </cell>
          <cell r="J1702">
            <v>6.31</v>
          </cell>
        </row>
        <row r="1703">
          <cell r="F1703" t="str">
            <v>CUSTO HORÁRIO TOTAL - (A + B)</v>
          </cell>
          <cell r="J1703">
            <v>37.1</v>
          </cell>
        </row>
        <row r="1704">
          <cell r="F1704" t="str">
            <v>CUSTO UNITÁRIO DE EXECUÇÃO - (D)</v>
          </cell>
          <cell r="J1704">
            <v>10.6</v>
          </cell>
        </row>
        <row r="1705">
          <cell r="C1705" t="str">
            <v>ÍTEM</v>
          </cell>
          <cell r="D1705" t="str">
            <v>M A T E R I A L</v>
          </cell>
          <cell r="E1705" t="str">
            <v>UNID</v>
          </cell>
          <cell r="F1705" t="str">
            <v>CONSUMO</v>
          </cell>
          <cell r="H1705" t="str">
            <v xml:space="preserve"> PREÇO UNITÁRIO</v>
          </cell>
          <cell r="J1705" t="str">
            <v>CUSTO UNITÁRIO</v>
          </cell>
        </row>
        <row r="1706">
          <cell r="C1706" t="str">
            <v>M710</v>
          </cell>
          <cell r="D1706" t="str">
            <v>Pedra de mão comercial com transporte até 50 km</v>
          </cell>
          <cell r="E1706" t="str">
            <v>m3</v>
          </cell>
          <cell r="F1706">
            <v>0.34499999999999997</v>
          </cell>
          <cell r="H1706">
            <v>65</v>
          </cell>
          <cell r="I1706" t="e">
            <v>#N/A</v>
          </cell>
          <cell r="J1706">
            <v>22.42</v>
          </cell>
        </row>
        <row r="1707">
          <cell r="D1707" t="str">
            <v/>
          </cell>
          <cell r="E1707" t="str">
            <v/>
          </cell>
          <cell r="J1707" t="str">
            <v/>
          </cell>
        </row>
        <row r="1708">
          <cell r="D1708" t="str">
            <v/>
          </cell>
          <cell r="E1708" t="str">
            <v/>
          </cell>
          <cell r="J1708" t="str">
            <v/>
          </cell>
        </row>
        <row r="1709">
          <cell r="D1709" t="str">
            <v/>
          </cell>
          <cell r="E1709" t="str">
            <v/>
          </cell>
          <cell r="J1709" t="str">
            <v/>
          </cell>
        </row>
        <row r="1710">
          <cell r="D1710" t="str">
            <v/>
          </cell>
          <cell r="E1710" t="str">
            <v/>
          </cell>
          <cell r="J1710" t="str">
            <v/>
          </cell>
        </row>
        <row r="1711">
          <cell r="F1711" t="str">
            <v>CUSTO TOTAL DE MATERIAL - (E)</v>
          </cell>
          <cell r="J1711">
            <v>22.42</v>
          </cell>
        </row>
        <row r="1712">
          <cell r="C1712" t="str">
            <v>CODIGO</v>
          </cell>
          <cell r="D1712" t="str">
            <v>ATIVIDADES AUXILIARES</v>
          </cell>
          <cell r="E1712" t="str">
            <v>UND</v>
          </cell>
          <cell r="F1712" t="str">
            <v>QUANTIDADE</v>
          </cell>
          <cell r="H1712" t="str">
            <v>CUSTO UNITÁRIO</v>
          </cell>
          <cell r="J1712" t="str">
            <v>CUSTO UNITÁRIO</v>
          </cell>
        </row>
        <row r="1713">
          <cell r="C1713" t="str">
            <v>1 A 01 412 51</v>
          </cell>
          <cell r="D1713" t="str">
            <v>Concreto fck=12 MPa controle razoável uso geral confecção e lançamento AC/BC</v>
          </cell>
          <cell r="E1713" t="str">
            <v>m³</v>
          </cell>
          <cell r="F1713">
            <v>0.7</v>
          </cell>
          <cell r="H1713" t="e">
            <v>#N/A</v>
          </cell>
          <cell r="J1713" t="e">
            <v>#N/A</v>
          </cell>
        </row>
        <row r="1714">
          <cell r="D1714" t="str">
            <v/>
          </cell>
          <cell r="E1714" t="str">
            <v/>
          </cell>
          <cell r="H1714" t="str">
            <v/>
          </cell>
          <cell r="J1714" t="str">
            <v/>
          </cell>
        </row>
        <row r="1715">
          <cell r="D1715" t="str">
            <v/>
          </cell>
          <cell r="E1715" t="str">
            <v/>
          </cell>
          <cell r="H1715" t="str">
            <v/>
          </cell>
          <cell r="J1715" t="str">
            <v/>
          </cell>
        </row>
        <row r="1716">
          <cell r="D1716" t="str">
            <v/>
          </cell>
          <cell r="E1716" t="str">
            <v/>
          </cell>
          <cell r="H1716" t="str">
            <v/>
          </cell>
          <cell r="J1716" t="str">
            <v/>
          </cell>
        </row>
        <row r="1717">
          <cell r="D1717" t="str">
            <v/>
          </cell>
          <cell r="H1717" t="str">
            <v/>
          </cell>
          <cell r="J1717" t="str">
            <v/>
          </cell>
        </row>
        <row r="1718">
          <cell r="C1718" t="str">
            <v>OBSERVAÇÕES:</v>
          </cell>
          <cell r="F1718" t="str">
            <v>CUSTO UNITÁRIO DE TRANSPORTE - (F)</v>
          </cell>
          <cell r="J1718" t="e">
            <v>#N/A</v>
          </cell>
        </row>
        <row r="1719">
          <cell r="F1719" t="str">
            <v>CUSTO UNITÁRIO DIRETO TOTAL</v>
          </cell>
          <cell r="J1719" t="e">
            <v>#N/A</v>
          </cell>
        </row>
        <row r="1720">
          <cell r="F1720" t="str">
            <v xml:space="preserve">BONIFICAÇÃO </v>
          </cell>
          <cell r="H1720">
            <v>0</v>
          </cell>
          <cell r="J1720" t="e">
            <v>#N/A</v>
          </cell>
        </row>
        <row r="1721">
          <cell r="F1721" t="str">
            <v>PREÇO UNITÁRIO  TOTAL</v>
          </cell>
          <cell r="J1721" t="e">
            <v>#N/A</v>
          </cell>
        </row>
        <row r="1725">
          <cell r="A1725" t="str">
            <v>1 A 01 515 60</v>
          </cell>
          <cell r="C1725" t="str">
            <v>SERVIÇO:</v>
          </cell>
          <cell r="D1725" t="str">
            <v>Concreto ciclópico fck=12 MPa AC/BC/PC</v>
          </cell>
          <cell r="F1725" t="str">
            <v>PRODUÇÃO DA EQUIPE - (C):</v>
          </cell>
          <cell r="J1725">
            <v>3.5</v>
          </cell>
          <cell r="K1725" t="str">
            <v>m³</v>
          </cell>
          <cell r="M1725" t="e">
            <v>#N/A</v>
          </cell>
        </row>
        <row r="1726">
          <cell r="F1726" t="str">
            <v>UNITÁRIO</v>
          </cell>
          <cell r="H1726" t="str">
            <v>C. OPERACIONAL</v>
          </cell>
        </row>
        <row r="1727">
          <cell r="C1727" t="str">
            <v>ÍTEM</v>
          </cell>
          <cell r="D1727" t="str">
            <v>E Q U I P A M E N T O</v>
          </cell>
          <cell r="E1727" t="str">
            <v>QUANT.</v>
          </cell>
          <cell r="F1727" t="str">
            <v>PROD</v>
          </cell>
          <cell r="G1727" t="str">
            <v>IMPROD</v>
          </cell>
          <cell r="H1727" t="str">
            <v>PROD</v>
          </cell>
          <cell r="I1727" t="str">
            <v>IMPROD</v>
          </cell>
          <cell r="J1727" t="str">
            <v>CUSTO HORÁRIO</v>
          </cell>
        </row>
        <row r="1728">
          <cell r="D1728" t="str">
            <v/>
          </cell>
          <cell r="G1728" t="str">
            <v/>
          </cell>
          <cell r="H1728" t="str">
            <v/>
          </cell>
          <cell r="I1728" t="str">
            <v/>
          </cell>
          <cell r="J1728" t="str">
            <v/>
          </cell>
        </row>
        <row r="1729">
          <cell r="D1729" t="str">
            <v/>
          </cell>
          <cell r="G1729" t="str">
            <v/>
          </cell>
          <cell r="H1729" t="str">
            <v/>
          </cell>
          <cell r="I1729" t="str">
            <v/>
          </cell>
          <cell r="J1729" t="str">
            <v/>
          </cell>
        </row>
        <row r="1730">
          <cell r="D1730" t="str">
            <v/>
          </cell>
          <cell r="G1730" t="str">
            <v/>
          </cell>
          <cell r="H1730" t="str">
            <v/>
          </cell>
          <cell r="I1730" t="str">
            <v/>
          </cell>
          <cell r="J1730" t="str">
            <v/>
          </cell>
        </row>
        <row r="1731">
          <cell r="D1731" t="str">
            <v/>
          </cell>
          <cell r="G1731" t="str">
            <v/>
          </cell>
          <cell r="H1731" t="str">
            <v/>
          </cell>
          <cell r="I1731" t="str">
            <v/>
          </cell>
          <cell r="J1731" t="str">
            <v/>
          </cell>
        </row>
        <row r="1732">
          <cell r="D1732" t="str">
            <v/>
          </cell>
          <cell r="G1732" t="str">
            <v/>
          </cell>
          <cell r="H1732" t="str">
            <v/>
          </cell>
          <cell r="I1732" t="str">
            <v/>
          </cell>
          <cell r="J1732" t="str">
            <v/>
          </cell>
        </row>
        <row r="1733">
          <cell r="D1733" t="str">
            <v/>
          </cell>
          <cell r="G1733" t="str">
            <v/>
          </cell>
          <cell r="H1733" t="str">
            <v/>
          </cell>
          <cell r="I1733" t="str">
            <v/>
          </cell>
          <cell r="J1733" t="str">
            <v/>
          </cell>
        </row>
        <row r="1734">
          <cell r="F1734" t="str">
            <v>CUSTO HORÁRIO DO EQUIPAMENTO - (A)</v>
          </cell>
          <cell r="J1734">
            <v>0</v>
          </cell>
        </row>
        <row r="1735">
          <cell r="C1735" t="str">
            <v>ÍTEM</v>
          </cell>
          <cell r="D1735" t="str">
            <v>M Ã O    D E   O B R A</v>
          </cell>
          <cell r="E1735" t="str">
            <v>QUANT.</v>
          </cell>
          <cell r="F1735" t="str">
            <v>SALÁRIO HORA</v>
          </cell>
          <cell r="J1735" t="str">
            <v>CUSTO HORÁRIO</v>
          </cell>
        </row>
        <row r="1736">
          <cell r="C1736" t="str">
            <v>T604</v>
          </cell>
          <cell r="D1736" t="str">
            <v>Pedreiro</v>
          </cell>
          <cell r="E1736">
            <v>0.3</v>
          </cell>
          <cell r="F1736">
            <v>9.44</v>
          </cell>
          <cell r="G1736" t="e">
            <v>#N/A</v>
          </cell>
          <cell r="H1736" t="e">
            <v>#N/A</v>
          </cell>
          <cell r="I1736" t="e">
            <v>#N/A</v>
          </cell>
          <cell r="J1736">
            <v>2.83</v>
          </cell>
        </row>
        <row r="1737">
          <cell r="C1737" t="str">
            <v>T701</v>
          </cell>
          <cell r="D1737" t="str">
            <v>Servente</v>
          </cell>
          <cell r="E1737">
            <v>4</v>
          </cell>
          <cell r="F1737">
            <v>6.99</v>
          </cell>
          <cell r="G1737" t="e">
            <v>#N/A</v>
          </cell>
          <cell r="H1737" t="e">
            <v>#N/A</v>
          </cell>
          <cell r="I1737" t="e">
            <v>#N/A</v>
          </cell>
          <cell r="J1737">
            <v>27.96</v>
          </cell>
        </row>
        <row r="1738">
          <cell r="D1738" t="str">
            <v/>
          </cell>
          <cell r="F1738" t="str">
            <v/>
          </cell>
          <cell r="G1738" t="str">
            <v/>
          </cell>
          <cell r="H1738" t="str">
            <v/>
          </cell>
          <cell r="I1738" t="str">
            <v/>
          </cell>
          <cell r="J1738" t="str">
            <v/>
          </cell>
        </row>
        <row r="1739">
          <cell r="D1739" t="str">
            <v/>
          </cell>
          <cell r="F1739" t="str">
            <v/>
          </cell>
          <cell r="G1739" t="str">
            <v/>
          </cell>
          <cell r="H1739" t="str">
            <v/>
          </cell>
          <cell r="I1739" t="str">
            <v/>
          </cell>
          <cell r="J1739" t="str">
            <v/>
          </cell>
        </row>
        <row r="1740">
          <cell r="D1740" t="str">
            <v/>
          </cell>
          <cell r="F1740" t="str">
            <v/>
          </cell>
          <cell r="G1740" t="str">
            <v/>
          </cell>
          <cell r="H1740" t="str">
            <v/>
          </cell>
          <cell r="I1740" t="str">
            <v/>
          </cell>
          <cell r="J1740" t="str">
            <v/>
          </cell>
        </row>
        <row r="1741">
          <cell r="F1741" t="str">
            <v>CUSTO HORÁRIO DE MÃO DE OBRA - (B)</v>
          </cell>
          <cell r="J1741">
            <v>30.79</v>
          </cell>
        </row>
        <row r="1742">
          <cell r="F1742" t="str">
            <v>FERRAMENTAS</v>
          </cell>
          <cell r="H1742">
            <v>0.2051</v>
          </cell>
          <cell r="J1742">
            <v>6.31</v>
          </cell>
        </row>
        <row r="1743">
          <cell r="F1743" t="str">
            <v>CUSTO HORÁRIO TOTAL - (A + B)</v>
          </cell>
          <cell r="J1743">
            <v>37.1</v>
          </cell>
        </row>
        <row r="1744">
          <cell r="F1744" t="str">
            <v>CUSTO UNITÁRIO DE EXECUÇÃO - (D)</v>
          </cell>
          <cell r="J1744">
            <v>10.6</v>
          </cell>
        </row>
        <row r="1745">
          <cell r="C1745" t="str">
            <v>ÍTEM</v>
          </cell>
          <cell r="D1745" t="str">
            <v>M A T E R I A L</v>
          </cell>
          <cell r="E1745" t="str">
            <v>UNID</v>
          </cell>
          <cell r="F1745" t="str">
            <v>CONSUMO</v>
          </cell>
          <cell r="H1745" t="str">
            <v xml:space="preserve"> PREÇO UNITÁRIO</v>
          </cell>
          <cell r="J1745" t="str">
            <v>CUSTO UNITÁRIO</v>
          </cell>
        </row>
        <row r="1746">
          <cell r="D1746" t="str">
            <v/>
          </cell>
          <cell r="E1746" t="str">
            <v/>
          </cell>
          <cell r="H1746" t="str">
            <v/>
          </cell>
          <cell r="I1746" t="str">
            <v/>
          </cell>
          <cell r="J1746" t="str">
            <v/>
          </cell>
        </row>
        <row r="1747">
          <cell r="D1747" t="str">
            <v/>
          </cell>
          <cell r="E1747" t="str">
            <v/>
          </cell>
          <cell r="J1747" t="str">
            <v/>
          </cell>
        </row>
        <row r="1748">
          <cell r="D1748" t="str">
            <v/>
          </cell>
          <cell r="E1748" t="str">
            <v/>
          </cell>
          <cell r="J1748" t="str">
            <v/>
          </cell>
        </row>
        <row r="1749">
          <cell r="D1749" t="str">
            <v/>
          </cell>
          <cell r="E1749" t="str">
            <v/>
          </cell>
          <cell r="J1749" t="str">
            <v/>
          </cell>
        </row>
        <row r="1750">
          <cell r="D1750" t="str">
            <v/>
          </cell>
          <cell r="E1750" t="str">
            <v/>
          </cell>
          <cell r="J1750" t="str">
            <v/>
          </cell>
        </row>
        <row r="1751">
          <cell r="F1751" t="str">
            <v>CUSTO TOTAL DE MATERIAL - (E)</v>
          </cell>
          <cell r="J1751">
            <v>0</v>
          </cell>
        </row>
        <row r="1752">
          <cell r="C1752" t="str">
            <v>CODIGO</v>
          </cell>
          <cell r="D1752" t="str">
            <v>ATIVIDADES AUXILIARES</v>
          </cell>
          <cell r="E1752" t="str">
            <v>UND</v>
          </cell>
          <cell r="F1752" t="str">
            <v>QUANTIDADE</v>
          </cell>
          <cell r="H1752" t="str">
            <v>CUSTO UNITÁRIO</v>
          </cell>
          <cell r="J1752" t="str">
            <v>CUSTO UNITÁRIO</v>
          </cell>
        </row>
        <row r="1753">
          <cell r="C1753" t="str">
            <v>1 A 01 155 51</v>
          </cell>
          <cell r="D1753" t="str">
            <v>Rachão e pedra-de-mão produzidos - (construção e restauração).</v>
          </cell>
          <cell r="E1753" t="str">
            <v>m³</v>
          </cell>
          <cell r="F1753">
            <v>0.34499999999999997</v>
          </cell>
          <cell r="H1753">
            <v>65</v>
          </cell>
          <cell r="J1753">
            <v>22.42</v>
          </cell>
        </row>
        <row r="1754">
          <cell r="C1754" t="str">
            <v>1 A 01 415 51</v>
          </cell>
          <cell r="D1754" t="str">
            <v>Concreto estrutural fck=15 MPa controle razoável uso geral conf. e lanç. AC/BC</v>
          </cell>
          <cell r="E1754" t="str">
            <v>m³</v>
          </cell>
          <cell r="F1754">
            <v>0.7</v>
          </cell>
          <cell r="H1754" t="e">
            <v>#N/A</v>
          </cell>
          <cell r="J1754" t="e">
            <v>#N/A</v>
          </cell>
        </row>
        <row r="1755">
          <cell r="D1755" t="str">
            <v/>
          </cell>
          <cell r="E1755" t="str">
            <v/>
          </cell>
          <cell r="H1755" t="str">
            <v/>
          </cell>
          <cell r="J1755" t="str">
            <v/>
          </cell>
        </row>
        <row r="1756">
          <cell r="D1756" t="str">
            <v/>
          </cell>
          <cell r="E1756" t="str">
            <v/>
          </cell>
          <cell r="H1756" t="str">
            <v/>
          </cell>
          <cell r="J1756" t="str">
            <v/>
          </cell>
        </row>
        <row r="1757">
          <cell r="D1757" t="str">
            <v/>
          </cell>
          <cell r="H1757" t="str">
            <v/>
          </cell>
          <cell r="J1757" t="str">
            <v/>
          </cell>
        </row>
        <row r="1758">
          <cell r="C1758" t="str">
            <v>OBSERVAÇÕES:</v>
          </cell>
          <cell r="F1758" t="str">
            <v>CUSTO UNITÁRIO DE TRANSPORTE - (F)</v>
          </cell>
          <cell r="J1758" t="e">
            <v>#N/A</v>
          </cell>
        </row>
        <row r="1759">
          <cell r="F1759" t="str">
            <v>CUSTO UNITÁRIO DIRETO TOTAL</v>
          </cell>
          <cell r="J1759" t="e">
            <v>#N/A</v>
          </cell>
        </row>
        <row r="1760">
          <cell r="F1760" t="str">
            <v xml:space="preserve">BONIFICAÇÃO </v>
          </cell>
          <cell r="H1760">
            <v>0</v>
          </cell>
          <cell r="J1760" t="e">
            <v>#N/A</v>
          </cell>
        </row>
        <row r="1761">
          <cell r="F1761" t="str">
            <v>PREÇO UNITÁRIO  TOTAL</v>
          </cell>
          <cell r="J1761" t="e">
            <v>#N/A</v>
          </cell>
        </row>
        <row r="1764">
          <cell r="A1764" t="str">
            <v>1 A 01 580 01</v>
          </cell>
          <cell r="C1764" t="str">
            <v>SERVIÇO:</v>
          </cell>
          <cell r="D1764" t="str">
            <v>Fornecimento, preparo e colocação formas aço CA 60</v>
          </cell>
          <cell r="F1764" t="str">
            <v>PRODUÇÃO DA EQUIPE - (C):</v>
          </cell>
          <cell r="J1764">
            <v>1</v>
          </cell>
          <cell r="K1764" t="str">
            <v>kg</v>
          </cell>
          <cell r="M1764">
            <v>5.55</v>
          </cell>
        </row>
        <row r="1765">
          <cell r="F1765" t="str">
            <v>UNITÁRIO</v>
          </cell>
          <cell r="H1765" t="str">
            <v>C. OPERACIONAL</v>
          </cell>
        </row>
        <row r="1766">
          <cell r="C1766" t="str">
            <v>ÍTEM</v>
          </cell>
          <cell r="D1766" t="str">
            <v>E Q U I P A M E N T O</v>
          </cell>
          <cell r="E1766" t="str">
            <v>QUANT.</v>
          </cell>
          <cell r="F1766" t="str">
            <v>PROD</v>
          </cell>
          <cell r="G1766" t="str">
            <v>IMPROD</v>
          </cell>
          <cell r="H1766" t="str">
            <v>PROD</v>
          </cell>
          <cell r="I1766" t="str">
            <v>IMPROD</v>
          </cell>
          <cell r="J1766" t="str">
            <v>CUSTO HORÁRIO</v>
          </cell>
        </row>
        <row r="1767">
          <cell r="D1767" t="str">
            <v/>
          </cell>
          <cell r="G1767" t="str">
            <v/>
          </cell>
          <cell r="H1767" t="str">
            <v/>
          </cell>
          <cell r="I1767" t="str">
            <v/>
          </cell>
          <cell r="J1767" t="str">
            <v/>
          </cell>
        </row>
        <row r="1768">
          <cell r="D1768" t="str">
            <v/>
          </cell>
          <cell r="G1768" t="str">
            <v/>
          </cell>
          <cell r="H1768" t="str">
            <v/>
          </cell>
          <cell r="I1768" t="str">
            <v/>
          </cell>
          <cell r="J1768" t="str">
            <v/>
          </cell>
        </row>
        <row r="1769">
          <cell r="D1769" t="str">
            <v/>
          </cell>
          <cell r="G1769" t="str">
            <v/>
          </cell>
          <cell r="H1769" t="str">
            <v/>
          </cell>
          <cell r="I1769" t="str">
            <v/>
          </cell>
          <cell r="J1769" t="str">
            <v/>
          </cell>
        </row>
        <row r="1770">
          <cell r="D1770" t="str">
            <v/>
          </cell>
          <cell r="G1770" t="str">
            <v/>
          </cell>
          <cell r="H1770" t="str">
            <v/>
          </cell>
          <cell r="I1770" t="str">
            <v/>
          </cell>
          <cell r="J1770" t="str">
            <v/>
          </cell>
        </row>
        <row r="1771">
          <cell r="D1771" t="str">
            <v/>
          </cell>
          <cell r="G1771" t="str">
            <v/>
          </cell>
          <cell r="H1771" t="str">
            <v/>
          </cell>
          <cell r="I1771" t="str">
            <v/>
          </cell>
          <cell r="J1771" t="str">
            <v/>
          </cell>
        </row>
        <row r="1772">
          <cell r="F1772" t="str">
            <v>CUSTO HORÁRIO DO EQUIPAMENTO - (A)</v>
          </cell>
          <cell r="J1772">
            <v>0</v>
          </cell>
        </row>
        <row r="1773">
          <cell r="C1773" t="str">
            <v>ÍTEM</v>
          </cell>
          <cell r="D1773" t="str">
            <v>M Ã O    D E   O B R A</v>
          </cell>
          <cell r="E1773" t="str">
            <v>QUANT.</v>
          </cell>
          <cell r="F1773" t="str">
            <v>SALÁRIO HORA</v>
          </cell>
          <cell r="J1773" t="str">
            <v>CUSTO HORÁRIO</v>
          </cell>
        </row>
        <row r="1774">
          <cell r="C1774" t="str">
            <v>T501</v>
          </cell>
          <cell r="D1774" t="str">
            <v>Encarregado de turma</v>
          </cell>
          <cell r="E1774">
            <v>0.02</v>
          </cell>
          <cell r="F1774">
            <v>21.11</v>
          </cell>
          <cell r="G1774" t="e">
            <v>#N/A</v>
          </cell>
          <cell r="H1774" t="e">
            <v>#N/A</v>
          </cell>
          <cell r="I1774" t="e">
            <v>#N/A</v>
          </cell>
          <cell r="J1774">
            <v>0.42</v>
          </cell>
        </row>
        <row r="1775">
          <cell r="C1775" t="str">
            <v>T605</v>
          </cell>
          <cell r="D1775" t="str">
            <v>Armador</v>
          </cell>
          <cell r="E1775">
            <v>0.08</v>
          </cell>
          <cell r="F1775">
            <v>9.44</v>
          </cell>
          <cell r="G1775" t="e">
            <v>#N/A</v>
          </cell>
          <cell r="H1775" t="e">
            <v>#N/A</v>
          </cell>
          <cell r="I1775" t="e">
            <v>#N/A</v>
          </cell>
          <cell r="J1775">
            <v>0.75</v>
          </cell>
        </row>
        <row r="1776">
          <cell r="C1776" t="str">
            <v>T701</v>
          </cell>
          <cell r="D1776" t="str">
            <v>Servente</v>
          </cell>
          <cell r="E1776">
            <v>0.14000000000000001</v>
          </cell>
          <cell r="F1776">
            <v>6.99</v>
          </cell>
          <cell r="G1776" t="e">
            <v>#N/A</v>
          </cell>
          <cell r="H1776" t="e">
            <v>#N/A</v>
          </cell>
          <cell r="I1776" t="e">
            <v>#N/A</v>
          </cell>
          <cell r="J1776">
            <v>0.97</v>
          </cell>
        </row>
        <row r="1777">
          <cell r="D1777" t="str">
            <v/>
          </cell>
          <cell r="F1777" t="str">
            <v/>
          </cell>
          <cell r="G1777" t="str">
            <v/>
          </cell>
          <cell r="H1777" t="str">
            <v/>
          </cell>
          <cell r="I1777" t="str">
            <v/>
          </cell>
          <cell r="J1777" t="str">
            <v/>
          </cell>
        </row>
        <row r="1778">
          <cell r="D1778" t="str">
            <v/>
          </cell>
          <cell r="F1778" t="str">
            <v/>
          </cell>
          <cell r="G1778" t="str">
            <v/>
          </cell>
          <cell r="H1778" t="str">
            <v/>
          </cell>
          <cell r="I1778" t="str">
            <v/>
          </cell>
          <cell r="J1778" t="str">
            <v/>
          </cell>
        </row>
        <row r="1779">
          <cell r="F1779" t="str">
            <v>CUSTO HORÁRIO DE MÃO DE OBRA - (B)</v>
          </cell>
          <cell r="J1779">
            <v>2.14</v>
          </cell>
        </row>
        <row r="1780">
          <cell r="F1780" t="str">
            <v>FERRAMENTAS</v>
          </cell>
          <cell r="H1780">
            <v>0.05</v>
          </cell>
          <cell r="J1780">
            <v>0.1</v>
          </cell>
        </row>
        <row r="1781">
          <cell r="F1781" t="str">
            <v>CUSTO HORÁRIO TOTAL - (A + B)</v>
          </cell>
          <cell r="J1781">
            <v>2.2400000000000002</v>
          </cell>
        </row>
        <row r="1782">
          <cell r="F1782" t="str">
            <v>CUSTO UNITÁRIO DE EXECUÇÃO - (D)</v>
          </cell>
          <cell r="J1782">
            <v>2.2400000000000002</v>
          </cell>
        </row>
        <row r="1783">
          <cell r="C1783" t="str">
            <v>ÍTEM</v>
          </cell>
          <cell r="D1783" t="str">
            <v>M A T E R I A L</v>
          </cell>
          <cell r="E1783" t="str">
            <v>UNID</v>
          </cell>
          <cell r="F1783" t="str">
            <v>CONSUMO</v>
          </cell>
          <cell r="H1783" t="str">
            <v xml:space="preserve"> PREÇO UNITÁRIO</v>
          </cell>
          <cell r="J1783" t="str">
            <v>CUSTO UNITÁRIO</v>
          </cell>
        </row>
        <row r="1784">
          <cell r="C1784" t="str">
            <v>M319</v>
          </cell>
          <cell r="D1784" t="str">
            <v>Arame recozido nº. 18</v>
          </cell>
          <cell r="E1784" t="str">
            <v>kg</v>
          </cell>
          <cell r="F1784">
            <v>0.01</v>
          </cell>
          <cell r="H1784">
            <v>5.82</v>
          </cell>
          <cell r="I1784" t="str">
            <v/>
          </cell>
          <cell r="J1784">
            <v>0.05</v>
          </cell>
        </row>
        <row r="1785">
          <cell r="D1785" t="str">
            <v/>
          </cell>
          <cell r="E1785" t="str">
            <v/>
          </cell>
          <cell r="H1785" t="str">
            <v/>
          </cell>
          <cell r="I1785" t="str">
            <v/>
          </cell>
          <cell r="J1785" t="str">
            <v/>
          </cell>
        </row>
        <row r="1786">
          <cell r="D1786" t="str">
            <v/>
          </cell>
          <cell r="E1786" t="str">
            <v/>
          </cell>
          <cell r="H1786" t="str">
            <v/>
          </cell>
          <cell r="I1786" t="str">
            <v/>
          </cell>
          <cell r="J1786" t="str">
            <v/>
          </cell>
        </row>
        <row r="1787">
          <cell r="D1787" t="str">
            <v/>
          </cell>
          <cell r="E1787" t="str">
            <v/>
          </cell>
          <cell r="H1787" t="str">
            <v/>
          </cell>
          <cell r="I1787" t="str">
            <v/>
          </cell>
          <cell r="J1787" t="str">
            <v/>
          </cell>
        </row>
        <row r="1788">
          <cell r="D1788" t="str">
            <v/>
          </cell>
          <cell r="E1788" t="str">
            <v/>
          </cell>
          <cell r="H1788" t="str">
            <v/>
          </cell>
          <cell r="I1788" t="str">
            <v/>
          </cell>
          <cell r="J1788" t="str">
            <v/>
          </cell>
        </row>
        <row r="1789">
          <cell r="F1789" t="str">
            <v>CUSTO TOTAL DE MATERIAL - (E)</v>
          </cell>
          <cell r="J1789">
            <v>0.05</v>
          </cell>
        </row>
        <row r="1790">
          <cell r="C1790" t="str">
            <v>CODIGO</v>
          </cell>
          <cell r="D1790" t="str">
            <v>ATIVIDADES AUXILIARES</v>
          </cell>
          <cell r="E1790" t="str">
            <v>UND</v>
          </cell>
          <cell r="F1790" t="str">
            <v>QUANTIDADE</v>
          </cell>
          <cell r="H1790" t="str">
            <v>CUSTO UNITÁRIO</v>
          </cell>
          <cell r="J1790" t="str">
            <v>CUSTO UNITÁRIO</v>
          </cell>
        </row>
        <row r="1791">
          <cell r="C1791" t="str">
            <v>1 A 00 303 00</v>
          </cell>
          <cell r="D1791" t="str">
            <v>Fornecimento de Aço CA-60</v>
          </cell>
          <cell r="E1791" t="str">
            <v>kg</v>
          </cell>
          <cell r="F1791">
            <v>1.1000000000000001</v>
          </cell>
          <cell r="H1791">
            <v>2.97</v>
          </cell>
          <cell r="J1791">
            <v>3.26</v>
          </cell>
        </row>
        <row r="1792">
          <cell r="D1792" t="str">
            <v/>
          </cell>
          <cell r="E1792" t="str">
            <v/>
          </cell>
          <cell r="H1792" t="str">
            <v/>
          </cell>
          <cell r="J1792" t="str">
            <v/>
          </cell>
        </row>
        <row r="1793">
          <cell r="D1793" t="str">
            <v/>
          </cell>
          <cell r="E1793" t="str">
            <v/>
          </cell>
          <cell r="H1793" t="str">
            <v/>
          </cell>
          <cell r="J1793" t="str">
            <v/>
          </cell>
        </row>
        <row r="1794">
          <cell r="D1794" t="str">
            <v/>
          </cell>
          <cell r="E1794" t="str">
            <v/>
          </cell>
          <cell r="H1794" t="str">
            <v/>
          </cell>
          <cell r="J1794" t="str">
            <v/>
          </cell>
        </row>
        <row r="1795">
          <cell r="D1795" t="str">
            <v/>
          </cell>
          <cell r="H1795" t="str">
            <v/>
          </cell>
          <cell r="J1795" t="str">
            <v/>
          </cell>
        </row>
        <row r="1796">
          <cell r="C1796" t="str">
            <v>OBSERVAÇÕES:</v>
          </cell>
          <cell r="F1796" t="str">
            <v>CUSTO ATIVIDADES AUXILIARES - (F)</v>
          </cell>
          <cell r="J1796">
            <v>3.26</v>
          </cell>
        </row>
        <row r="1797">
          <cell r="F1797" t="str">
            <v>CUSTO UNITÁRIO DIRETO TOTAL</v>
          </cell>
          <cell r="J1797">
            <v>5.55</v>
          </cell>
        </row>
        <row r="1798">
          <cell r="F1798" t="str">
            <v xml:space="preserve">BONIFICAÇÃO </v>
          </cell>
          <cell r="H1798">
            <v>0</v>
          </cell>
          <cell r="J1798">
            <v>0</v>
          </cell>
        </row>
        <row r="1799">
          <cell r="F1799" t="str">
            <v>PREÇO UNITÁRIO  TOTAL</v>
          </cell>
          <cell r="J1799">
            <v>5.55</v>
          </cell>
        </row>
        <row r="1803">
          <cell r="A1803" t="str">
            <v>1 A 01 580 02</v>
          </cell>
          <cell r="C1803" t="str">
            <v>SERVIÇO:</v>
          </cell>
          <cell r="D1803" t="str">
            <v>Fornecimento, preparo e colocação formas aço CA 50</v>
          </cell>
          <cell r="F1803" t="str">
            <v>PRODUÇÃO DA EQUIPE - (C):</v>
          </cell>
          <cell r="J1803">
            <v>1</v>
          </cell>
          <cell r="K1803" t="str">
            <v>kg</v>
          </cell>
          <cell r="M1803">
            <v>5.72</v>
          </cell>
        </row>
        <row r="1804">
          <cell r="F1804" t="str">
            <v>UNITÁRIO</v>
          </cell>
          <cell r="H1804" t="str">
            <v>C. OPERACIONAL</v>
          </cell>
        </row>
        <row r="1805">
          <cell r="C1805" t="str">
            <v>ÍTEM</v>
          </cell>
          <cell r="D1805" t="str">
            <v>E Q U I P A M E N T O</v>
          </cell>
          <cell r="E1805" t="str">
            <v>QUANT.</v>
          </cell>
          <cell r="F1805" t="str">
            <v>PROD</v>
          </cell>
          <cell r="G1805" t="str">
            <v>IMPROD</v>
          </cell>
          <cell r="H1805" t="str">
            <v>PROD</v>
          </cell>
          <cell r="I1805" t="str">
            <v>IMPROD</v>
          </cell>
          <cell r="J1805" t="str">
            <v>CUSTO HORÁRIO</v>
          </cell>
        </row>
        <row r="1806">
          <cell r="D1806" t="str">
            <v/>
          </cell>
          <cell r="G1806" t="str">
            <v/>
          </cell>
          <cell r="H1806" t="str">
            <v/>
          </cell>
          <cell r="I1806" t="str">
            <v/>
          </cell>
          <cell r="J1806" t="str">
            <v/>
          </cell>
        </row>
        <row r="1807">
          <cell r="D1807" t="str">
            <v/>
          </cell>
          <cell r="G1807" t="str">
            <v/>
          </cell>
          <cell r="H1807" t="str">
            <v/>
          </cell>
          <cell r="I1807" t="str">
            <v/>
          </cell>
          <cell r="J1807" t="str">
            <v/>
          </cell>
        </row>
        <row r="1808">
          <cell r="D1808" t="str">
            <v/>
          </cell>
          <cell r="G1808" t="str">
            <v/>
          </cell>
          <cell r="H1808" t="str">
            <v/>
          </cell>
          <cell r="I1808" t="str">
            <v/>
          </cell>
          <cell r="J1808" t="str">
            <v/>
          </cell>
        </row>
        <row r="1809">
          <cell r="D1809" t="str">
            <v/>
          </cell>
          <cell r="G1809" t="str">
            <v/>
          </cell>
          <cell r="H1809" t="str">
            <v/>
          </cell>
          <cell r="I1809" t="str">
            <v/>
          </cell>
          <cell r="J1809" t="str">
            <v/>
          </cell>
        </row>
        <row r="1810">
          <cell r="D1810" t="str">
            <v/>
          </cell>
          <cell r="G1810" t="str">
            <v/>
          </cell>
          <cell r="H1810" t="str">
            <v/>
          </cell>
          <cell r="I1810" t="str">
            <v/>
          </cell>
          <cell r="J1810" t="str">
            <v/>
          </cell>
        </row>
        <row r="1811">
          <cell r="D1811" t="str">
            <v/>
          </cell>
          <cell r="G1811" t="str">
            <v/>
          </cell>
          <cell r="H1811" t="str">
            <v/>
          </cell>
          <cell r="I1811" t="str">
            <v/>
          </cell>
          <cell r="J1811" t="str">
            <v/>
          </cell>
        </row>
        <row r="1812">
          <cell r="D1812" t="str">
            <v/>
          </cell>
          <cell r="G1812" t="str">
            <v/>
          </cell>
          <cell r="H1812" t="str">
            <v/>
          </cell>
          <cell r="I1812" t="str">
            <v/>
          </cell>
          <cell r="J1812" t="str">
            <v/>
          </cell>
        </row>
        <row r="1813">
          <cell r="F1813" t="str">
            <v>CUSTO HORÁRIO DO EQUIPAMENTO - (A)</v>
          </cell>
          <cell r="J1813">
            <v>0</v>
          </cell>
        </row>
        <row r="1814">
          <cell r="C1814" t="str">
            <v>ÍTEM</v>
          </cell>
          <cell r="D1814" t="str">
            <v>M Ã O    D E   O B R A</v>
          </cell>
          <cell r="E1814" t="str">
            <v>QUANT.</v>
          </cell>
          <cell r="F1814" t="str">
            <v>SALÁRIO HORA</v>
          </cell>
          <cell r="J1814" t="str">
            <v>CUSTO HORÁRIO</v>
          </cell>
        </row>
        <row r="1815">
          <cell r="C1815" t="str">
            <v>T501</v>
          </cell>
          <cell r="D1815" t="str">
            <v>Encarregado de turma</v>
          </cell>
          <cell r="E1815">
            <v>0.02</v>
          </cell>
          <cell r="F1815">
            <v>21.11</v>
          </cell>
          <cell r="G1815" t="e">
            <v>#N/A</v>
          </cell>
          <cell r="H1815" t="e">
            <v>#N/A</v>
          </cell>
          <cell r="I1815" t="e">
            <v>#N/A</v>
          </cell>
          <cell r="J1815">
            <v>0.42</v>
          </cell>
        </row>
        <row r="1816">
          <cell r="C1816" t="str">
            <v>T605</v>
          </cell>
          <cell r="D1816" t="str">
            <v>Armador</v>
          </cell>
          <cell r="E1816">
            <v>0.08</v>
          </cell>
          <cell r="F1816">
            <v>9.44</v>
          </cell>
          <cell r="G1816" t="e">
            <v>#N/A</v>
          </cell>
          <cell r="H1816" t="e">
            <v>#N/A</v>
          </cell>
          <cell r="I1816" t="e">
            <v>#N/A</v>
          </cell>
          <cell r="J1816">
            <v>0.75</v>
          </cell>
        </row>
        <row r="1817">
          <cell r="C1817" t="str">
            <v>T701</v>
          </cell>
          <cell r="D1817" t="str">
            <v>Servente</v>
          </cell>
          <cell r="E1817">
            <v>0.14000000000000001</v>
          </cell>
          <cell r="F1817">
            <v>6.99</v>
          </cell>
          <cell r="G1817" t="e">
            <v>#N/A</v>
          </cell>
          <cell r="H1817" t="e">
            <v>#N/A</v>
          </cell>
          <cell r="I1817" t="e">
            <v>#N/A</v>
          </cell>
          <cell r="J1817">
            <v>0.97</v>
          </cell>
        </row>
        <row r="1818">
          <cell r="D1818" t="str">
            <v/>
          </cell>
          <cell r="F1818" t="str">
            <v/>
          </cell>
          <cell r="G1818" t="str">
            <v/>
          </cell>
          <cell r="H1818" t="str">
            <v/>
          </cell>
          <cell r="I1818" t="str">
            <v/>
          </cell>
          <cell r="J1818" t="str">
            <v/>
          </cell>
        </row>
        <row r="1819">
          <cell r="D1819" t="str">
            <v/>
          </cell>
          <cell r="F1819" t="str">
            <v/>
          </cell>
          <cell r="G1819" t="str">
            <v/>
          </cell>
          <cell r="H1819" t="str">
            <v/>
          </cell>
          <cell r="I1819" t="str">
            <v/>
          </cell>
          <cell r="J1819" t="str">
            <v/>
          </cell>
        </row>
        <row r="1820">
          <cell r="F1820" t="str">
            <v>CUSTO HORÁRIO DE MÃO DE OBRA - (B)</v>
          </cell>
          <cell r="J1820">
            <v>2.14</v>
          </cell>
        </row>
        <row r="1821">
          <cell r="F1821" t="str">
            <v>FERRAMENTAS</v>
          </cell>
          <cell r="H1821">
            <v>0.2051</v>
          </cell>
          <cell r="J1821">
            <v>0.43</v>
          </cell>
        </row>
        <row r="1822">
          <cell r="F1822" t="str">
            <v>CUSTO HORÁRIO TOTAL - (A + B)</v>
          </cell>
          <cell r="J1822">
            <v>2.57</v>
          </cell>
        </row>
        <row r="1823">
          <cell r="F1823" t="str">
            <v>CUSTO UNITÁRIO DE EXECUÇÃO - (D)</v>
          </cell>
          <cell r="J1823">
            <v>2.57</v>
          </cell>
        </row>
        <row r="1824">
          <cell r="C1824" t="str">
            <v>ÍTEM</v>
          </cell>
          <cell r="D1824" t="str">
            <v>M A T E R I A L</v>
          </cell>
          <cell r="E1824" t="str">
            <v>UNID</v>
          </cell>
          <cell r="F1824" t="str">
            <v>CONSUMO</v>
          </cell>
          <cell r="H1824" t="str">
            <v xml:space="preserve"> PREÇO UNITÁRIO</v>
          </cell>
          <cell r="J1824" t="str">
            <v>CUSTO UNITÁRIO</v>
          </cell>
        </row>
        <row r="1825">
          <cell r="C1825" t="str">
            <v>M319</v>
          </cell>
          <cell r="D1825" t="str">
            <v>Arame recozido nº. 18</v>
          </cell>
          <cell r="E1825" t="str">
            <v>kg</v>
          </cell>
          <cell r="F1825">
            <v>0.01</v>
          </cell>
          <cell r="H1825">
            <v>5.82</v>
          </cell>
          <cell r="I1825" t="e">
            <v>#N/A</v>
          </cell>
          <cell r="J1825">
            <v>0.05</v>
          </cell>
        </row>
        <row r="1826">
          <cell r="D1826" t="str">
            <v/>
          </cell>
          <cell r="E1826" t="str">
            <v/>
          </cell>
          <cell r="J1826">
            <v>0</v>
          </cell>
        </row>
        <row r="1827">
          <cell r="D1827" t="str">
            <v/>
          </cell>
          <cell r="E1827" t="str">
            <v/>
          </cell>
          <cell r="J1827">
            <v>0</v>
          </cell>
        </row>
        <row r="1828">
          <cell r="D1828" t="str">
            <v/>
          </cell>
          <cell r="E1828" t="str">
            <v/>
          </cell>
          <cell r="J1828">
            <v>0</v>
          </cell>
        </row>
        <row r="1829">
          <cell r="D1829" t="str">
            <v/>
          </cell>
          <cell r="E1829" t="str">
            <v/>
          </cell>
          <cell r="J1829">
            <v>0</v>
          </cell>
        </row>
        <row r="1830">
          <cell r="F1830" t="str">
            <v>CUSTO TOTAL DE MATERIAL - (E)</v>
          </cell>
          <cell r="J1830">
            <v>0.05</v>
          </cell>
        </row>
        <row r="1831">
          <cell r="C1831" t="str">
            <v>CODIGO</v>
          </cell>
          <cell r="D1831" t="str">
            <v>ATIVIDADES AUXILIARES</v>
          </cell>
          <cell r="E1831" t="str">
            <v>UND</v>
          </cell>
          <cell r="F1831" t="str">
            <v>QUANTIDADE</v>
          </cell>
          <cell r="H1831" t="str">
            <v>CUSTO UNITÁRIO</v>
          </cell>
          <cell r="J1831" t="str">
            <v>CUSTO UNITÁRIO</v>
          </cell>
        </row>
        <row r="1832">
          <cell r="C1832" t="str">
            <v>1 A 00 302 00</v>
          </cell>
          <cell r="D1832" t="str">
            <v>Fornecimento de Aço CA-50</v>
          </cell>
          <cell r="E1832" t="str">
            <v>kg</v>
          </cell>
          <cell r="F1832">
            <v>1.1000000000000001</v>
          </cell>
          <cell r="H1832">
            <v>2.82</v>
          </cell>
          <cell r="J1832">
            <v>3.1</v>
          </cell>
        </row>
        <row r="1833">
          <cell r="D1833" t="str">
            <v/>
          </cell>
          <cell r="E1833" t="str">
            <v/>
          </cell>
          <cell r="H1833" t="str">
            <v/>
          </cell>
          <cell r="J1833" t="str">
            <v/>
          </cell>
        </row>
        <row r="1834">
          <cell r="D1834" t="str">
            <v/>
          </cell>
          <cell r="E1834" t="str">
            <v/>
          </cell>
          <cell r="H1834" t="str">
            <v/>
          </cell>
          <cell r="J1834" t="str">
            <v/>
          </cell>
        </row>
        <row r="1835">
          <cell r="D1835" t="str">
            <v/>
          </cell>
          <cell r="E1835" t="str">
            <v/>
          </cell>
          <cell r="H1835" t="str">
            <v/>
          </cell>
          <cell r="J1835" t="str">
            <v/>
          </cell>
        </row>
        <row r="1836">
          <cell r="D1836" t="str">
            <v/>
          </cell>
          <cell r="H1836" t="str">
            <v/>
          </cell>
          <cell r="J1836" t="str">
            <v/>
          </cell>
        </row>
        <row r="1837">
          <cell r="C1837" t="str">
            <v>OBSERVAÇÕES:</v>
          </cell>
          <cell r="F1837" t="str">
            <v>CUSTO ATIVIDADES AUXILIARES - (F)</v>
          </cell>
          <cell r="J1837">
            <v>3.1</v>
          </cell>
        </row>
        <row r="1838">
          <cell r="F1838" t="str">
            <v>CUSTO UNITÁRIO DIRETO TOTAL</v>
          </cell>
          <cell r="J1838">
            <v>5.72</v>
          </cell>
        </row>
        <row r="1839">
          <cell r="F1839" t="str">
            <v xml:space="preserve">BONIFICAÇÃO </v>
          </cell>
          <cell r="H1839">
            <v>0</v>
          </cell>
          <cell r="J1839">
            <v>0</v>
          </cell>
        </row>
        <row r="1840">
          <cell r="F1840" t="str">
            <v>PREÇO UNITÁRIO  TOTAL</v>
          </cell>
          <cell r="J1840">
            <v>5.72</v>
          </cell>
        </row>
        <row r="1844">
          <cell r="A1844" t="str">
            <v>1 A 01 603 51</v>
          </cell>
          <cell r="C1844" t="str">
            <v>SERVIÇO:</v>
          </cell>
          <cell r="D1844" t="str">
            <v>Argamassa cimento-areia 1:3 A</v>
          </cell>
          <cell r="F1844" t="str">
            <v>PRODUÇÃO DA EQUIPE - (C):</v>
          </cell>
          <cell r="J1844">
            <v>1.77</v>
          </cell>
          <cell r="K1844" t="str">
            <v>m³</v>
          </cell>
          <cell r="M1844">
            <v>373.89</v>
          </cell>
        </row>
        <row r="1845">
          <cell r="F1845" t="str">
            <v>UNITÁRIO</v>
          </cell>
          <cell r="H1845" t="str">
            <v>C. OPERACIONAL</v>
          </cell>
        </row>
        <row r="1846">
          <cell r="C1846" t="str">
            <v>ÍTEM</v>
          </cell>
          <cell r="D1846" t="str">
            <v>E Q U I P A M E N T O</v>
          </cell>
          <cell r="E1846" t="str">
            <v>QUANT.</v>
          </cell>
          <cell r="F1846" t="str">
            <v>PROD</v>
          </cell>
          <cell r="G1846" t="str">
            <v>IMPROD</v>
          </cell>
          <cell r="H1846" t="str">
            <v>PROD</v>
          </cell>
          <cell r="I1846" t="str">
            <v>IMPROD</v>
          </cell>
          <cell r="J1846" t="str">
            <v>CUSTO HORÁRIO</v>
          </cell>
        </row>
        <row r="1847">
          <cell r="C1847" t="str">
            <v>E302</v>
          </cell>
          <cell r="D1847" t="str">
            <v xml:space="preserve">Betoneira : Penedo :  -  320 l </v>
          </cell>
          <cell r="E1847">
            <v>1</v>
          </cell>
          <cell r="F1847">
            <v>1</v>
          </cell>
          <cell r="G1847">
            <v>0</v>
          </cell>
          <cell r="H1847">
            <v>19.38</v>
          </cell>
          <cell r="I1847">
            <v>17.27</v>
          </cell>
          <cell r="J1847">
            <v>19.38</v>
          </cell>
        </row>
        <row r="1848">
          <cell r="C1848" t="str">
            <v>E509</v>
          </cell>
          <cell r="D1848" t="str">
            <v>Grupo Gerador : Heimer : GEHMI-40 - 32,0  KVA</v>
          </cell>
          <cell r="E1848">
            <v>1</v>
          </cell>
          <cell r="F1848">
            <v>1</v>
          </cell>
          <cell r="G1848">
            <v>0</v>
          </cell>
          <cell r="H1848">
            <v>32.17</v>
          </cell>
          <cell r="I1848">
            <v>17.27</v>
          </cell>
          <cell r="J1848">
            <v>32.17</v>
          </cell>
        </row>
        <row r="1849">
          <cell r="C1849" t="str">
            <v>E304</v>
          </cell>
          <cell r="D1849" t="str">
            <v xml:space="preserve">Transportador Manual : AJS :  -  carrinho de mão 80 l </v>
          </cell>
          <cell r="E1849">
            <v>3</v>
          </cell>
          <cell r="F1849">
            <v>1</v>
          </cell>
          <cell r="G1849">
            <v>0</v>
          </cell>
          <cell r="H1849">
            <v>0.13</v>
          </cell>
          <cell r="I1849">
            <v>0</v>
          </cell>
          <cell r="J1849">
            <v>0.39</v>
          </cell>
        </row>
        <row r="1850">
          <cell r="D1850" t="str">
            <v/>
          </cell>
          <cell r="G1850" t="str">
            <v/>
          </cell>
          <cell r="H1850" t="str">
            <v/>
          </cell>
          <cell r="I1850" t="str">
            <v/>
          </cell>
          <cell r="J1850" t="str">
            <v/>
          </cell>
        </row>
        <row r="1851">
          <cell r="D1851" t="str">
            <v/>
          </cell>
          <cell r="G1851" t="str">
            <v/>
          </cell>
          <cell r="H1851" t="str">
            <v/>
          </cell>
          <cell r="I1851" t="str">
            <v/>
          </cell>
          <cell r="J1851" t="str">
            <v/>
          </cell>
        </row>
        <row r="1852">
          <cell r="D1852" t="str">
            <v/>
          </cell>
          <cell r="G1852" t="str">
            <v/>
          </cell>
          <cell r="H1852" t="str">
            <v/>
          </cell>
          <cell r="I1852" t="str">
            <v/>
          </cell>
          <cell r="J1852" t="str">
            <v/>
          </cell>
        </row>
        <row r="1853">
          <cell r="D1853" t="str">
            <v/>
          </cell>
          <cell r="G1853" t="str">
            <v/>
          </cell>
          <cell r="H1853" t="str">
            <v/>
          </cell>
          <cell r="I1853" t="str">
            <v/>
          </cell>
          <cell r="J1853" t="str">
            <v/>
          </cell>
        </row>
        <row r="1854">
          <cell r="F1854" t="str">
            <v>CUSTO HORÁRIO DO EQUIPAMENTO - (A)</v>
          </cell>
          <cell r="J1854">
            <v>51.94</v>
          </cell>
        </row>
        <row r="1855">
          <cell r="C1855" t="str">
            <v>ÍTEM</v>
          </cell>
          <cell r="D1855" t="str">
            <v>M Ã O    D E   O B R A</v>
          </cell>
          <cell r="E1855" t="str">
            <v>QUANT.</v>
          </cell>
          <cell r="F1855" t="str">
            <v>SALÁRIO HORA</v>
          </cell>
          <cell r="J1855" t="str">
            <v>CUSTO HORÁRIO</v>
          </cell>
        </row>
        <row r="1856">
          <cell r="C1856" t="str">
            <v>T604</v>
          </cell>
          <cell r="D1856" t="str">
            <v>Pedreiro</v>
          </cell>
          <cell r="E1856">
            <v>1</v>
          </cell>
          <cell r="F1856">
            <v>9.44</v>
          </cell>
          <cell r="G1856" t="e">
            <v>#N/A</v>
          </cell>
          <cell r="H1856" t="e">
            <v>#N/A</v>
          </cell>
          <cell r="I1856" t="e">
            <v>#N/A</v>
          </cell>
          <cell r="J1856">
            <v>9.44</v>
          </cell>
        </row>
        <row r="1857">
          <cell r="C1857" t="str">
            <v>T701</v>
          </cell>
          <cell r="D1857" t="str">
            <v>Servente</v>
          </cell>
          <cell r="E1857">
            <v>14</v>
          </cell>
          <cell r="F1857">
            <v>6.99</v>
          </cell>
          <cell r="G1857" t="e">
            <v>#N/A</v>
          </cell>
          <cell r="H1857" t="e">
            <v>#N/A</v>
          </cell>
          <cell r="I1857" t="e">
            <v>#N/A</v>
          </cell>
          <cell r="J1857">
            <v>97.86</v>
          </cell>
        </row>
        <row r="1858">
          <cell r="D1858" t="str">
            <v/>
          </cell>
          <cell r="F1858" t="str">
            <v/>
          </cell>
          <cell r="G1858" t="str">
            <v/>
          </cell>
          <cell r="H1858" t="str">
            <v/>
          </cell>
          <cell r="I1858" t="str">
            <v/>
          </cell>
          <cell r="J1858" t="str">
            <v/>
          </cell>
        </row>
        <row r="1859">
          <cell r="D1859" t="str">
            <v/>
          </cell>
          <cell r="F1859" t="str">
            <v/>
          </cell>
          <cell r="G1859" t="str">
            <v/>
          </cell>
          <cell r="H1859" t="str">
            <v/>
          </cell>
          <cell r="I1859" t="str">
            <v/>
          </cell>
          <cell r="J1859" t="str">
            <v/>
          </cell>
        </row>
        <row r="1860">
          <cell r="D1860" t="str">
            <v/>
          </cell>
          <cell r="F1860" t="str">
            <v/>
          </cell>
          <cell r="G1860" t="str">
            <v/>
          </cell>
          <cell r="H1860" t="str">
            <v/>
          </cell>
          <cell r="I1860" t="str">
            <v/>
          </cell>
          <cell r="J1860" t="str">
            <v/>
          </cell>
        </row>
        <row r="1861">
          <cell r="F1861" t="str">
            <v>CUSTO HORÁRIO DE MÃO DE OBRA - (B)</v>
          </cell>
          <cell r="J1861">
            <v>107.3</v>
          </cell>
        </row>
        <row r="1862">
          <cell r="F1862" t="str">
            <v>FERRAMENTAS</v>
          </cell>
          <cell r="H1862">
            <v>0.2051</v>
          </cell>
          <cell r="J1862">
            <v>22</v>
          </cell>
        </row>
        <row r="1863">
          <cell r="F1863" t="str">
            <v>CUSTO HORÁRIO TOTAL - (A + B)</v>
          </cell>
          <cell r="J1863">
            <v>181.24</v>
          </cell>
        </row>
        <row r="1864">
          <cell r="F1864" t="str">
            <v>CUSTO UNITÁRIO DE EXECUÇÃO - (D)</v>
          </cell>
          <cell r="J1864">
            <v>102.39</v>
          </cell>
        </row>
        <row r="1865">
          <cell r="C1865" t="str">
            <v>ÍTEM</v>
          </cell>
          <cell r="D1865" t="str">
            <v>M A T E R I A L</v>
          </cell>
          <cell r="E1865" t="str">
            <v>UNID</v>
          </cell>
          <cell r="F1865" t="str">
            <v>CONSUMO</v>
          </cell>
          <cell r="H1865" t="str">
            <v xml:space="preserve"> PREÇO UNITÁRIO</v>
          </cell>
          <cell r="J1865" t="str">
            <v>CUSTO UNITÁRIO</v>
          </cell>
        </row>
        <row r="1866">
          <cell r="C1866" t="str">
            <v>M704</v>
          </cell>
          <cell r="D1866" t="str">
            <v>Areia lavada comercial DMT até 50 km</v>
          </cell>
          <cell r="E1866" t="str">
            <v>m3</v>
          </cell>
          <cell r="F1866">
            <v>1.1499999999999999</v>
          </cell>
          <cell r="H1866">
            <v>60</v>
          </cell>
          <cell r="I1866" t="e">
            <v>#N/A</v>
          </cell>
          <cell r="J1866">
            <v>69</v>
          </cell>
        </row>
        <row r="1867">
          <cell r="C1867" t="str">
            <v>M202</v>
          </cell>
          <cell r="D1867" t="str">
            <v>Cimento portland CP II-32</v>
          </cell>
          <cell r="E1867" t="str">
            <v>kg</v>
          </cell>
          <cell r="F1867">
            <v>450</v>
          </cell>
          <cell r="H1867">
            <v>0.45</v>
          </cell>
          <cell r="J1867">
            <v>202.5</v>
          </cell>
        </row>
        <row r="1868">
          <cell r="D1868" t="str">
            <v/>
          </cell>
          <cell r="E1868" t="str">
            <v/>
          </cell>
          <cell r="J1868">
            <v>0</v>
          </cell>
        </row>
        <row r="1869">
          <cell r="D1869" t="str">
            <v/>
          </cell>
          <cell r="E1869" t="str">
            <v/>
          </cell>
          <cell r="J1869">
            <v>0</v>
          </cell>
        </row>
        <row r="1870">
          <cell r="D1870" t="str">
            <v/>
          </cell>
          <cell r="E1870" t="str">
            <v/>
          </cell>
          <cell r="J1870">
            <v>0</v>
          </cell>
        </row>
        <row r="1871">
          <cell r="F1871" t="str">
            <v>CUSTO TOTAL DE MATERIAL - (E)</v>
          </cell>
          <cell r="J1871">
            <v>271.5</v>
          </cell>
        </row>
        <row r="1872">
          <cell r="C1872" t="str">
            <v>CODIGO</v>
          </cell>
          <cell r="D1872" t="str">
            <v>ATIVIDADES AUXILIARES</v>
          </cell>
          <cell r="E1872" t="str">
            <v>UND</v>
          </cell>
          <cell r="F1872" t="str">
            <v>QUANTIDADE</v>
          </cell>
          <cell r="H1872" t="str">
            <v>CUSTO UNITÁRIO</v>
          </cell>
          <cell r="J1872" t="str">
            <v>CUSTO UNITÁRIO</v>
          </cell>
        </row>
        <row r="1873">
          <cell r="D1873" t="str">
            <v/>
          </cell>
          <cell r="E1873" t="str">
            <v/>
          </cell>
          <cell r="H1873" t="str">
            <v/>
          </cell>
          <cell r="J1873" t="str">
            <v/>
          </cell>
        </row>
        <row r="1874">
          <cell r="D1874" t="str">
            <v/>
          </cell>
          <cell r="E1874" t="str">
            <v/>
          </cell>
          <cell r="H1874" t="str">
            <v/>
          </cell>
          <cell r="J1874" t="str">
            <v/>
          </cell>
        </row>
        <row r="1875">
          <cell r="D1875" t="str">
            <v/>
          </cell>
          <cell r="E1875" t="str">
            <v/>
          </cell>
          <cell r="H1875" t="str">
            <v/>
          </cell>
          <cell r="J1875" t="str">
            <v/>
          </cell>
        </row>
        <row r="1876">
          <cell r="D1876" t="str">
            <v/>
          </cell>
          <cell r="E1876" t="str">
            <v/>
          </cell>
          <cell r="H1876" t="str">
            <v/>
          </cell>
          <cell r="J1876" t="str">
            <v/>
          </cell>
        </row>
        <row r="1877">
          <cell r="D1877" t="str">
            <v/>
          </cell>
          <cell r="H1877" t="str">
            <v/>
          </cell>
          <cell r="J1877" t="str">
            <v/>
          </cell>
        </row>
        <row r="1878">
          <cell r="C1878" t="str">
            <v>OBSERVAÇÕES:</v>
          </cell>
          <cell r="F1878" t="str">
            <v>CUSTO ATIVIDADES AUXILIARES - (F)</v>
          </cell>
          <cell r="J1878">
            <v>0</v>
          </cell>
        </row>
        <row r="1879">
          <cell r="F1879" t="str">
            <v>CUSTO UNITÁRIO DIRETO TOTAL</v>
          </cell>
          <cell r="J1879">
            <v>373.89</v>
          </cell>
        </row>
        <row r="1880">
          <cell r="F1880" t="str">
            <v xml:space="preserve">BONIFICAÇÃO </v>
          </cell>
          <cell r="H1880">
            <v>0</v>
          </cell>
          <cell r="J1880">
            <v>0</v>
          </cell>
        </row>
        <row r="1881">
          <cell r="F1881" t="str">
            <v>PREÇO UNITÁRIO  TOTAL</v>
          </cell>
          <cell r="J1881">
            <v>373.89</v>
          </cell>
        </row>
        <row r="1885">
          <cell r="A1885" t="str">
            <v>1 A 01 604 51</v>
          </cell>
          <cell r="C1885" t="str">
            <v>SERVIÇO:</v>
          </cell>
          <cell r="D1885" t="str">
            <v>Argamassa cimento-areia 1:4</v>
          </cell>
          <cell r="F1885" t="str">
            <v>PRODUÇÃO DA EQUIPE - (C):</v>
          </cell>
          <cell r="J1885">
            <v>1.5</v>
          </cell>
          <cell r="K1885" t="str">
            <v>m³</v>
          </cell>
          <cell r="M1885">
            <v>267.23</v>
          </cell>
        </row>
        <row r="1886">
          <cell r="F1886" t="str">
            <v>UNITÁRIO</v>
          </cell>
          <cell r="H1886" t="str">
            <v>C. OPERACIONAL</v>
          </cell>
        </row>
        <row r="1887">
          <cell r="C1887" t="str">
            <v>ÍTEM</v>
          </cell>
          <cell r="D1887" t="str">
            <v>E Q U I P A M E N T O</v>
          </cell>
          <cell r="E1887" t="str">
            <v>QUANT.</v>
          </cell>
          <cell r="F1887" t="str">
            <v>PROD</v>
          </cell>
          <cell r="G1887" t="str">
            <v>IMPROD</v>
          </cell>
          <cell r="H1887" t="str">
            <v>PROD</v>
          </cell>
          <cell r="I1887" t="str">
            <v>IMPROD</v>
          </cell>
          <cell r="J1887" t="str">
            <v>CUSTO HORÁRIO</v>
          </cell>
        </row>
        <row r="1888">
          <cell r="C1888" t="str">
            <v>E302</v>
          </cell>
          <cell r="D1888" t="str">
            <v xml:space="preserve">Betoneira : Penedo :  -  320 l </v>
          </cell>
          <cell r="E1888">
            <v>1</v>
          </cell>
          <cell r="F1888">
            <v>1</v>
          </cell>
          <cell r="G1888">
            <v>0</v>
          </cell>
          <cell r="H1888">
            <v>19.38</v>
          </cell>
          <cell r="I1888">
            <v>17.27</v>
          </cell>
          <cell r="J1888">
            <v>19.38</v>
          </cell>
        </row>
        <row r="1889">
          <cell r="C1889" t="str">
            <v>E509</v>
          </cell>
          <cell r="D1889" t="str">
            <v>Grupo Gerador : Heimer : GEHMI-40 - 32,0  KVA</v>
          </cell>
          <cell r="E1889">
            <v>1</v>
          </cell>
          <cell r="F1889">
            <v>1</v>
          </cell>
          <cell r="G1889">
            <v>0</v>
          </cell>
          <cell r="H1889">
            <v>32.17</v>
          </cell>
          <cell r="I1889">
            <v>17.27</v>
          </cell>
          <cell r="J1889">
            <v>32.17</v>
          </cell>
        </row>
        <row r="1890">
          <cell r="C1890" t="str">
            <v>E304</v>
          </cell>
          <cell r="D1890" t="str">
            <v xml:space="preserve">Transportador Manual : AJS :  -  carrinho de mão 80 l </v>
          </cell>
          <cell r="E1890">
            <v>3</v>
          </cell>
          <cell r="F1890">
            <v>1</v>
          </cell>
          <cell r="G1890">
            <v>0</v>
          </cell>
          <cell r="H1890">
            <v>0.13</v>
          </cell>
          <cell r="I1890">
            <v>0</v>
          </cell>
          <cell r="J1890">
            <v>0.39</v>
          </cell>
        </row>
        <row r="1891">
          <cell r="D1891" t="str">
            <v/>
          </cell>
          <cell r="G1891" t="str">
            <v/>
          </cell>
          <cell r="H1891" t="str">
            <v/>
          </cell>
          <cell r="I1891" t="str">
            <v/>
          </cell>
          <cell r="J1891" t="str">
            <v/>
          </cell>
        </row>
        <row r="1892">
          <cell r="D1892" t="str">
            <v/>
          </cell>
          <cell r="G1892" t="str">
            <v/>
          </cell>
          <cell r="H1892" t="str">
            <v/>
          </cell>
          <cell r="I1892" t="str">
            <v/>
          </cell>
          <cell r="J1892" t="str">
            <v/>
          </cell>
        </row>
        <row r="1893">
          <cell r="F1893" t="str">
            <v>CUSTO HORÁRIO DO EQUIPAMENTO - (A)</v>
          </cell>
          <cell r="J1893">
            <v>51.94</v>
          </cell>
        </row>
        <row r="1894">
          <cell r="C1894" t="str">
            <v>ÍTEM</v>
          </cell>
          <cell r="D1894" t="str">
            <v>M Ã O    D E   O B R A</v>
          </cell>
          <cell r="E1894" t="str">
            <v>QUANT.</v>
          </cell>
          <cell r="F1894" t="str">
            <v>SALÁRIO HORA</v>
          </cell>
          <cell r="J1894" t="str">
            <v>CUSTO HORÁRIO</v>
          </cell>
        </row>
        <row r="1895">
          <cell r="C1895" t="str">
            <v>T604</v>
          </cell>
          <cell r="D1895" t="str">
            <v>Pedreiro</v>
          </cell>
          <cell r="E1895">
            <v>1</v>
          </cell>
          <cell r="F1895">
            <v>9.44</v>
          </cell>
          <cell r="G1895" t="e">
            <v>#N/A</v>
          </cell>
          <cell r="H1895" t="e">
            <v>#N/A</v>
          </cell>
          <cell r="I1895" t="e">
            <v>#N/A</v>
          </cell>
          <cell r="J1895">
            <v>9.44</v>
          </cell>
        </row>
        <row r="1896">
          <cell r="C1896" t="str">
            <v>T701</v>
          </cell>
          <cell r="D1896" t="str">
            <v>Servente</v>
          </cell>
          <cell r="E1896">
            <v>14</v>
          </cell>
          <cell r="F1896">
            <v>6.99</v>
          </cell>
          <cell r="G1896" t="e">
            <v>#N/A</v>
          </cell>
          <cell r="H1896" t="e">
            <v>#N/A</v>
          </cell>
          <cell r="I1896" t="e">
            <v>#N/A</v>
          </cell>
          <cell r="J1896">
            <v>97.86</v>
          </cell>
        </row>
        <row r="1897">
          <cell r="D1897" t="str">
            <v/>
          </cell>
          <cell r="F1897" t="str">
            <v/>
          </cell>
          <cell r="G1897" t="str">
            <v/>
          </cell>
          <cell r="H1897" t="str">
            <v/>
          </cell>
          <cell r="I1897" t="str">
            <v/>
          </cell>
          <cell r="J1897" t="str">
            <v/>
          </cell>
        </row>
        <row r="1898">
          <cell r="D1898" t="str">
            <v/>
          </cell>
          <cell r="F1898" t="str">
            <v/>
          </cell>
          <cell r="G1898" t="str">
            <v/>
          </cell>
          <cell r="H1898" t="str">
            <v/>
          </cell>
          <cell r="I1898" t="str">
            <v/>
          </cell>
          <cell r="J1898" t="str">
            <v/>
          </cell>
        </row>
        <row r="1899">
          <cell r="D1899" t="str">
            <v/>
          </cell>
          <cell r="F1899" t="str">
            <v/>
          </cell>
          <cell r="G1899" t="str">
            <v/>
          </cell>
          <cell r="H1899" t="str">
            <v/>
          </cell>
          <cell r="I1899" t="str">
            <v/>
          </cell>
          <cell r="J1899" t="str">
            <v/>
          </cell>
        </row>
        <row r="1900">
          <cell r="F1900" t="str">
            <v>CUSTO HORÁRIO DE MÃO DE OBRA - (B)</v>
          </cell>
          <cell r="J1900">
            <v>107.3</v>
          </cell>
        </row>
        <row r="1901">
          <cell r="F1901" t="str">
            <v>FERRAMENTAS</v>
          </cell>
          <cell r="H1901">
            <v>0.05</v>
          </cell>
          <cell r="J1901">
            <v>5.36</v>
          </cell>
        </row>
        <row r="1902">
          <cell r="F1902" t="str">
            <v>CUSTO HORÁRIO TOTAL - (A + B)</v>
          </cell>
          <cell r="J1902">
            <v>164.6</v>
          </cell>
        </row>
        <row r="1903">
          <cell r="F1903" t="str">
            <v>CUSTO UNITÁRIO DE EXECUÇÃO - (D)</v>
          </cell>
          <cell r="J1903">
            <v>109.73</v>
          </cell>
        </row>
        <row r="1904">
          <cell r="C1904" t="str">
            <v>ÍTEM</v>
          </cell>
          <cell r="D1904" t="str">
            <v>M A T E R I A L</v>
          </cell>
          <cell r="E1904" t="str">
            <v>UNID</v>
          </cell>
          <cell r="F1904" t="str">
            <v>CONSUMO</v>
          </cell>
          <cell r="H1904" t="str">
            <v xml:space="preserve"> PREÇO UNITÁRIO</v>
          </cell>
          <cell r="J1904" t="str">
            <v>CUSTO UNITÁRIO</v>
          </cell>
        </row>
        <row r="1905">
          <cell r="C1905" t="str">
            <v>M202</v>
          </cell>
          <cell r="D1905" t="str">
            <v>Cimento portland CP II-32</v>
          </cell>
          <cell r="E1905" t="str">
            <v>kg</v>
          </cell>
          <cell r="F1905">
            <v>350</v>
          </cell>
          <cell r="H1905">
            <v>0.45</v>
          </cell>
          <cell r="I1905" t="str">
            <v/>
          </cell>
          <cell r="J1905">
            <v>157.5</v>
          </cell>
        </row>
        <row r="1906">
          <cell r="D1906" t="str">
            <v/>
          </cell>
          <cell r="E1906" t="str">
            <v/>
          </cell>
          <cell r="H1906" t="str">
            <v/>
          </cell>
          <cell r="I1906" t="str">
            <v/>
          </cell>
          <cell r="J1906" t="str">
            <v/>
          </cell>
        </row>
        <row r="1907">
          <cell r="D1907" t="str">
            <v/>
          </cell>
          <cell r="E1907" t="str">
            <v/>
          </cell>
          <cell r="H1907" t="str">
            <v/>
          </cell>
          <cell r="I1907" t="str">
            <v/>
          </cell>
          <cell r="J1907" t="str">
            <v/>
          </cell>
        </row>
        <row r="1908">
          <cell r="D1908" t="str">
            <v/>
          </cell>
          <cell r="E1908" t="str">
            <v/>
          </cell>
          <cell r="H1908" t="str">
            <v/>
          </cell>
          <cell r="I1908" t="str">
            <v/>
          </cell>
          <cell r="J1908" t="str">
            <v/>
          </cell>
        </row>
        <row r="1909">
          <cell r="D1909" t="str">
            <v/>
          </cell>
          <cell r="E1909" t="str">
            <v/>
          </cell>
          <cell r="H1909" t="str">
            <v/>
          </cell>
          <cell r="I1909" t="str">
            <v/>
          </cell>
          <cell r="J1909" t="str">
            <v/>
          </cell>
        </row>
        <row r="1910">
          <cell r="F1910" t="str">
            <v>CUSTO TOTAL DE MATERIAL - (E)</v>
          </cell>
          <cell r="J1910">
            <v>157.5</v>
          </cell>
        </row>
        <row r="1911">
          <cell r="C1911" t="str">
            <v>CODIGO</v>
          </cell>
          <cell r="D1911" t="str">
            <v>ATIVIDADES AUXILIARES</v>
          </cell>
          <cell r="E1911" t="str">
            <v>UND</v>
          </cell>
          <cell r="F1911" t="str">
            <v>QUANTIDADE</v>
          </cell>
          <cell r="H1911" t="str">
            <v>CUSTO UNITÁRIO</v>
          </cell>
          <cell r="J1911" t="str">
            <v>CUSTO UNITÁRIO</v>
          </cell>
        </row>
        <row r="1912">
          <cell r="D1912" t="str">
            <v/>
          </cell>
          <cell r="E1912" t="str">
            <v/>
          </cell>
          <cell r="H1912" t="str">
            <v/>
          </cell>
          <cell r="J1912" t="str">
            <v/>
          </cell>
        </row>
        <row r="1913">
          <cell r="D1913" t="str">
            <v/>
          </cell>
          <cell r="E1913" t="str">
            <v/>
          </cell>
          <cell r="H1913" t="str">
            <v/>
          </cell>
          <cell r="J1913" t="str">
            <v/>
          </cell>
        </row>
        <row r="1914">
          <cell r="D1914" t="str">
            <v/>
          </cell>
          <cell r="E1914" t="str">
            <v/>
          </cell>
          <cell r="H1914" t="str">
            <v/>
          </cell>
          <cell r="J1914" t="str">
            <v/>
          </cell>
        </row>
        <row r="1915">
          <cell r="D1915" t="str">
            <v/>
          </cell>
          <cell r="E1915" t="str">
            <v/>
          </cell>
          <cell r="H1915" t="str">
            <v/>
          </cell>
          <cell r="J1915" t="str">
            <v/>
          </cell>
        </row>
        <row r="1916">
          <cell r="D1916" t="str">
            <v/>
          </cell>
          <cell r="H1916" t="str">
            <v/>
          </cell>
          <cell r="J1916" t="str">
            <v/>
          </cell>
        </row>
        <row r="1917">
          <cell r="C1917" t="str">
            <v>OBSERVAÇÕES:</v>
          </cell>
          <cell r="F1917" t="str">
            <v>CUSTO ATIVIDADES AUXILIARES - (F)</v>
          </cell>
          <cell r="J1917">
            <v>0</v>
          </cell>
        </row>
        <row r="1918">
          <cell r="F1918" t="str">
            <v>CUSTO UNITÁRIO DIRETO TOTAL</v>
          </cell>
          <cell r="J1918">
            <v>267.23</v>
          </cell>
        </row>
        <row r="1919">
          <cell r="F1919" t="str">
            <v xml:space="preserve">BONIFICAÇÃO </v>
          </cell>
          <cell r="H1919">
            <v>0</v>
          </cell>
          <cell r="J1919">
            <v>0</v>
          </cell>
        </row>
        <row r="1920">
          <cell r="F1920" t="str">
            <v>PREÇO UNITÁRIO  TOTAL</v>
          </cell>
          <cell r="J1920">
            <v>267.23</v>
          </cell>
        </row>
        <row r="1924">
          <cell r="A1924" t="str">
            <v>1 A 01 720 50</v>
          </cell>
          <cell r="C1924" t="str">
            <v>SERVIÇO:</v>
          </cell>
          <cell r="D1924" t="str">
            <v>Concreto Fck=18MPa para pré-moldados (guarda-corpo) AC/BC</v>
          </cell>
          <cell r="F1924" t="str">
            <v>PRODUÇÃO DA EQUIPE - (C):</v>
          </cell>
          <cell r="J1924">
            <v>5</v>
          </cell>
          <cell r="K1924" t="str">
            <v>m³</v>
          </cell>
          <cell r="M1924" t="e">
            <v>#N/A</v>
          </cell>
        </row>
        <row r="1925">
          <cell r="F1925" t="str">
            <v>UNITÁRIO</v>
          </cell>
          <cell r="H1925" t="str">
            <v>C. OPERACIONAL</v>
          </cell>
        </row>
        <row r="1926">
          <cell r="C1926" t="str">
            <v>ÍTEM</v>
          </cell>
          <cell r="D1926" t="str">
            <v>E Q U I P A M E N T O</v>
          </cell>
          <cell r="E1926" t="str">
            <v>QUANT.</v>
          </cell>
          <cell r="F1926" t="str">
            <v>PROD</v>
          </cell>
          <cell r="G1926" t="str">
            <v>IMPROD</v>
          </cell>
          <cell r="H1926" t="str">
            <v>PROD</v>
          </cell>
          <cell r="I1926" t="str">
            <v>IMPROD</v>
          </cell>
          <cell r="J1926" t="str">
            <v>CUSTO HORÁRIO</v>
          </cell>
        </row>
        <row r="1927">
          <cell r="C1927" t="str">
            <v>E301</v>
          </cell>
          <cell r="D1927" t="str">
            <v>Betoneira - 320 l (7 kW)</v>
          </cell>
          <cell r="E1927">
            <v>1</v>
          </cell>
          <cell r="F1927">
            <v>1</v>
          </cell>
          <cell r="G1927">
            <v>0</v>
          </cell>
          <cell r="H1927">
            <v>20.010000000000002</v>
          </cell>
          <cell r="I1927">
            <v>17.27</v>
          </cell>
          <cell r="J1927">
            <v>20.010000000000002</v>
          </cell>
        </row>
        <row r="1928">
          <cell r="C1928" t="str">
            <v>E304</v>
          </cell>
          <cell r="D1928" t="str">
            <v xml:space="preserve">Transportador Manual : AJS :  -  carrinho de mão 80 l </v>
          </cell>
          <cell r="E1928">
            <v>3</v>
          </cell>
          <cell r="F1928">
            <v>1</v>
          </cell>
          <cell r="G1928">
            <v>0</v>
          </cell>
          <cell r="H1928">
            <v>0.13</v>
          </cell>
          <cell r="I1928">
            <v>0</v>
          </cell>
          <cell r="J1928">
            <v>0.39</v>
          </cell>
        </row>
        <row r="1929">
          <cell r="C1929" t="str">
            <v>E318</v>
          </cell>
          <cell r="D1929" t="str">
            <v>Fábric. Pré-Moldado Concreto : Servimaq : - inst. compl. - guarda-corpo</v>
          </cell>
          <cell r="E1929">
            <v>1</v>
          </cell>
          <cell r="F1929">
            <v>1</v>
          </cell>
          <cell r="G1929">
            <v>0</v>
          </cell>
          <cell r="H1929">
            <v>2.69</v>
          </cell>
          <cell r="I1929">
            <v>0</v>
          </cell>
          <cell r="J1929">
            <v>2.69</v>
          </cell>
        </row>
        <row r="1930">
          <cell r="C1930" t="str">
            <v>E509</v>
          </cell>
          <cell r="D1930" t="str">
            <v>Grupo Gerador : Heimer : GEHMI-40 - 32,0  KVA</v>
          </cell>
          <cell r="E1930">
            <v>1</v>
          </cell>
          <cell r="F1930">
            <v>1</v>
          </cell>
          <cell r="G1930">
            <v>0</v>
          </cell>
          <cell r="H1930">
            <v>32.17</v>
          </cell>
          <cell r="I1930">
            <v>17.27</v>
          </cell>
          <cell r="J1930">
            <v>32.17</v>
          </cell>
        </row>
        <row r="1931">
          <cell r="D1931" t="str">
            <v/>
          </cell>
          <cell r="G1931" t="str">
            <v/>
          </cell>
          <cell r="H1931" t="str">
            <v/>
          </cell>
          <cell r="I1931" t="str">
            <v/>
          </cell>
          <cell r="J1931" t="str">
            <v/>
          </cell>
        </row>
        <row r="1932">
          <cell r="D1932" t="str">
            <v/>
          </cell>
          <cell r="G1932" t="str">
            <v/>
          </cell>
          <cell r="H1932" t="str">
            <v/>
          </cell>
          <cell r="I1932" t="str">
            <v/>
          </cell>
          <cell r="J1932" t="str">
            <v/>
          </cell>
        </row>
        <row r="1933">
          <cell r="F1933" t="str">
            <v>CUSTO HORÁRIO DO EQUIPAMENTO - (A)</v>
          </cell>
          <cell r="J1933">
            <v>55.26</v>
          </cell>
        </row>
        <row r="1934">
          <cell r="C1934" t="str">
            <v>ÍTEM</v>
          </cell>
          <cell r="D1934" t="str">
            <v>M Ã O    D E   O B R A</v>
          </cell>
          <cell r="E1934" t="str">
            <v>QUANT.</v>
          </cell>
          <cell r="F1934" t="str">
            <v>SALÁRIO HORA</v>
          </cell>
          <cell r="J1934" t="str">
            <v>CUSTO HORÁRIO</v>
          </cell>
        </row>
        <row r="1935">
          <cell r="C1935" t="str">
            <v>T501</v>
          </cell>
          <cell r="D1935" t="str">
            <v>Encarregado de turma</v>
          </cell>
          <cell r="E1935">
            <v>1</v>
          </cell>
          <cell r="F1935">
            <v>21.11</v>
          </cell>
          <cell r="G1935" t="e">
            <v>#N/A</v>
          </cell>
          <cell r="H1935" t="e">
            <v>#N/A</v>
          </cell>
          <cell r="I1935" t="e">
            <v>#N/A</v>
          </cell>
          <cell r="J1935">
            <v>21.11</v>
          </cell>
        </row>
        <row r="1936">
          <cell r="C1936" t="str">
            <v>T604</v>
          </cell>
          <cell r="D1936" t="str">
            <v>Pedreiro</v>
          </cell>
          <cell r="E1936">
            <v>1</v>
          </cell>
          <cell r="F1936">
            <v>9.44</v>
          </cell>
          <cell r="G1936" t="e">
            <v>#N/A</v>
          </cell>
          <cell r="H1936" t="e">
            <v>#N/A</v>
          </cell>
          <cell r="I1936" t="e">
            <v>#N/A</v>
          </cell>
          <cell r="J1936">
            <v>9.44</v>
          </cell>
        </row>
        <row r="1937">
          <cell r="C1937" t="str">
            <v>T701</v>
          </cell>
          <cell r="D1937" t="str">
            <v>Servente</v>
          </cell>
          <cell r="E1937">
            <v>10</v>
          </cell>
          <cell r="F1937">
            <v>6.99</v>
          </cell>
          <cell r="G1937" t="e">
            <v>#N/A</v>
          </cell>
          <cell r="H1937" t="e">
            <v>#N/A</v>
          </cell>
          <cell r="I1937" t="e">
            <v>#N/A</v>
          </cell>
          <cell r="J1937">
            <v>69.900000000000006</v>
          </cell>
        </row>
        <row r="1938">
          <cell r="D1938" t="str">
            <v/>
          </cell>
          <cell r="F1938" t="str">
            <v/>
          </cell>
          <cell r="G1938" t="str">
            <v/>
          </cell>
          <cell r="H1938" t="str">
            <v/>
          </cell>
          <cell r="I1938" t="str">
            <v/>
          </cell>
          <cell r="J1938" t="str">
            <v/>
          </cell>
        </row>
        <row r="1939">
          <cell r="D1939" t="str">
            <v/>
          </cell>
          <cell r="F1939" t="str">
            <v/>
          </cell>
          <cell r="G1939" t="str">
            <v/>
          </cell>
          <cell r="H1939" t="str">
            <v/>
          </cell>
          <cell r="I1939" t="str">
            <v/>
          </cell>
          <cell r="J1939" t="str">
            <v/>
          </cell>
        </row>
        <row r="1940">
          <cell r="F1940" t="str">
            <v>CUSTO HORÁRIO DE MÃO DE OBRA - (B)</v>
          </cell>
          <cell r="J1940">
            <v>100.45</v>
          </cell>
        </row>
        <row r="1941">
          <cell r="F1941" t="str">
            <v>FERRAMENTAS</v>
          </cell>
          <cell r="H1941">
            <v>0.2051</v>
          </cell>
          <cell r="J1941">
            <v>20.6</v>
          </cell>
        </row>
        <row r="1942">
          <cell r="F1942" t="str">
            <v>CUSTO HORÁRIO TOTAL - (A + B)</v>
          </cell>
          <cell r="J1942">
            <v>176.31</v>
          </cell>
        </row>
        <row r="1943">
          <cell r="F1943" t="str">
            <v>CUSTO UNITÁRIO DE EXECUÇÃO - (D)</v>
          </cell>
          <cell r="J1943">
            <v>35.26</v>
          </cell>
        </row>
        <row r="1944">
          <cell r="C1944" t="str">
            <v>ÍTEM</v>
          </cell>
          <cell r="D1944" t="str">
            <v>M A T E R I A L</v>
          </cell>
          <cell r="E1944" t="str">
            <v>UNID</v>
          </cell>
          <cell r="F1944" t="str">
            <v>CONSUMO</v>
          </cell>
          <cell r="H1944" t="str">
            <v xml:space="preserve"> PREÇO UNITÁRIO</v>
          </cell>
          <cell r="J1944" t="str">
            <v>CUSTO UNITÁRIO</v>
          </cell>
        </row>
        <row r="1945">
          <cell r="C1945" t="str">
            <v>M704</v>
          </cell>
          <cell r="D1945" t="str">
            <v>Areia lavada comercial DMT até 50 km</v>
          </cell>
          <cell r="E1945" t="str">
            <v>m3</v>
          </cell>
          <cell r="F1945">
            <v>0.62</v>
          </cell>
          <cell r="H1945">
            <v>60</v>
          </cell>
          <cell r="I1945" t="e">
            <v>#N/A</v>
          </cell>
          <cell r="J1945">
            <v>37.200000000000003</v>
          </cell>
        </row>
        <row r="1946">
          <cell r="C1946" t="str">
            <v>M202</v>
          </cell>
          <cell r="D1946" t="str">
            <v>Cimento portland CP II-32</v>
          </cell>
          <cell r="E1946" t="str">
            <v>kg</v>
          </cell>
          <cell r="F1946">
            <v>350</v>
          </cell>
          <cell r="H1946">
            <v>0.45</v>
          </cell>
          <cell r="J1946">
            <v>157.5</v>
          </cell>
        </row>
        <row r="1947">
          <cell r="D1947" t="str">
            <v/>
          </cell>
          <cell r="E1947" t="str">
            <v/>
          </cell>
          <cell r="H1947">
            <v>0</v>
          </cell>
          <cell r="J1947" t="str">
            <v/>
          </cell>
        </row>
        <row r="1948">
          <cell r="D1948" t="str">
            <v/>
          </cell>
          <cell r="E1948" t="str">
            <v/>
          </cell>
          <cell r="J1948" t="str">
            <v/>
          </cell>
        </row>
        <row r="1949">
          <cell r="D1949" t="str">
            <v/>
          </cell>
          <cell r="E1949" t="str">
            <v/>
          </cell>
          <cell r="J1949" t="str">
            <v/>
          </cell>
        </row>
        <row r="1950">
          <cell r="F1950" t="str">
            <v>CUSTO TOTAL DE MATERIAL - (E)</v>
          </cell>
          <cell r="J1950">
            <v>194.7</v>
          </cell>
        </row>
        <row r="1951">
          <cell r="C1951" t="str">
            <v>CODIGO</v>
          </cell>
          <cell r="D1951" t="str">
            <v>ATIVIDADES AUXILIARES</v>
          </cell>
          <cell r="E1951" t="str">
            <v>UND</v>
          </cell>
          <cell r="F1951" t="str">
            <v>QUANTIDADE</v>
          </cell>
          <cell r="H1951" t="str">
            <v>CUSTO UNITÁRIO</v>
          </cell>
          <cell r="J1951" t="str">
            <v>CUSTO UNITÁRIO</v>
          </cell>
        </row>
        <row r="1952">
          <cell r="C1952" t="str">
            <v>1 A 00 717 00</v>
          </cell>
          <cell r="D1952" t="e">
            <v>#N/A</v>
          </cell>
          <cell r="E1952" t="e">
            <v>#N/A</v>
          </cell>
          <cell r="F1952">
            <v>0.76800000000000002</v>
          </cell>
          <cell r="H1952" t="e">
            <v>#N/A</v>
          </cell>
          <cell r="J1952" t="e">
            <v>#N/A</v>
          </cell>
        </row>
        <row r="1953">
          <cell r="D1953" t="str">
            <v/>
          </cell>
          <cell r="E1953" t="str">
            <v/>
          </cell>
          <cell r="H1953" t="str">
            <v/>
          </cell>
          <cell r="J1953" t="str">
            <v/>
          </cell>
        </row>
        <row r="1954">
          <cell r="D1954" t="str">
            <v/>
          </cell>
          <cell r="E1954" t="str">
            <v/>
          </cell>
          <cell r="H1954" t="str">
            <v/>
          </cell>
          <cell r="J1954" t="str">
            <v/>
          </cell>
        </row>
        <row r="1955">
          <cell r="D1955" t="str">
            <v/>
          </cell>
          <cell r="E1955" t="str">
            <v/>
          </cell>
          <cell r="H1955" t="str">
            <v/>
          </cell>
          <cell r="J1955" t="str">
            <v/>
          </cell>
        </row>
        <row r="1956">
          <cell r="D1956" t="str">
            <v/>
          </cell>
          <cell r="H1956" t="str">
            <v/>
          </cell>
          <cell r="J1956" t="str">
            <v/>
          </cell>
        </row>
        <row r="1957">
          <cell r="C1957" t="str">
            <v>OBSERVAÇÕES:</v>
          </cell>
          <cell r="F1957" t="str">
            <v>CUSTO UNITÁRIO DE TRANSPORTE - (F)</v>
          </cell>
          <cell r="J1957" t="e">
            <v>#N/A</v>
          </cell>
        </row>
        <row r="1958">
          <cell r="F1958" t="str">
            <v>CUSTO UNITÁRIO DIRETO TOTAL</v>
          </cell>
          <cell r="J1958" t="e">
            <v>#N/A</v>
          </cell>
        </row>
        <row r="1959">
          <cell r="F1959" t="str">
            <v xml:space="preserve">BONIFICAÇÃO </v>
          </cell>
          <cell r="H1959">
            <v>0</v>
          </cell>
          <cell r="J1959" t="e">
            <v>#N/A</v>
          </cell>
        </row>
        <row r="1960">
          <cell r="F1960" t="str">
            <v>PREÇO UNITÁRIO  TOTAL</v>
          </cell>
          <cell r="J1960" t="e">
            <v>#N/A</v>
          </cell>
        </row>
        <row r="1964">
          <cell r="A1964" t="str">
            <v>1 A 01 720 52</v>
          </cell>
          <cell r="C1964" t="str">
            <v>SERVIÇO:</v>
          </cell>
          <cell r="D1964" t="str">
            <v>Fabricação de Guarda-corpo (brita e areia comercial)</v>
          </cell>
          <cell r="F1964" t="str">
            <v>PRODUÇÃO DA EQUIPE - (C):</v>
          </cell>
          <cell r="J1964">
            <v>1</v>
          </cell>
          <cell r="K1964" t="str">
            <v>M</v>
          </cell>
          <cell r="M1964">
            <v>5.9</v>
          </cell>
        </row>
        <row r="1965">
          <cell r="F1965" t="str">
            <v>UNITÁRIO</v>
          </cell>
          <cell r="H1965" t="str">
            <v>C. OPERACIONAL</v>
          </cell>
        </row>
        <row r="1966">
          <cell r="C1966" t="str">
            <v>ÍTEM</v>
          </cell>
          <cell r="D1966" t="str">
            <v>E Q U I P A M E N T O</v>
          </cell>
          <cell r="E1966" t="str">
            <v>QUANT.</v>
          </cell>
          <cell r="F1966" t="str">
            <v>PROD</v>
          </cell>
          <cell r="G1966" t="str">
            <v>IMPROD</v>
          </cell>
          <cell r="H1966" t="str">
            <v>PROD</v>
          </cell>
          <cell r="I1966" t="str">
            <v>IMPROD</v>
          </cell>
          <cell r="J1966" t="str">
            <v>CUSTO HORÁRIO</v>
          </cell>
        </row>
        <row r="1967">
          <cell r="D1967" t="str">
            <v/>
          </cell>
          <cell r="G1967" t="str">
            <v/>
          </cell>
          <cell r="H1967" t="str">
            <v/>
          </cell>
          <cell r="I1967" t="str">
            <v/>
          </cell>
          <cell r="J1967" t="str">
            <v/>
          </cell>
        </row>
        <row r="1968">
          <cell r="D1968" t="str">
            <v/>
          </cell>
          <cell r="G1968" t="str">
            <v/>
          </cell>
          <cell r="H1968" t="str">
            <v/>
          </cell>
          <cell r="I1968" t="str">
            <v/>
          </cell>
          <cell r="J1968" t="str">
            <v/>
          </cell>
        </row>
        <row r="1969">
          <cell r="D1969" t="str">
            <v/>
          </cell>
          <cell r="G1969" t="str">
            <v/>
          </cell>
          <cell r="H1969" t="str">
            <v/>
          </cell>
          <cell r="I1969" t="str">
            <v/>
          </cell>
          <cell r="J1969" t="str">
            <v/>
          </cell>
        </row>
        <row r="1970">
          <cell r="D1970" t="str">
            <v/>
          </cell>
          <cell r="G1970" t="str">
            <v/>
          </cell>
          <cell r="H1970" t="str">
            <v/>
          </cell>
          <cell r="I1970" t="str">
            <v/>
          </cell>
          <cell r="J1970" t="str">
            <v/>
          </cell>
        </row>
        <row r="1971">
          <cell r="D1971" t="str">
            <v/>
          </cell>
          <cell r="G1971" t="str">
            <v/>
          </cell>
          <cell r="H1971" t="str">
            <v/>
          </cell>
          <cell r="I1971" t="str">
            <v/>
          </cell>
          <cell r="J1971" t="str">
            <v/>
          </cell>
        </row>
        <row r="1972">
          <cell r="D1972" t="str">
            <v/>
          </cell>
          <cell r="G1972" t="str">
            <v/>
          </cell>
          <cell r="H1972" t="str">
            <v/>
          </cell>
          <cell r="I1972" t="str">
            <v/>
          </cell>
          <cell r="J1972" t="str">
            <v/>
          </cell>
        </row>
        <row r="1973">
          <cell r="D1973" t="str">
            <v/>
          </cell>
          <cell r="G1973" t="str">
            <v/>
          </cell>
          <cell r="H1973" t="str">
            <v/>
          </cell>
          <cell r="I1973" t="str">
            <v/>
          </cell>
          <cell r="J1973" t="str">
            <v/>
          </cell>
        </row>
        <row r="1974">
          <cell r="F1974" t="str">
            <v>CUSTO HORÁRIO DO EQUIPAMENTO - (A)</v>
          </cell>
          <cell r="J1974">
            <v>0</v>
          </cell>
        </row>
        <row r="1975">
          <cell r="C1975" t="str">
            <v>ÍTEM</v>
          </cell>
          <cell r="D1975" t="str">
            <v>M Ã O    D E   O B R A</v>
          </cell>
          <cell r="E1975" t="str">
            <v>QUANT.</v>
          </cell>
          <cell r="F1975" t="str">
            <v>SALÁRIO HORA</v>
          </cell>
          <cell r="J1975" t="str">
            <v>CUSTO HORÁRIO</v>
          </cell>
        </row>
        <row r="1976">
          <cell r="C1976" t="str">
            <v>T501</v>
          </cell>
          <cell r="D1976" t="str">
            <v>Encarregado de turma</v>
          </cell>
          <cell r="E1976">
            <v>0.1</v>
          </cell>
          <cell r="F1976">
            <v>21.11</v>
          </cell>
          <cell r="G1976" t="e">
            <v>#N/A</v>
          </cell>
          <cell r="H1976" t="e">
            <v>#N/A</v>
          </cell>
          <cell r="I1976" t="e">
            <v>#N/A</v>
          </cell>
          <cell r="J1976">
            <v>2.11</v>
          </cell>
        </row>
        <row r="1977">
          <cell r="C1977" t="str">
            <v>T701</v>
          </cell>
          <cell r="D1977" t="str">
            <v>Servente</v>
          </cell>
          <cell r="E1977">
            <v>0.4</v>
          </cell>
          <cell r="F1977">
            <v>6.99</v>
          </cell>
          <cell r="G1977" t="e">
            <v>#N/A</v>
          </cell>
          <cell r="H1977" t="e">
            <v>#N/A</v>
          </cell>
          <cell r="I1977" t="e">
            <v>#N/A</v>
          </cell>
          <cell r="J1977">
            <v>2.79</v>
          </cell>
        </row>
        <row r="1978">
          <cell r="D1978" t="str">
            <v/>
          </cell>
          <cell r="F1978" t="str">
            <v/>
          </cell>
          <cell r="G1978" t="str">
            <v/>
          </cell>
          <cell r="H1978" t="str">
            <v/>
          </cell>
          <cell r="I1978" t="str">
            <v/>
          </cell>
          <cell r="J1978" t="str">
            <v/>
          </cell>
        </row>
        <row r="1979">
          <cell r="D1979" t="str">
            <v/>
          </cell>
          <cell r="F1979" t="str">
            <v/>
          </cell>
          <cell r="G1979" t="str">
            <v/>
          </cell>
          <cell r="H1979" t="str">
            <v/>
          </cell>
          <cell r="I1979" t="str">
            <v/>
          </cell>
          <cell r="J1979" t="str">
            <v/>
          </cell>
        </row>
        <row r="1980">
          <cell r="D1980" t="str">
            <v/>
          </cell>
          <cell r="F1980" t="str">
            <v/>
          </cell>
          <cell r="G1980" t="str">
            <v/>
          </cell>
          <cell r="H1980" t="str">
            <v/>
          </cell>
          <cell r="I1980" t="str">
            <v/>
          </cell>
          <cell r="J1980" t="str">
            <v/>
          </cell>
        </row>
        <row r="1981">
          <cell r="F1981" t="str">
            <v>CUSTO HORÁRIO DE MÃO DE OBRA - (B)</v>
          </cell>
          <cell r="J1981">
            <v>4.9000000000000004</v>
          </cell>
        </row>
        <row r="1982">
          <cell r="F1982" t="str">
            <v>FERRAMENTAS</v>
          </cell>
          <cell r="H1982">
            <v>0.2051</v>
          </cell>
          <cell r="J1982">
            <v>1</v>
          </cell>
        </row>
        <row r="1983">
          <cell r="F1983" t="str">
            <v>CUSTO HORÁRIO TOTAL - (A + B)</v>
          </cell>
          <cell r="J1983">
            <v>5.9</v>
          </cell>
        </row>
        <row r="1984">
          <cell r="F1984" t="str">
            <v>CUSTO UNITÁRIO DE EXECUÇÃO - (D)</v>
          </cell>
          <cell r="J1984">
            <v>5.9</v>
          </cell>
        </row>
        <row r="1985">
          <cell r="C1985" t="str">
            <v>ÍTEM</v>
          </cell>
          <cell r="D1985" t="str">
            <v>M A T E R I A L</v>
          </cell>
          <cell r="E1985" t="str">
            <v>UNID</v>
          </cell>
          <cell r="F1985" t="str">
            <v>CONSUMO</v>
          </cell>
          <cell r="H1985" t="str">
            <v xml:space="preserve"> PREÇO UNITÁRIO</v>
          </cell>
          <cell r="J1985" t="str">
            <v>CUSTO UNITÁRIO</v>
          </cell>
        </row>
        <row r="1986">
          <cell r="D1986" t="str">
            <v/>
          </cell>
          <cell r="E1986" t="str">
            <v/>
          </cell>
          <cell r="J1986">
            <v>0</v>
          </cell>
        </row>
        <row r="1987">
          <cell r="D1987" t="str">
            <v/>
          </cell>
          <cell r="J1987">
            <v>0</v>
          </cell>
        </row>
        <row r="1988">
          <cell r="D1988" t="str">
            <v/>
          </cell>
          <cell r="E1988" t="str">
            <v/>
          </cell>
          <cell r="J1988">
            <v>0</v>
          </cell>
        </row>
        <row r="1989">
          <cell r="D1989" t="str">
            <v/>
          </cell>
          <cell r="E1989" t="str">
            <v/>
          </cell>
          <cell r="J1989">
            <v>0</v>
          </cell>
        </row>
        <row r="1990">
          <cell r="D1990" t="str">
            <v/>
          </cell>
          <cell r="E1990" t="str">
            <v/>
          </cell>
          <cell r="J1990">
            <v>0</v>
          </cell>
        </row>
        <row r="1991">
          <cell r="F1991" t="str">
            <v>CUSTO TOTAL DE MATERIAL - (E)</v>
          </cell>
          <cell r="J1991">
            <v>0</v>
          </cell>
        </row>
        <row r="1992">
          <cell r="C1992" t="str">
            <v>CODIGO</v>
          </cell>
          <cell r="D1992" t="str">
            <v>ATIVIDADES AUXILIARES</v>
          </cell>
          <cell r="E1992" t="str">
            <v>UND</v>
          </cell>
          <cell r="F1992" t="str">
            <v>QUANTIDADE</v>
          </cell>
          <cell r="H1992" t="str">
            <v>CUSTO UNITÁRIO</v>
          </cell>
          <cell r="J1992" t="str">
            <v>CUSTO UNITÁRIO</v>
          </cell>
        </row>
        <row r="1993">
          <cell r="D1993" t="str">
            <v/>
          </cell>
          <cell r="E1993" t="str">
            <v/>
          </cell>
          <cell r="H1993" t="str">
            <v/>
          </cell>
          <cell r="J1993" t="str">
            <v/>
          </cell>
        </row>
        <row r="1994">
          <cell r="D1994" t="str">
            <v/>
          </cell>
          <cell r="E1994" t="str">
            <v/>
          </cell>
          <cell r="H1994" t="str">
            <v/>
          </cell>
          <cell r="J1994" t="str">
            <v/>
          </cell>
        </row>
        <row r="1995">
          <cell r="D1995" t="str">
            <v/>
          </cell>
          <cell r="E1995" t="str">
            <v/>
          </cell>
          <cell r="H1995" t="str">
            <v/>
          </cell>
          <cell r="J1995" t="str">
            <v/>
          </cell>
        </row>
        <row r="1996">
          <cell r="D1996" t="str">
            <v/>
          </cell>
          <cell r="E1996" t="str">
            <v/>
          </cell>
          <cell r="H1996" t="str">
            <v/>
          </cell>
          <cell r="J1996" t="str">
            <v/>
          </cell>
        </row>
        <row r="1997">
          <cell r="D1997" t="str">
            <v/>
          </cell>
          <cell r="H1997" t="str">
            <v/>
          </cell>
          <cell r="J1997" t="str">
            <v/>
          </cell>
        </row>
        <row r="1998">
          <cell r="C1998" t="str">
            <v>OBSERVAÇÕES:</v>
          </cell>
          <cell r="F1998" t="str">
            <v>CUSTO ATIVIDADES AUXILIARES - (F)</v>
          </cell>
          <cell r="J1998">
            <v>0</v>
          </cell>
        </row>
        <row r="1999">
          <cell r="F1999" t="str">
            <v>CUSTO UNITÁRIO DIRETO TOTAL</v>
          </cell>
          <cell r="J1999">
            <v>5.9</v>
          </cell>
        </row>
        <row r="2000">
          <cell r="F2000" t="str">
            <v xml:space="preserve">BONIFICAÇÃO </v>
          </cell>
          <cell r="H2000">
            <v>0</v>
          </cell>
          <cell r="J2000">
            <v>0</v>
          </cell>
        </row>
        <row r="2001">
          <cell r="F2001" t="str">
            <v>PREÇO UNITÁRIO  TOTAL</v>
          </cell>
          <cell r="J2001">
            <v>5.9</v>
          </cell>
        </row>
        <row r="2005">
          <cell r="A2005" t="str">
            <v>1 A 01 725 01</v>
          </cell>
          <cell r="C2005" t="str">
            <v>SERVIÇO:</v>
          </cell>
          <cell r="D2005" t="str">
            <v>Fabricação de balizador de concreto</v>
          </cell>
          <cell r="F2005" t="str">
            <v>PRODUÇÃO DA EQUIPE - (C):</v>
          </cell>
          <cell r="J2005">
            <v>12</v>
          </cell>
          <cell r="K2005" t="str">
            <v>UD</v>
          </cell>
          <cell r="M2005">
            <v>14.39</v>
          </cell>
        </row>
        <row r="2006">
          <cell r="F2006" t="str">
            <v>UNITÁRIO</v>
          </cell>
          <cell r="H2006" t="str">
            <v>C. OPERACIONAL</v>
          </cell>
        </row>
        <row r="2007">
          <cell r="C2007" t="str">
            <v>ÍTEM</v>
          </cell>
          <cell r="D2007" t="str">
            <v>E Q U I P A M E N T O</v>
          </cell>
          <cell r="E2007" t="str">
            <v>QUANT.</v>
          </cell>
          <cell r="F2007" t="str">
            <v>PROD</v>
          </cell>
          <cell r="G2007" t="str">
            <v>IMPROD</v>
          </cell>
          <cell r="H2007" t="str">
            <v>PROD</v>
          </cell>
          <cell r="I2007" t="str">
            <v>IMPROD</v>
          </cell>
          <cell r="J2007" t="str">
            <v>CUSTO HORÁRIO</v>
          </cell>
        </row>
        <row r="2008">
          <cell r="C2008" t="str">
            <v>E302</v>
          </cell>
          <cell r="D2008" t="str">
            <v xml:space="preserve">Betoneira : Penedo :  -  320 l </v>
          </cell>
          <cell r="E2008">
            <v>1</v>
          </cell>
          <cell r="F2008">
            <v>0.9</v>
          </cell>
          <cell r="G2008">
            <v>0.1</v>
          </cell>
          <cell r="H2008">
            <v>19.38</v>
          </cell>
          <cell r="I2008">
            <v>17.27</v>
          </cell>
          <cell r="J2008">
            <v>19.16</v>
          </cell>
        </row>
        <row r="2009">
          <cell r="C2009" t="str">
            <v>E317</v>
          </cell>
          <cell r="D2009" t="str">
            <v>Fábric. Pré-Moldado Concreto : Servimaq : - inst. compl. - balizador</v>
          </cell>
          <cell r="E2009">
            <v>1</v>
          </cell>
          <cell r="F2009">
            <v>0.9</v>
          </cell>
          <cell r="G2009">
            <v>0.1</v>
          </cell>
          <cell r="H2009">
            <v>2.0099999999999998</v>
          </cell>
          <cell r="I2009">
            <v>0</v>
          </cell>
          <cell r="J2009">
            <v>1.8</v>
          </cell>
        </row>
        <row r="2010">
          <cell r="C2010" t="str">
            <v>E509</v>
          </cell>
          <cell r="D2010" t="str">
            <v>Grupo Gerador : Heimer : GEHMI-40 - 32,0  KVA</v>
          </cell>
          <cell r="E2010">
            <v>1</v>
          </cell>
          <cell r="F2010">
            <v>0.9</v>
          </cell>
          <cell r="G2010">
            <v>0.1</v>
          </cell>
          <cell r="H2010">
            <v>32.17</v>
          </cell>
          <cell r="I2010">
            <v>17.27</v>
          </cell>
          <cell r="J2010">
            <v>30.68</v>
          </cell>
        </row>
        <row r="2011">
          <cell r="D2011" t="str">
            <v/>
          </cell>
          <cell r="G2011" t="str">
            <v/>
          </cell>
          <cell r="H2011" t="str">
            <v/>
          </cell>
          <cell r="I2011" t="str">
            <v/>
          </cell>
          <cell r="J2011" t="str">
            <v/>
          </cell>
        </row>
        <row r="2012">
          <cell r="D2012" t="str">
            <v/>
          </cell>
          <cell r="G2012" t="str">
            <v/>
          </cell>
          <cell r="H2012" t="str">
            <v/>
          </cell>
          <cell r="I2012" t="str">
            <v/>
          </cell>
          <cell r="J2012" t="str">
            <v/>
          </cell>
        </row>
        <row r="2013">
          <cell r="D2013" t="str">
            <v/>
          </cell>
          <cell r="G2013" t="str">
            <v/>
          </cell>
          <cell r="H2013" t="str">
            <v/>
          </cell>
          <cell r="I2013" t="str">
            <v/>
          </cell>
          <cell r="J2013" t="str">
            <v/>
          </cell>
        </row>
        <row r="2014">
          <cell r="D2014" t="str">
            <v/>
          </cell>
          <cell r="G2014" t="str">
            <v/>
          </cell>
          <cell r="H2014" t="str">
            <v/>
          </cell>
          <cell r="I2014" t="str">
            <v/>
          </cell>
          <cell r="J2014" t="str">
            <v/>
          </cell>
        </row>
        <row r="2015">
          <cell r="F2015" t="str">
            <v>CUSTO HORÁRIO DO EQUIPAMENTO - (A)</v>
          </cell>
          <cell r="J2015">
            <v>51.64</v>
          </cell>
        </row>
        <row r="2016">
          <cell r="C2016" t="str">
            <v>ÍTEM</v>
          </cell>
          <cell r="D2016" t="str">
            <v>M Ã O    D E   O B R A</v>
          </cell>
          <cell r="E2016" t="str">
            <v>QUANT.</v>
          </cell>
          <cell r="F2016" t="str">
            <v>SALÁRIO HORA</v>
          </cell>
          <cell r="J2016" t="str">
            <v>CUSTO HORÁRIO</v>
          </cell>
        </row>
        <row r="2017">
          <cell r="C2017" t="str">
            <v>T501</v>
          </cell>
          <cell r="D2017" t="str">
            <v>Encarregado de turma</v>
          </cell>
          <cell r="E2017">
            <v>1</v>
          </cell>
          <cell r="F2017">
            <v>21.11</v>
          </cell>
          <cell r="G2017" t="e">
            <v>#N/A</v>
          </cell>
          <cell r="H2017" t="e">
            <v>#N/A</v>
          </cell>
          <cell r="I2017" t="e">
            <v>#N/A</v>
          </cell>
          <cell r="J2017">
            <v>21.11</v>
          </cell>
        </row>
        <row r="2018">
          <cell r="C2018" t="str">
            <v>T604</v>
          </cell>
          <cell r="D2018" t="str">
            <v>Pedreiro</v>
          </cell>
          <cell r="E2018">
            <v>1</v>
          </cell>
          <cell r="F2018">
            <v>9.44</v>
          </cell>
          <cell r="G2018" t="e">
            <v>#N/A</v>
          </cell>
          <cell r="H2018" t="e">
            <v>#N/A</v>
          </cell>
          <cell r="I2018" t="e">
            <v>#N/A</v>
          </cell>
          <cell r="J2018">
            <v>9.44</v>
          </cell>
        </row>
        <row r="2019">
          <cell r="C2019" t="str">
            <v>T605</v>
          </cell>
          <cell r="D2019" t="str">
            <v>Armador</v>
          </cell>
          <cell r="E2019">
            <v>0.5</v>
          </cell>
          <cell r="F2019">
            <v>9.44</v>
          </cell>
          <cell r="G2019" t="e">
            <v>#N/A</v>
          </cell>
          <cell r="H2019" t="e">
            <v>#N/A</v>
          </cell>
          <cell r="I2019" t="e">
            <v>#N/A</v>
          </cell>
          <cell r="J2019">
            <v>4.72</v>
          </cell>
        </row>
        <row r="2020">
          <cell r="C2020" t="str">
            <v>T607</v>
          </cell>
          <cell r="D2020" t="str">
            <v>Pintor</v>
          </cell>
          <cell r="E2020">
            <v>0.5</v>
          </cell>
          <cell r="F2020">
            <v>9.44</v>
          </cell>
          <cell r="G2020" t="e">
            <v>#N/A</v>
          </cell>
          <cell r="H2020" t="e">
            <v>#N/A</v>
          </cell>
          <cell r="I2020" t="e">
            <v>#N/A</v>
          </cell>
          <cell r="J2020">
            <v>4.72</v>
          </cell>
        </row>
        <row r="2021">
          <cell r="C2021" t="str">
            <v>T701</v>
          </cell>
          <cell r="D2021" t="str">
            <v>Servente</v>
          </cell>
          <cell r="E2021">
            <v>4</v>
          </cell>
          <cell r="F2021">
            <v>6.99</v>
          </cell>
          <cell r="G2021" t="e">
            <v>#N/A</v>
          </cell>
          <cell r="H2021" t="e">
            <v>#N/A</v>
          </cell>
          <cell r="I2021" t="e">
            <v>#N/A</v>
          </cell>
          <cell r="J2021">
            <v>27.96</v>
          </cell>
        </row>
        <row r="2022">
          <cell r="F2022" t="str">
            <v>CUSTO HORÁRIO DE MÃO DE OBRA - (B)</v>
          </cell>
          <cell r="J2022">
            <v>67.95</v>
          </cell>
        </row>
        <row r="2023">
          <cell r="F2023" t="str">
            <v>FERRAMENTAS</v>
          </cell>
          <cell r="H2023">
            <v>0.2051</v>
          </cell>
          <cell r="J2023">
            <v>13.93</v>
          </cell>
        </row>
        <row r="2024">
          <cell r="F2024" t="str">
            <v>CUSTO HORÁRIO TOTAL - (A + B)</v>
          </cell>
          <cell r="J2024">
            <v>133.52000000000001</v>
          </cell>
        </row>
        <row r="2025">
          <cell r="F2025" t="str">
            <v>CUSTO UNITÁRIO DE EXECUÇÃO - (D)</v>
          </cell>
          <cell r="J2025">
            <v>11.12</v>
          </cell>
        </row>
        <row r="2026">
          <cell r="C2026" t="str">
            <v>ÍTEM</v>
          </cell>
          <cell r="D2026" t="str">
            <v>M A T E R I A L</v>
          </cell>
          <cell r="E2026" t="str">
            <v>UNID</v>
          </cell>
          <cell r="F2026" t="str">
            <v>CONSUMO</v>
          </cell>
          <cell r="H2026" t="str">
            <v xml:space="preserve"> PREÇO UNITÁRIO</v>
          </cell>
          <cell r="J2026" t="str">
            <v>CUSTO UNITÁRIO</v>
          </cell>
        </row>
        <row r="2027">
          <cell r="C2027" t="str">
            <v>M202</v>
          </cell>
          <cell r="D2027" t="str">
            <v>Cimento portland CP II-32</v>
          </cell>
          <cell r="E2027" t="str">
            <v>kg</v>
          </cell>
          <cell r="F2027">
            <v>3</v>
          </cell>
          <cell r="H2027">
            <v>0.45</v>
          </cell>
          <cell r="J2027">
            <v>1.35</v>
          </cell>
        </row>
        <row r="2028">
          <cell r="C2028" t="str">
            <v>M607</v>
          </cell>
          <cell r="D2028" t="str">
            <v>Óleo de linhaça</v>
          </cell>
          <cell r="E2028" t="str">
            <v>l</v>
          </cell>
          <cell r="F2028">
            <v>1E-4</v>
          </cell>
          <cell r="H2028">
            <v>5.48</v>
          </cell>
          <cell r="J2028">
            <v>0</v>
          </cell>
        </row>
        <row r="2029">
          <cell r="C2029" t="str">
            <v>M609</v>
          </cell>
          <cell r="D2029" t="str">
            <v>Tinta esmalte sintético semi-fosco</v>
          </cell>
          <cell r="E2029" t="str">
            <v>l</v>
          </cell>
          <cell r="F2029">
            <v>1.4999999999999999E-2</v>
          </cell>
          <cell r="H2029">
            <v>11.13</v>
          </cell>
          <cell r="J2029">
            <v>0.16</v>
          </cell>
        </row>
        <row r="2030">
          <cell r="C2030" t="str">
            <v>M702</v>
          </cell>
          <cell r="D2030" t="str">
            <v>Cal hidratada</v>
          </cell>
          <cell r="E2030" t="str">
            <v>kg</v>
          </cell>
          <cell r="F2030">
            <v>1E-4</v>
          </cell>
          <cell r="H2030">
            <v>0.46</v>
          </cell>
          <cell r="J2030">
            <v>0</v>
          </cell>
        </row>
        <row r="2031">
          <cell r="C2031" t="str">
            <v>M970</v>
          </cell>
          <cell r="D2031" t="str">
            <v>Película refletiva lentes inclusas</v>
          </cell>
          <cell r="E2031" t="str">
            <v>m2</v>
          </cell>
          <cell r="F2031">
            <v>1.1599999999999999E-2</v>
          </cell>
          <cell r="H2031">
            <v>67.209999999999994</v>
          </cell>
          <cell r="J2031">
            <v>0.77</v>
          </cell>
        </row>
        <row r="2032">
          <cell r="F2032" t="str">
            <v>CUSTO TOTAL DE MATERIAL - (E)</v>
          </cell>
          <cell r="J2032">
            <v>2.2799999999999998</v>
          </cell>
        </row>
        <row r="2033">
          <cell r="C2033" t="str">
            <v>CODIGO</v>
          </cell>
          <cell r="D2033" t="str">
            <v>ATIVIDADES AUXILIARES</v>
          </cell>
          <cell r="E2033" t="str">
            <v>UND</v>
          </cell>
          <cell r="F2033" t="str">
            <v>QUANTIDADE</v>
          </cell>
          <cell r="H2033" t="str">
            <v>CUSTO UNITÁRIO</v>
          </cell>
          <cell r="J2033" t="str">
            <v>CUSTO UNITÁRIO</v>
          </cell>
        </row>
        <row r="2034">
          <cell r="C2034" t="str">
            <v>1 A 00 302 00</v>
          </cell>
          <cell r="D2034" t="str">
            <v>Fornecimento de Aço CA-50</v>
          </cell>
          <cell r="E2034" t="str">
            <v>kg</v>
          </cell>
          <cell r="F2034">
            <v>0.22</v>
          </cell>
          <cell r="H2034">
            <v>2.82</v>
          </cell>
          <cell r="J2034">
            <v>0.62</v>
          </cell>
        </row>
        <row r="2035">
          <cell r="C2035" t="str">
            <v>1 A 01 170 02</v>
          </cell>
          <cell r="D2035" t="str">
            <v>Areia extraída com trator e carregadeira</v>
          </cell>
          <cell r="E2035" t="str">
            <v>M³</v>
          </cell>
          <cell r="F2035">
            <v>6.0000000000000001E-3</v>
          </cell>
          <cell r="H2035">
            <v>5.1100000000000003</v>
          </cell>
          <cell r="J2035">
            <v>0.03</v>
          </cell>
        </row>
        <row r="2036">
          <cell r="C2036" t="str">
            <v>1 A 01 200 02</v>
          </cell>
          <cell r="D2036" t="str">
            <v>Brita produzida em central de britagem de 30 m3/h</v>
          </cell>
          <cell r="E2036" t="str">
            <v>M³</v>
          </cell>
          <cell r="F2036">
            <v>8.0000000000000002E-3</v>
          </cell>
          <cell r="H2036">
            <v>43.01</v>
          </cell>
          <cell r="J2036">
            <v>0.34</v>
          </cell>
        </row>
        <row r="2037">
          <cell r="D2037" t="str">
            <v/>
          </cell>
          <cell r="E2037" t="str">
            <v/>
          </cell>
          <cell r="H2037" t="str">
            <v/>
          </cell>
          <cell r="J2037" t="str">
            <v/>
          </cell>
        </row>
        <row r="2038">
          <cell r="D2038" t="str">
            <v/>
          </cell>
          <cell r="H2038" t="str">
            <v/>
          </cell>
          <cell r="J2038" t="str">
            <v/>
          </cell>
        </row>
        <row r="2039">
          <cell r="C2039" t="str">
            <v>OBSERVAÇÕES:</v>
          </cell>
          <cell r="F2039" t="str">
            <v>CUSTO ATIVIDADES AUXILIARES - (F)</v>
          </cell>
          <cell r="J2039">
            <v>0.99</v>
          </cell>
        </row>
        <row r="2040">
          <cell r="F2040" t="str">
            <v>CUSTO UNITÁRIO DIRETO TOTAL</v>
          </cell>
          <cell r="J2040">
            <v>14.39</v>
          </cell>
        </row>
        <row r="2041">
          <cell r="F2041" t="str">
            <v xml:space="preserve">BONIFICAÇÃO </v>
          </cell>
          <cell r="H2041">
            <v>0</v>
          </cell>
          <cell r="J2041">
            <v>0</v>
          </cell>
        </row>
        <row r="2042">
          <cell r="F2042" t="str">
            <v>PREÇO UNITÁRIO  TOTAL</v>
          </cell>
          <cell r="J2042">
            <v>14.39</v>
          </cell>
        </row>
        <row r="2046">
          <cell r="A2046" t="str">
            <v>1 A 01 730 02</v>
          </cell>
          <cell r="C2046" t="str">
            <v>SERVIÇO:</v>
          </cell>
          <cell r="D2046" t="str">
            <v>Fabricação mourão de concreto esticador seção triangular 15cm</v>
          </cell>
          <cell r="F2046" t="str">
            <v>PRODUÇÃO DA EQUIPE - (C):</v>
          </cell>
          <cell r="J2046">
            <v>1</v>
          </cell>
          <cell r="K2046" t="str">
            <v>und</v>
          </cell>
          <cell r="M2046">
            <v>22.62</v>
          </cell>
        </row>
        <row r="2047">
          <cell r="F2047" t="str">
            <v>UNITÁRIO</v>
          </cell>
          <cell r="H2047" t="str">
            <v>C. OPERACIONAL</v>
          </cell>
        </row>
        <row r="2048">
          <cell r="C2048" t="str">
            <v>ÍTEM</v>
          </cell>
          <cell r="D2048" t="str">
            <v>E Q U I P A M E N T O</v>
          </cell>
          <cell r="E2048" t="str">
            <v>QUANT.</v>
          </cell>
          <cell r="F2048" t="str">
            <v>PROD</v>
          </cell>
          <cell r="G2048" t="str">
            <v>IMPROD</v>
          </cell>
          <cell r="H2048" t="str">
            <v>PROD</v>
          </cell>
          <cell r="I2048" t="str">
            <v>IMPROD</v>
          </cell>
          <cell r="J2048" t="str">
            <v>CUSTO HORÁRIO</v>
          </cell>
        </row>
        <row r="2049">
          <cell r="D2049" t="str">
            <v/>
          </cell>
          <cell r="G2049" t="str">
            <v/>
          </cell>
          <cell r="H2049" t="str">
            <v/>
          </cell>
          <cell r="I2049" t="str">
            <v/>
          </cell>
          <cell r="J2049" t="str">
            <v/>
          </cell>
        </row>
        <row r="2050">
          <cell r="D2050" t="str">
            <v/>
          </cell>
          <cell r="G2050" t="str">
            <v/>
          </cell>
          <cell r="H2050" t="str">
            <v/>
          </cell>
          <cell r="I2050" t="str">
            <v/>
          </cell>
          <cell r="J2050" t="str">
            <v/>
          </cell>
        </row>
        <row r="2051">
          <cell r="D2051" t="str">
            <v/>
          </cell>
          <cell r="G2051" t="str">
            <v/>
          </cell>
          <cell r="H2051" t="str">
            <v/>
          </cell>
          <cell r="I2051" t="str">
            <v/>
          </cell>
          <cell r="J2051" t="str">
            <v/>
          </cell>
        </row>
        <row r="2052">
          <cell r="D2052" t="str">
            <v/>
          </cell>
          <cell r="G2052" t="str">
            <v/>
          </cell>
          <cell r="H2052" t="str">
            <v/>
          </cell>
          <cell r="I2052" t="str">
            <v/>
          </cell>
          <cell r="J2052" t="str">
            <v/>
          </cell>
        </row>
        <row r="2053">
          <cell r="D2053" t="str">
            <v/>
          </cell>
          <cell r="G2053" t="str">
            <v/>
          </cell>
          <cell r="H2053" t="str">
            <v/>
          </cell>
          <cell r="I2053" t="str">
            <v/>
          </cell>
          <cell r="J2053" t="str">
            <v/>
          </cell>
        </row>
        <row r="2054">
          <cell r="D2054" t="str">
            <v/>
          </cell>
          <cell r="G2054" t="str">
            <v/>
          </cell>
          <cell r="H2054" t="str">
            <v/>
          </cell>
          <cell r="I2054" t="str">
            <v/>
          </cell>
          <cell r="J2054" t="str">
            <v/>
          </cell>
        </row>
        <row r="2055">
          <cell r="D2055" t="str">
            <v/>
          </cell>
          <cell r="G2055" t="str">
            <v/>
          </cell>
          <cell r="H2055" t="str">
            <v/>
          </cell>
          <cell r="I2055" t="str">
            <v/>
          </cell>
          <cell r="J2055" t="str">
            <v/>
          </cell>
        </row>
        <row r="2056">
          <cell r="F2056" t="str">
            <v>CUSTO HORÁRIO DO EQUIPAMENTO - (A)</v>
          </cell>
          <cell r="J2056">
            <v>0</v>
          </cell>
        </row>
        <row r="2057">
          <cell r="C2057" t="str">
            <v>ÍTEM</v>
          </cell>
          <cell r="D2057" t="str">
            <v>M Ã O    D E   O B R A</v>
          </cell>
          <cell r="E2057" t="str">
            <v>QUANT.</v>
          </cell>
          <cell r="F2057" t="str">
            <v>SALÁRIO HORA</v>
          </cell>
          <cell r="J2057" t="str">
            <v>CUSTO HORÁRIO</v>
          </cell>
        </row>
        <row r="2058">
          <cell r="C2058" t="str">
            <v>T501</v>
          </cell>
          <cell r="D2058" t="str">
            <v>Encarregado de turma</v>
          </cell>
          <cell r="E2058">
            <v>0.1</v>
          </cell>
          <cell r="F2058">
            <v>21.11</v>
          </cell>
          <cell r="G2058" t="e">
            <v>#N/A</v>
          </cell>
          <cell r="H2058" t="e">
            <v>#N/A</v>
          </cell>
          <cell r="I2058" t="e">
            <v>#N/A</v>
          </cell>
          <cell r="J2058">
            <v>2.11</v>
          </cell>
        </row>
        <row r="2059">
          <cell r="C2059" t="str">
            <v>T701</v>
          </cell>
          <cell r="D2059" t="str">
            <v>Servente</v>
          </cell>
          <cell r="E2059">
            <v>0.3</v>
          </cell>
          <cell r="F2059">
            <v>6.99</v>
          </cell>
          <cell r="G2059" t="e">
            <v>#N/A</v>
          </cell>
          <cell r="H2059" t="e">
            <v>#N/A</v>
          </cell>
          <cell r="I2059" t="e">
            <v>#N/A</v>
          </cell>
          <cell r="J2059">
            <v>2.09</v>
          </cell>
        </row>
        <row r="2060">
          <cell r="D2060" t="str">
            <v/>
          </cell>
          <cell r="F2060" t="str">
            <v/>
          </cell>
          <cell r="G2060" t="str">
            <v/>
          </cell>
          <cell r="H2060" t="str">
            <v/>
          </cell>
          <cell r="I2060" t="str">
            <v/>
          </cell>
          <cell r="J2060" t="str">
            <v/>
          </cell>
        </row>
        <row r="2061">
          <cell r="D2061" t="str">
            <v/>
          </cell>
          <cell r="F2061" t="str">
            <v/>
          </cell>
          <cell r="G2061" t="str">
            <v/>
          </cell>
          <cell r="H2061" t="str">
            <v/>
          </cell>
          <cell r="I2061" t="str">
            <v/>
          </cell>
          <cell r="J2061" t="str">
            <v/>
          </cell>
        </row>
        <row r="2062">
          <cell r="D2062" t="str">
            <v/>
          </cell>
          <cell r="F2062" t="str">
            <v/>
          </cell>
          <cell r="G2062" t="str">
            <v/>
          </cell>
          <cell r="H2062" t="str">
            <v/>
          </cell>
          <cell r="I2062" t="str">
            <v/>
          </cell>
          <cell r="J2062" t="str">
            <v/>
          </cell>
        </row>
        <row r="2063">
          <cell r="F2063" t="str">
            <v>CUSTO HORÁRIO DE MÃO DE OBRA - (B)</v>
          </cell>
          <cell r="J2063">
            <v>4.2</v>
          </cell>
        </row>
        <row r="2064">
          <cell r="F2064" t="str">
            <v>FERRAMENTAS</v>
          </cell>
          <cell r="H2064">
            <v>0.2051</v>
          </cell>
          <cell r="J2064">
            <v>0.86</v>
          </cell>
        </row>
        <row r="2065">
          <cell r="F2065" t="str">
            <v>CUSTO HORÁRIO TOTAL - (A + B)</v>
          </cell>
          <cell r="J2065">
            <v>5.0599999999999996</v>
          </cell>
        </row>
        <row r="2066">
          <cell r="F2066" t="str">
            <v>CUSTO UNITÁRIO DE EXECUÇÃO - (D)</v>
          </cell>
          <cell r="J2066">
            <v>5.0599999999999996</v>
          </cell>
        </row>
        <row r="2067">
          <cell r="C2067" t="str">
            <v>ÍTEM</v>
          </cell>
          <cell r="D2067" t="str">
            <v>M A T E R I A L</v>
          </cell>
          <cell r="E2067" t="str">
            <v>UNID</v>
          </cell>
          <cell r="F2067" t="str">
            <v>CONSUMO</v>
          </cell>
          <cell r="H2067" t="str">
            <v xml:space="preserve"> PREÇO UNITÁRIO</v>
          </cell>
          <cell r="J2067" t="str">
            <v>CUSTO UNITÁRIO</v>
          </cell>
        </row>
        <row r="2068">
          <cell r="D2068" t="str">
            <v/>
          </cell>
          <cell r="E2068" t="str">
            <v/>
          </cell>
          <cell r="J2068">
            <v>0</v>
          </cell>
        </row>
        <row r="2069">
          <cell r="D2069" t="str">
            <v/>
          </cell>
          <cell r="J2069">
            <v>0</v>
          </cell>
        </row>
        <row r="2070">
          <cell r="D2070" t="str">
            <v/>
          </cell>
          <cell r="E2070" t="str">
            <v/>
          </cell>
          <cell r="J2070">
            <v>0</v>
          </cell>
        </row>
        <row r="2071">
          <cell r="D2071" t="str">
            <v/>
          </cell>
          <cell r="E2071" t="str">
            <v/>
          </cell>
          <cell r="J2071">
            <v>0</v>
          </cell>
        </row>
        <row r="2072">
          <cell r="D2072" t="str">
            <v/>
          </cell>
          <cell r="E2072" t="str">
            <v/>
          </cell>
          <cell r="J2072">
            <v>0</v>
          </cell>
        </row>
        <row r="2073">
          <cell r="F2073" t="str">
            <v>CUSTO TOTAL DE MATERIAL - (E)</v>
          </cell>
          <cell r="J2073">
            <v>0</v>
          </cell>
        </row>
        <row r="2074">
          <cell r="C2074" t="str">
            <v>CODIGO</v>
          </cell>
          <cell r="D2074" t="str">
            <v>ATIVIDADES AUXILIARES</v>
          </cell>
          <cell r="E2074" t="str">
            <v>UND</v>
          </cell>
          <cell r="F2074" t="str">
            <v>QUANTIDADE</v>
          </cell>
          <cell r="H2074" t="str">
            <v>CUSTO UNITÁRIO</v>
          </cell>
          <cell r="J2074" t="str">
            <v>CUSTO UNITÁRIO</v>
          </cell>
        </row>
        <row r="2075">
          <cell r="C2075" t="str">
            <v>1 A 01 580 02</v>
          </cell>
          <cell r="D2075" t="str">
            <v>Fornecimento, preparo e colocação formas aço CA 50</v>
          </cell>
          <cell r="E2075" t="str">
            <v>kg</v>
          </cell>
          <cell r="F2075">
            <v>1.99</v>
          </cell>
          <cell r="H2075">
            <v>5.72</v>
          </cell>
          <cell r="J2075">
            <v>11.38</v>
          </cell>
        </row>
        <row r="2076">
          <cell r="C2076" t="str">
            <v>1 A 01 423 00</v>
          </cell>
          <cell r="D2076" t="str">
            <v>Concreto fck=18MPa para pré-moldados (tubos) ( Brita produzida e areia extraída )</v>
          </cell>
          <cell r="E2076" t="str">
            <v>m³</v>
          </cell>
          <cell r="F2076">
            <v>2.4E-2</v>
          </cell>
          <cell r="H2076">
            <v>257.58999999999997</v>
          </cell>
          <cell r="J2076">
            <v>6.18</v>
          </cell>
        </row>
        <row r="2077">
          <cell r="D2077" t="str">
            <v/>
          </cell>
          <cell r="E2077" t="str">
            <v/>
          </cell>
          <cell r="H2077" t="str">
            <v/>
          </cell>
          <cell r="J2077" t="str">
            <v/>
          </cell>
        </row>
        <row r="2078">
          <cell r="D2078" t="str">
            <v/>
          </cell>
          <cell r="E2078" t="str">
            <v/>
          </cell>
          <cell r="H2078" t="str">
            <v/>
          </cell>
          <cell r="J2078" t="str">
            <v/>
          </cell>
        </row>
        <row r="2079">
          <cell r="D2079" t="str">
            <v/>
          </cell>
          <cell r="H2079" t="str">
            <v/>
          </cell>
          <cell r="J2079" t="str">
            <v/>
          </cell>
        </row>
        <row r="2080">
          <cell r="C2080" t="str">
            <v>OBSERVAÇÕES:</v>
          </cell>
          <cell r="F2080" t="str">
            <v>CUSTO ATIVIDADES AUXILIARES - (F)</v>
          </cell>
          <cell r="J2080">
            <v>17.559999999999999</v>
          </cell>
        </row>
        <row r="2081">
          <cell r="F2081" t="str">
            <v>CUSTO UNITÁRIO DIRETO TOTAL</v>
          </cell>
          <cell r="J2081">
            <v>22.62</v>
          </cell>
        </row>
        <row r="2082">
          <cell r="F2082" t="str">
            <v xml:space="preserve">BONIFICAÇÃO </v>
          </cell>
          <cell r="H2082">
            <v>0</v>
          </cell>
          <cell r="J2082">
            <v>0</v>
          </cell>
        </row>
        <row r="2083">
          <cell r="F2083" t="str">
            <v>PREÇO UNITÁRIO  TOTAL</v>
          </cell>
          <cell r="J2083">
            <v>22.62</v>
          </cell>
        </row>
        <row r="2087">
          <cell r="A2087" t="str">
            <v>1 A 01 735 02</v>
          </cell>
          <cell r="C2087" t="str">
            <v>SERVIÇO:</v>
          </cell>
          <cell r="D2087" t="str">
            <v>Fabricação mourão de concreto suporte seção triangular 11cm</v>
          </cell>
          <cell r="F2087" t="str">
            <v>PRODUÇÃO DA EQUIPE - (C):</v>
          </cell>
          <cell r="J2087">
            <v>1</v>
          </cell>
          <cell r="K2087" t="str">
            <v>Und</v>
          </cell>
          <cell r="M2087">
            <v>20.350000000000001</v>
          </cell>
        </row>
        <row r="2088">
          <cell r="F2088" t="str">
            <v>UNITÁRIO</v>
          </cell>
          <cell r="H2088" t="str">
            <v>C. OPERACIONAL</v>
          </cell>
        </row>
        <row r="2089">
          <cell r="C2089" t="str">
            <v>ÍTEM</v>
          </cell>
          <cell r="D2089" t="str">
            <v>E Q U I P A M E N T O</v>
          </cell>
          <cell r="E2089" t="str">
            <v>QUANT.</v>
          </cell>
          <cell r="F2089" t="str">
            <v>PROD</v>
          </cell>
          <cell r="G2089" t="str">
            <v>IMPROD</v>
          </cell>
          <cell r="H2089" t="str">
            <v>PROD</v>
          </cell>
          <cell r="I2089" t="str">
            <v>IMPROD</v>
          </cell>
          <cell r="J2089" t="str">
            <v>CUSTO HORÁRIO</v>
          </cell>
        </row>
        <row r="2090">
          <cell r="D2090" t="str">
            <v/>
          </cell>
          <cell r="G2090" t="str">
            <v/>
          </cell>
          <cell r="H2090" t="str">
            <v/>
          </cell>
          <cell r="I2090" t="str">
            <v/>
          </cell>
          <cell r="J2090" t="str">
            <v/>
          </cell>
        </row>
        <row r="2091">
          <cell r="D2091" t="str">
            <v/>
          </cell>
          <cell r="G2091" t="str">
            <v/>
          </cell>
          <cell r="H2091" t="str">
            <v/>
          </cell>
          <cell r="I2091" t="str">
            <v/>
          </cell>
          <cell r="J2091" t="str">
            <v/>
          </cell>
        </row>
        <row r="2092">
          <cell r="D2092" t="str">
            <v/>
          </cell>
          <cell r="G2092" t="str">
            <v/>
          </cell>
          <cell r="H2092" t="str">
            <v/>
          </cell>
          <cell r="I2092" t="str">
            <v/>
          </cell>
          <cell r="J2092" t="str">
            <v/>
          </cell>
        </row>
        <row r="2093">
          <cell r="D2093" t="str">
            <v/>
          </cell>
          <cell r="G2093" t="str">
            <v/>
          </cell>
          <cell r="H2093" t="str">
            <v/>
          </cell>
          <cell r="I2093" t="str">
            <v/>
          </cell>
          <cell r="J2093" t="str">
            <v/>
          </cell>
        </row>
        <row r="2094">
          <cell r="D2094" t="str">
            <v/>
          </cell>
          <cell r="G2094" t="str">
            <v/>
          </cell>
          <cell r="H2094" t="str">
            <v/>
          </cell>
          <cell r="I2094" t="str">
            <v/>
          </cell>
          <cell r="J2094" t="str">
            <v/>
          </cell>
        </row>
        <row r="2095">
          <cell r="D2095" t="str">
            <v/>
          </cell>
          <cell r="G2095" t="str">
            <v/>
          </cell>
          <cell r="H2095" t="str">
            <v/>
          </cell>
          <cell r="I2095" t="str">
            <v/>
          </cell>
          <cell r="J2095" t="str">
            <v/>
          </cell>
        </row>
        <row r="2096">
          <cell r="D2096" t="str">
            <v/>
          </cell>
          <cell r="G2096" t="str">
            <v/>
          </cell>
          <cell r="H2096" t="str">
            <v/>
          </cell>
          <cell r="I2096" t="str">
            <v/>
          </cell>
          <cell r="J2096" t="str">
            <v/>
          </cell>
        </row>
        <row r="2097">
          <cell r="F2097" t="str">
            <v>CUSTO HORÁRIO DO EQUIPAMENTO - (A)</v>
          </cell>
          <cell r="J2097">
            <v>0</v>
          </cell>
        </row>
        <row r="2098">
          <cell r="C2098" t="str">
            <v>ÍTEM</v>
          </cell>
          <cell r="D2098" t="str">
            <v>M Ã O    D E   O B R A</v>
          </cell>
          <cell r="E2098" t="str">
            <v>QUANT.</v>
          </cell>
          <cell r="F2098" t="str">
            <v>SALÁRIO HORA</v>
          </cell>
          <cell r="J2098" t="str">
            <v>CUSTO HORÁRIO</v>
          </cell>
        </row>
        <row r="2099">
          <cell r="C2099" t="str">
            <v>T501</v>
          </cell>
          <cell r="D2099" t="str">
            <v>Encarregado de turma</v>
          </cell>
          <cell r="E2099">
            <v>0.1</v>
          </cell>
          <cell r="F2099">
            <v>21.11</v>
          </cell>
          <cell r="G2099" t="e">
            <v>#N/A</v>
          </cell>
          <cell r="H2099" t="e">
            <v>#N/A</v>
          </cell>
          <cell r="I2099" t="e">
            <v>#N/A</v>
          </cell>
          <cell r="J2099">
            <v>2.11</v>
          </cell>
        </row>
        <row r="2100">
          <cell r="C2100" t="str">
            <v>T701</v>
          </cell>
          <cell r="D2100" t="str">
            <v>Servente</v>
          </cell>
          <cell r="E2100">
            <v>0.2</v>
          </cell>
          <cell r="F2100">
            <v>6.99</v>
          </cell>
          <cell r="G2100" t="e">
            <v>#N/A</v>
          </cell>
          <cell r="H2100" t="e">
            <v>#N/A</v>
          </cell>
          <cell r="I2100" t="e">
            <v>#N/A</v>
          </cell>
          <cell r="J2100">
            <v>1.39</v>
          </cell>
        </row>
        <row r="2101">
          <cell r="D2101" t="str">
            <v/>
          </cell>
          <cell r="F2101" t="str">
            <v/>
          </cell>
          <cell r="G2101" t="str">
            <v/>
          </cell>
          <cell r="H2101" t="str">
            <v/>
          </cell>
          <cell r="I2101" t="str">
            <v/>
          </cell>
          <cell r="J2101" t="str">
            <v/>
          </cell>
        </row>
        <row r="2102">
          <cell r="D2102" t="str">
            <v/>
          </cell>
          <cell r="F2102" t="str">
            <v/>
          </cell>
          <cell r="G2102" t="str">
            <v/>
          </cell>
          <cell r="H2102" t="str">
            <v/>
          </cell>
          <cell r="I2102" t="str">
            <v/>
          </cell>
          <cell r="J2102" t="str">
            <v/>
          </cell>
        </row>
        <row r="2103">
          <cell r="D2103" t="str">
            <v/>
          </cell>
          <cell r="F2103" t="str">
            <v/>
          </cell>
          <cell r="G2103" t="str">
            <v/>
          </cell>
          <cell r="H2103" t="str">
            <v/>
          </cell>
          <cell r="I2103" t="str">
            <v/>
          </cell>
          <cell r="J2103" t="str">
            <v/>
          </cell>
        </row>
        <row r="2104">
          <cell r="F2104" t="str">
            <v>CUSTO HORÁRIO DE MÃO DE OBRA - (B)</v>
          </cell>
          <cell r="J2104">
            <v>3.5</v>
          </cell>
        </row>
        <row r="2105">
          <cell r="F2105" t="str">
            <v>FERRAMENTAS</v>
          </cell>
          <cell r="H2105">
            <v>0.2051</v>
          </cell>
          <cell r="J2105">
            <v>0.71</v>
          </cell>
        </row>
        <row r="2106">
          <cell r="F2106" t="str">
            <v>CUSTO HORÁRIO TOTAL - (A + B)</v>
          </cell>
          <cell r="J2106">
            <v>4.21</v>
          </cell>
        </row>
        <row r="2107">
          <cell r="F2107" t="str">
            <v>CUSTO UNITÁRIO DE EXECUÇÃO - (D)</v>
          </cell>
          <cell r="J2107">
            <v>4.21</v>
          </cell>
        </row>
        <row r="2108">
          <cell r="C2108" t="str">
            <v>ÍTEM</v>
          </cell>
          <cell r="D2108" t="str">
            <v>M A T E R I A L</v>
          </cell>
          <cell r="E2108" t="str">
            <v>UNID</v>
          </cell>
          <cell r="F2108" t="str">
            <v>CONSUMO</v>
          </cell>
          <cell r="H2108" t="str">
            <v xml:space="preserve"> PREÇO UNITÁRIO</v>
          </cell>
          <cell r="J2108" t="str">
            <v>CUSTO UNITÁRIO</v>
          </cell>
        </row>
        <row r="2109">
          <cell r="D2109" t="str">
            <v/>
          </cell>
          <cell r="E2109" t="str">
            <v/>
          </cell>
          <cell r="J2109">
            <v>0</v>
          </cell>
        </row>
        <row r="2110">
          <cell r="D2110" t="str">
            <v/>
          </cell>
          <cell r="J2110">
            <v>0</v>
          </cell>
        </row>
        <row r="2111">
          <cell r="D2111" t="str">
            <v/>
          </cell>
          <cell r="E2111" t="str">
            <v/>
          </cell>
          <cell r="J2111">
            <v>0</v>
          </cell>
        </row>
        <row r="2112">
          <cell r="D2112" t="str">
            <v/>
          </cell>
          <cell r="E2112" t="str">
            <v/>
          </cell>
          <cell r="J2112">
            <v>0</v>
          </cell>
        </row>
        <row r="2113">
          <cell r="D2113" t="str">
            <v/>
          </cell>
          <cell r="E2113" t="str">
            <v/>
          </cell>
          <cell r="J2113">
            <v>0</v>
          </cell>
        </row>
        <row r="2114">
          <cell r="F2114" t="str">
            <v>CUSTO TOTAL DE MATERIAL - (E)</v>
          </cell>
          <cell r="J2114">
            <v>0</v>
          </cell>
        </row>
        <row r="2115">
          <cell r="C2115" t="str">
            <v>CODIGO</v>
          </cell>
          <cell r="D2115" t="str">
            <v>ATIVIDADES AUXILIARES</v>
          </cell>
          <cell r="E2115" t="str">
            <v>UND</v>
          </cell>
          <cell r="F2115" t="str">
            <v>QUANTIDADE</v>
          </cell>
          <cell r="H2115" t="str">
            <v>CUSTO UNITÁRIO</v>
          </cell>
          <cell r="J2115" t="str">
            <v>CUSTO UNITÁRIO</v>
          </cell>
        </row>
        <row r="2116">
          <cell r="C2116" t="str">
            <v>1 A 01 423 00</v>
          </cell>
          <cell r="D2116" t="str">
            <v>Concreto fck=18MPa para pré-moldados (tubos) ( Brita produzida e areia extraída )</v>
          </cell>
          <cell r="E2116" t="str">
            <v>m³</v>
          </cell>
          <cell r="F2116">
            <v>1.2699999999999999E-2</v>
          </cell>
          <cell r="H2116">
            <v>257.58999999999997</v>
          </cell>
          <cell r="J2116">
            <v>3.27</v>
          </cell>
        </row>
        <row r="2117">
          <cell r="C2117" t="str">
            <v>1 A 01 580 02</v>
          </cell>
          <cell r="D2117" t="str">
            <v>Fornecimento, preparo e colocação formas aço CA 50</v>
          </cell>
          <cell r="E2117" t="str">
            <v>kg</v>
          </cell>
          <cell r="F2117">
            <v>1.68</v>
          </cell>
          <cell r="H2117">
            <v>5.72</v>
          </cell>
          <cell r="J2117">
            <v>9.6</v>
          </cell>
        </row>
        <row r="2118">
          <cell r="C2118" t="str">
            <v>1 A 01 423 00</v>
          </cell>
          <cell r="D2118" t="str">
            <v>Concreto fck=18MPa para pré-moldados (tubos) ( Brita produzida e areia extraída )</v>
          </cell>
          <cell r="E2118" t="str">
            <v>m³</v>
          </cell>
          <cell r="F2118">
            <v>1.2699999999999999E-2</v>
          </cell>
          <cell r="H2118">
            <v>257.58999999999997</v>
          </cell>
          <cell r="J2118">
            <v>3.27</v>
          </cell>
        </row>
        <row r="2119">
          <cell r="D2119" t="str">
            <v/>
          </cell>
          <cell r="E2119" t="str">
            <v/>
          </cell>
          <cell r="H2119" t="str">
            <v/>
          </cell>
          <cell r="J2119" t="str">
            <v/>
          </cell>
        </row>
        <row r="2120">
          <cell r="D2120" t="str">
            <v/>
          </cell>
          <cell r="H2120" t="str">
            <v/>
          </cell>
          <cell r="J2120" t="str">
            <v/>
          </cell>
        </row>
        <row r="2121">
          <cell r="C2121" t="str">
            <v>OBSERVAÇÕES:</v>
          </cell>
          <cell r="F2121" t="str">
            <v>CUSTO ATIVIDADES AUXILIARES - (F)</v>
          </cell>
          <cell r="J2121">
            <v>16.14</v>
          </cell>
        </row>
        <row r="2122">
          <cell r="F2122" t="str">
            <v>CUSTO UNITÁRIO DIRETO TOTAL</v>
          </cell>
          <cell r="J2122">
            <v>20.350000000000001</v>
          </cell>
        </row>
        <row r="2123">
          <cell r="F2123" t="str">
            <v xml:space="preserve">BONIFICAÇÃO </v>
          </cell>
          <cell r="H2123">
            <v>0</v>
          </cell>
          <cell r="J2123">
            <v>0</v>
          </cell>
        </row>
        <row r="2124">
          <cell r="F2124" t="str">
            <v>PREÇO UNITÁRIO  TOTAL</v>
          </cell>
          <cell r="J2124">
            <v>20.350000000000001</v>
          </cell>
        </row>
        <row r="2128">
          <cell r="A2128" t="str">
            <v>1 A 01 740 01</v>
          </cell>
          <cell r="C2128" t="str">
            <v>SERVIÇO:</v>
          </cell>
          <cell r="D2128" t="str">
            <v>Confecção de tubos de concreto perfurado Ø=0,20m AC/BC</v>
          </cell>
          <cell r="F2128" t="str">
            <v>PRODUÇÃO DA EQUIPE - (C):</v>
          </cell>
          <cell r="J2128">
            <v>1</v>
          </cell>
          <cell r="K2128" t="str">
            <v>m</v>
          </cell>
          <cell r="M2128">
            <v>16.010000000000002</v>
          </cell>
        </row>
        <row r="2129">
          <cell r="F2129" t="str">
            <v>UNITÁRIO</v>
          </cell>
          <cell r="H2129" t="str">
            <v>C. OPERACIONAL</v>
          </cell>
        </row>
        <row r="2130">
          <cell r="C2130" t="str">
            <v>ÍTEM</v>
          </cell>
          <cell r="D2130" t="str">
            <v>E Q U I P A M E N T O</v>
          </cell>
          <cell r="E2130" t="str">
            <v>QUANT.</v>
          </cell>
          <cell r="F2130" t="str">
            <v>PROD</v>
          </cell>
          <cell r="G2130" t="str">
            <v>IMPROD</v>
          </cell>
          <cell r="H2130" t="str">
            <v>PROD</v>
          </cell>
          <cell r="I2130" t="str">
            <v>IMPROD</v>
          </cell>
          <cell r="J2130" t="str">
            <v>CUSTO HORÁRIO</v>
          </cell>
        </row>
        <row r="2131">
          <cell r="C2131" t="str">
            <v>E307</v>
          </cell>
          <cell r="D2131" t="str">
            <v>(*) Fábric. Pré-Moldado Concreto : Servimaq :  -  tubos   D=0,2 m   M / F</v>
          </cell>
          <cell r="E2131">
            <v>1</v>
          </cell>
          <cell r="F2131">
            <v>0.4</v>
          </cell>
          <cell r="G2131">
            <v>0.6</v>
          </cell>
          <cell r="H2131">
            <v>4.8</v>
          </cell>
          <cell r="I2131">
            <v>0</v>
          </cell>
          <cell r="J2131">
            <v>1.92</v>
          </cell>
        </row>
        <row r="2132">
          <cell r="D2132" t="str">
            <v/>
          </cell>
          <cell r="G2132" t="str">
            <v/>
          </cell>
          <cell r="H2132" t="str">
            <v/>
          </cell>
          <cell r="I2132" t="str">
            <v/>
          </cell>
          <cell r="J2132" t="str">
            <v/>
          </cell>
        </row>
        <row r="2133">
          <cell r="D2133" t="str">
            <v/>
          </cell>
          <cell r="G2133" t="str">
            <v/>
          </cell>
          <cell r="H2133" t="str">
            <v/>
          </cell>
          <cell r="I2133" t="str">
            <v/>
          </cell>
          <cell r="J2133" t="str">
            <v/>
          </cell>
        </row>
        <row r="2134">
          <cell r="D2134" t="str">
            <v/>
          </cell>
          <cell r="G2134" t="str">
            <v/>
          </cell>
          <cell r="H2134" t="str">
            <v/>
          </cell>
          <cell r="I2134" t="str">
            <v/>
          </cell>
          <cell r="J2134" t="str">
            <v/>
          </cell>
        </row>
        <row r="2135">
          <cell r="D2135" t="str">
            <v/>
          </cell>
          <cell r="G2135" t="str">
            <v/>
          </cell>
          <cell r="H2135" t="str">
            <v/>
          </cell>
          <cell r="I2135" t="str">
            <v/>
          </cell>
          <cell r="J2135" t="str">
            <v/>
          </cell>
        </row>
        <row r="2136">
          <cell r="D2136" t="str">
            <v/>
          </cell>
          <cell r="G2136" t="str">
            <v/>
          </cell>
          <cell r="H2136" t="str">
            <v/>
          </cell>
          <cell r="I2136" t="str">
            <v/>
          </cell>
          <cell r="J2136" t="str">
            <v/>
          </cell>
        </row>
        <row r="2137">
          <cell r="D2137" t="str">
            <v/>
          </cell>
          <cell r="G2137" t="str">
            <v/>
          </cell>
          <cell r="H2137" t="str">
            <v/>
          </cell>
          <cell r="I2137" t="str">
            <v/>
          </cell>
          <cell r="J2137" t="str">
            <v/>
          </cell>
        </row>
        <row r="2138">
          <cell r="F2138" t="str">
            <v>CUSTO HORÁRIO DO EQUIPAMENTO - (A)</v>
          </cell>
          <cell r="J2138">
            <v>1.92</v>
          </cell>
        </row>
        <row r="2139">
          <cell r="C2139" t="str">
            <v>ÍTEM</v>
          </cell>
          <cell r="D2139" t="str">
            <v>M Ã O    D E   O B R A</v>
          </cell>
          <cell r="E2139" t="str">
            <v>QUANT.</v>
          </cell>
          <cell r="F2139" t="str">
            <v>SALÁRIO HORA</v>
          </cell>
          <cell r="J2139" t="str">
            <v>CUSTO HORÁRIO</v>
          </cell>
        </row>
        <row r="2140">
          <cell r="C2140" t="str">
            <v>T501</v>
          </cell>
          <cell r="D2140" t="str">
            <v>Encarregado de turma</v>
          </cell>
          <cell r="E2140">
            <v>0.1</v>
          </cell>
          <cell r="F2140">
            <v>21.11</v>
          </cell>
          <cell r="G2140" t="e">
            <v>#N/A</v>
          </cell>
          <cell r="H2140" t="e">
            <v>#N/A</v>
          </cell>
          <cell r="I2140" t="e">
            <v>#N/A</v>
          </cell>
          <cell r="J2140">
            <v>2.11</v>
          </cell>
        </row>
        <row r="2141">
          <cell r="C2141" t="str">
            <v>T701</v>
          </cell>
          <cell r="D2141" t="str">
            <v>Servente</v>
          </cell>
          <cell r="E2141">
            <v>0.45</v>
          </cell>
          <cell r="F2141">
            <v>6.99</v>
          </cell>
          <cell r="G2141" t="e">
            <v>#N/A</v>
          </cell>
          <cell r="H2141" t="e">
            <v>#N/A</v>
          </cell>
          <cell r="I2141" t="e">
            <v>#N/A</v>
          </cell>
          <cell r="J2141">
            <v>3.14</v>
          </cell>
        </row>
        <row r="2142">
          <cell r="D2142" t="str">
            <v/>
          </cell>
          <cell r="F2142" t="str">
            <v/>
          </cell>
          <cell r="G2142" t="str">
            <v/>
          </cell>
          <cell r="H2142" t="str">
            <v/>
          </cell>
          <cell r="I2142" t="str">
            <v/>
          </cell>
          <cell r="J2142" t="str">
            <v/>
          </cell>
        </row>
        <row r="2143">
          <cell r="D2143" t="str">
            <v/>
          </cell>
          <cell r="F2143" t="str">
            <v/>
          </cell>
          <cell r="G2143" t="str">
            <v/>
          </cell>
          <cell r="H2143" t="str">
            <v/>
          </cell>
          <cell r="I2143" t="str">
            <v/>
          </cell>
          <cell r="J2143" t="str">
            <v/>
          </cell>
        </row>
        <row r="2144">
          <cell r="D2144" t="str">
            <v/>
          </cell>
          <cell r="F2144" t="str">
            <v/>
          </cell>
          <cell r="G2144" t="str">
            <v/>
          </cell>
          <cell r="H2144" t="str">
            <v/>
          </cell>
          <cell r="I2144" t="str">
            <v/>
          </cell>
          <cell r="J2144" t="str">
            <v/>
          </cell>
        </row>
        <row r="2145">
          <cell r="F2145" t="str">
            <v>CUSTO HORÁRIO DE MÃO DE OBRA - (B)</v>
          </cell>
          <cell r="J2145">
            <v>5.25</v>
          </cell>
        </row>
        <row r="2146">
          <cell r="F2146" t="str">
            <v>FERRAMENTAS</v>
          </cell>
          <cell r="H2146">
            <v>0.2051</v>
          </cell>
          <cell r="J2146">
            <v>1.07</v>
          </cell>
        </row>
        <row r="2147">
          <cell r="F2147" t="str">
            <v>CUSTO HORÁRIO TOTAL - (A + B)</v>
          </cell>
          <cell r="J2147">
            <v>8.24</v>
          </cell>
        </row>
        <row r="2148">
          <cell r="F2148" t="str">
            <v>CUSTO UNITÁRIO DE EXECUÇÃO - (D)</v>
          </cell>
          <cell r="J2148">
            <v>8.24</v>
          </cell>
        </row>
        <row r="2149">
          <cell r="C2149" t="str">
            <v>ÍTEM</v>
          </cell>
          <cell r="D2149" t="str">
            <v>M A T E R I A L</v>
          </cell>
          <cell r="E2149" t="str">
            <v>UNID</v>
          </cell>
          <cell r="F2149" t="str">
            <v>CONSUMO</v>
          </cell>
          <cell r="H2149" t="str">
            <v xml:space="preserve"> PREÇO UNITÁRIO</v>
          </cell>
          <cell r="J2149" t="str">
            <v>CUSTO UNITÁRIO</v>
          </cell>
        </row>
        <row r="2150">
          <cell r="D2150" t="str">
            <v/>
          </cell>
          <cell r="E2150" t="str">
            <v/>
          </cell>
          <cell r="J2150">
            <v>0</v>
          </cell>
        </row>
        <row r="2151">
          <cell r="D2151" t="str">
            <v/>
          </cell>
          <cell r="J2151">
            <v>0</v>
          </cell>
        </row>
        <row r="2152">
          <cell r="D2152" t="str">
            <v/>
          </cell>
          <cell r="E2152" t="str">
            <v/>
          </cell>
          <cell r="J2152">
            <v>0</v>
          </cell>
        </row>
        <row r="2153">
          <cell r="D2153" t="str">
            <v/>
          </cell>
          <cell r="E2153" t="str">
            <v/>
          </cell>
          <cell r="J2153">
            <v>0</v>
          </cell>
        </row>
        <row r="2154">
          <cell r="D2154" t="str">
            <v/>
          </cell>
          <cell r="E2154" t="str">
            <v/>
          </cell>
          <cell r="J2154">
            <v>0</v>
          </cell>
        </row>
        <row r="2155">
          <cell r="F2155" t="str">
            <v>CUSTO TOTAL DE MATERIAL - (E)</v>
          </cell>
          <cell r="J2155">
            <v>0</v>
          </cell>
        </row>
        <row r="2156">
          <cell r="C2156" t="str">
            <v>CODIGO</v>
          </cell>
          <cell r="D2156" t="str">
            <v>ATIVIDADES AUXILIARES</v>
          </cell>
          <cell r="E2156" t="str">
            <v>UND</v>
          </cell>
          <cell r="F2156" t="str">
            <v>QUANTIDADE</v>
          </cell>
          <cell r="H2156" t="str">
            <v>CUSTO UNITÁRIO</v>
          </cell>
          <cell r="J2156" t="str">
            <v>CUSTO UNITÁRIO</v>
          </cell>
        </row>
        <row r="2157">
          <cell r="C2157" t="str">
            <v>1 A 01 423 00</v>
          </cell>
          <cell r="D2157" t="str">
            <v>Concreto fck=18MPa para pré-moldados (tubos) ( Brita produzida e areia extraída )</v>
          </cell>
          <cell r="E2157" t="str">
            <v>m³</v>
          </cell>
          <cell r="F2157">
            <v>3.0200000000000001E-2</v>
          </cell>
          <cell r="H2157">
            <v>257.58999999999997</v>
          </cell>
          <cell r="J2157">
            <v>7.77</v>
          </cell>
          <cell r="M2157">
            <v>3.0200000000000001E-2</v>
          </cell>
        </row>
        <row r="2158">
          <cell r="D2158" t="str">
            <v/>
          </cell>
          <cell r="E2158" t="str">
            <v/>
          </cell>
          <cell r="H2158" t="str">
            <v/>
          </cell>
          <cell r="J2158" t="str">
            <v/>
          </cell>
        </row>
        <row r="2159">
          <cell r="D2159" t="str">
            <v/>
          </cell>
          <cell r="E2159" t="str">
            <v/>
          </cell>
          <cell r="H2159" t="str">
            <v/>
          </cell>
          <cell r="J2159" t="str">
            <v/>
          </cell>
        </row>
        <row r="2160">
          <cell r="D2160" t="str">
            <v/>
          </cell>
          <cell r="E2160" t="str">
            <v/>
          </cell>
          <cell r="H2160" t="str">
            <v/>
          </cell>
          <cell r="J2160" t="str">
            <v/>
          </cell>
        </row>
        <row r="2161">
          <cell r="D2161" t="str">
            <v/>
          </cell>
          <cell r="H2161" t="str">
            <v/>
          </cell>
          <cell r="J2161" t="str">
            <v/>
          </cell>
        </row>
        <row r="2162">
          <cell r="C2162" t="str">
            <v>OBSERVAÇÕES:</v>
          </cell>
          <cell r="F2162" t="str">
            <v>CUSTO ATIVIDADES AUXILIARES - (F)</v>
          </cell>
          <cell r="J2162">
            <v>7.77</v>
          </cell>
        </row>
        <row r="2163">
          <cell r="F2163" t="str">
            <v>CUSTO UNITÁRIO DIRETO TOTAL</v>
          </cell>
          <cell r="J2163">
            <v>16.010000000000002</v>
          </cell>
        </row>
        <row r="2164">
          <cell r="F2164" t="str">
            <v xml:space="preserve">BONIFICAÇÃO </v>
          </cell>
          <cell r="H2164">
            <v>0</v>
          </cell>
          <cell r="J2164">
            <v>0</v>
          </cell>
        </row>
        <row r="2165">
          <cell r="F2165" t="str">
            <v>PREÇO UNITÁRIO  TOTAL</v>
          </cell>
          <cell r="J2165">
            <v>16.010000000000002</v>
          </cell>
        </row>
        <row r="2169">
          <cell r="A2169" t="str">
            <v>1 A 01 730 02</v>
          </cell>
          <cell r="C2169" t="str">
            <v>SERVIÇO:</v>
          </cell>
          <cell r="D2169" t="str">
            <v>Fabricação mourão de concreto esticador seção triangular 15cm</v>
          </cell>
          <cell r="F2169" t="str">
            <v>PRODUÇÃO DA EQUIPE - (C):</v>
          </cell>
          <cell r="J2169">
            <v>1</v>
          </cell>
          <cell r="K2169" t="str">
            <v>und</v>
          </cell>
          <cell r="M2169">
            <v>22.62</v>
          </cell>
        </row>
        <row r="2170">
          <cell r="F2170" t="str">
            <v>UNITÁRIO</v>
          </cell>
          <cell r="H2170" t="str">
            <v>C. OPERACIONAL</v>
          </cell>
        </row>
        <row r="2171">
          <cell r="C2171" t="str">
            <v>ÍTEM</v>
          </cell>
          <cell r="D2171" t="str">
            <v>E Q U I P A M E N T O</v>
          </cell>
          <cell r="E2171" t="str">
            <v>QUANT.</v>
          </cell>
          <cell r="F2171" t="str">
            <v>PROD</v>
          </cell>
          <cell r="G2171" t="str">
            <v>IMPROD</v>
          </cell>
          <cell r="H2171" t="str">
            <v>PROD</v>
          </cell>
          <cell r="I2171" t="str">
            <v>IMPROD</v>
          </cell>
          <cell r="J2171" t="str">
            <v>CUSTO HORÁRIO</v>
          </cell>
        </row>
        <row r="2172">
          <cell r="D2172" t="str">
            <v/>
          </cell>
          <cell r="G2172" t="str">
            <v/>
          </cell>
          <cell r="H2172" t="str">
            <v/>
          </cell>
          <cell r="I2172" t="str">
            <v/>
          </cell>
          <cell r="J2172" t="str">
            <v/>
          </cell>
        </row>
        <row r="2173">
          <cell r="D2173" t="str">
            <v/>
          </cell>
          <cell r="G2173" t="str">
            <v/>
          </cell>
          <cell r="H2173" t="str">
            <v/>
          </cell>
          <cell r="I2173" t="str">
            <v/>
          </cell>
          <cell r="J2173" t="str">
            <v/>
          </cell>
        </row>
        <row r="2174">
          <cell r="D2174" t="str">
            <v/>
          </cell>
          <cell r="G2174" t="str">
            <v/>
          </cell>
          <cell r="H2174" t="str">
            <v/>
          </cell>
          <cell r="I2174" t="str">
            <v/>
          </cell>
          <cell r="J2174" t="str">
            <v/>
          </cell>
        </row>
        <row r="2175">
          <cell r="D2175" t="str">
            <v/>
          </cell>
          <cell r="G2175" t="str">
            <v/>
          </cell>
          <cell r="H2175" t="str">
            <v/>
          </cell>
          <cell r="I2175" t="str">
            <v/>
          </cell>
          <cell r="J2175" t="str">
            <v/>
          </cell>
        </row>
        <row r="2176">
          <cell r="D2176" t="str">
            <v/>
          </cell>
          <cell r="G2176" t="str">
            <v/>
          </cell>
          <cell r="H2176" t="str">
            <v/>
          </cell>
          <cell r="I2176" t="str">
            <v/>
          </cell>
          <cell r="J2176" t="str">
            <v/>
          </cell>
        </row>
        <row r="2177">
          <cell r="D2177" t="str">
            <v/>
          </cell>
          <cell r="G2177" t="str">
            <v/>
          </cell>
          <cell r="H2177" t="str">
            <v/>
          </cell>
          <cell r="I2177" t="str">
            <v/>
          </cell>
          <cell r="J2177" t="str">
            <v/>
          </cell>
        </row>
        <row r="2178">
          <cell r="D2178" t="str">
            <v/>
          </cell>
          <cell r="G2178" t="str">
            <v/>
          </cell>
          <cell r="H2178" t="str">
            <v/>
          </cell>
          <cell r="I2178" t="str">
            <v/>
          </cell>
          <cell r="J2178" t="str">
            <v/>
          </cell>
        </row>
        <row r="2179">
          <cell r="F2179" t="str">
            <v>CUSTO HORÁRIO DO EQUIPAMENTO - (A)</v>
          </cell>
          <cell r="J2179">
            <v>0</v>
          </cell>
        </row>
        <row r="2180">
          <cell r="C2180" t="str">
            <v>ÍTEM</v>
          </cell>
          <cell r="D2180" t="str">
            <v>M Ã O    D E   O B R A</v>
          </cell>
          <cell r="E2180" t="str">
            <v>QUANT.</v>
          </cell>
          <cell r="F2180" t="str">
            <v>SALÁRIO HORA</v>
          </cell>
          <cell r="J2180" t="str">
            <v>CUSTO HORÁRIO</v>
          </cell>
        </row>
        <row r="2181">
          <cell r="C2181" t="str">
            <v>T501</v>
          </cell>
          <cell r="D2181" t="str">
            <v>Encarregado de turma</v>
          </cell>
          <cell r="E2181">
            <v>0.1</v>
          </cell>
          <cell r="F2181">
            <v>21.11</v>
          </cell>
          <cell r="G2181" t="e">
            <v>#N/A</v>
          </cell>
          <cell r="H2181" t="e">
            <v>#N/A</v>
          </cell>
          <cell r="I2181" t="e">
            <v>#N/A</v>
          </cell>
          <cell r="J2181">
            <v>2.11</v>
          </cell>
        </row>
        <row r="2182">
          <cell r="C2182" t="str">
            <v>T701</v>
          </cell>
          <cell r="D2182" t="str">
            <v>Servente</v>
          </cell>
          <cell r="E2182">
            <v>0.3</v>
          </cell>
          <cell r="F2182">
            <v>6.99</v>
          </cell>
          <cell r="G2182" t="e">
            <v>#N/A</v>
          </cell>
          <cell r="H2182" t="e">
            <v>#N/A</v>
          </cell>
          <cell r="I2182" t="e">
            <v>#N/A</v>
          </cell>
          <cell r="J2182">
            <v>2.09</v>
          </cell>
        </row>
        <row r="2183">
          <cell r="D2183" t="str">
            <v/>
          </cell>
          <cell r="F2183" t="str">
            <v/>
          </cell>
          <cell r="G2183" t="str">
            <v/>
          </cell>
          <cell r="H2183" t="str">
            <v/>
          </cell>
          <cell r="I2183" t="str">
            <v/>
          </cell>
          <cell r="J2183" t="str">
            <v/>
          </cell>
        </row>
        <row r="2184">
          <cell r="D2184" t="str">
            <v/>
          </cell>
          <cell r="F2184" t="str">
            <v/>
          </cell>
          <cell r="G2184" t="str">
            <v/>
          </cell>
          <cell r="H2184" t="str">
            <v/>
          </cell>
          <cell r="I2184" t="str">
            <v/>
          </cell>
          <cell r="J2184" t="str">
            <v/>
          </cell>
        </row>
        <row r="2185">
          <cell r="D2185" t="str">
            <v/>
          </cell>
          <cell r="F2185" t="str">
            <v/>
          </cell>
          <cell r="G2185" t="str">
            <v/>
          </cell>
          <cell r="H2185" t="str">
            <v/>
          </cell>
          <cell r="I2185" t="str">
            <v/>
          </cell>
          <cell r="J2185" t="str">
            <v/>
          </cell>
        </row>
        <row r="2186">
          <cell r="F2186" t="str">
            <v>CUSTO HORÁRIO DE MÃO DE OBRA - (B)</v>
          </cell>
          <cell r="J2186">
            <v>4.2</v>
          </cell>
        </row>
        <row r="2187">
          <cell r="F2187" t="str">
            <v>FERRAMENTAS</v>
          </cell>
          <cell r="H2187">
            <v>0.2051</v>
          </cell>
          <cell r="J2187">
            <v>0.86</v>
          </cell>
        </row>
        <row r="2188">
          <cell r="F2188" t="str">
            <v>CUSTO HORÁRIO TOTAL - (A + B)</v>
          </cell>
          <cell r="J2188">
            <v>5.0599999999999996</v>
          </cell>
        </row>
        <row r="2189">
          <cell r="F2189" t="str">
            <v>CUSTO UNITÁRIO DE EXECUÇÃO - (D)</v>
          </cell>
          <cell r="J2189">
            <v>5.0599999999999996</v>
          </cell>
        </row>
        <row r="2190">
          <cell r="C2190" t="str">
            <v>ÍTEM</v>
          </cell>
          <cell r="D2190" t="str">
            <v>M A T E R I A L</v>
          </cell>
          <cell r="E2190" t="str">
            <v>UNID</v>
          </cell>
          <cell r="F2190" t="str">
            <v>CONSUMO</v>
          </cell>
          <cell r="H2190" t="str">
            <v xml:space="preserve"> PREÇO UNITÁRIO</v>
          </cell>
          <cell r="J2190" t="str">
            <v>CUSTO UNITÁRIO</v>
          </cell>
        </row>
        <row r="2191">
          <cell r="D2191" t="str">
            <v/>
          </cell>
          <cell r="E2191" t="str">
            <v/>
          </cell>
          <cell r="J2191">
            <v>0</v>
          </cell>
        </row>
        <row r="2192">
          <cell r="D2192" t="str">
            <v/>
          </cell>
          <cell r="J2192">
            <v>0</v>
          </cell>
        </row>
        <row r="2193">
          <cell r="D2193" t="str">
            <v/>
          </cell>
          <cell r="E2193" t="str">
            <v/>
          </cell>
          <cell r="J2193">
            <v>0</v>
          </cell>
        </row>
        <row r="2194">
          <cell r="D2194" t="str">
            <v/>
          </cell>
          <cell r="E2194" t="str">
            <v/>
          </cell>
          <cell r="J2194">
            <v>0</v>
          </cell>
        </row>
        <row r="2195">
          <cell r="D2195" t="str">
            <v/>
          </cell>
          <cell r="E2195" t="str">
            <v/>
          </cell>
          <cell r="J2195">
            <v>0</v>
          </cell>
        </row>
        <row r="2196">
          <cell r="F2196" t="str">
            <v>CUSTO TOTAL DE MATERIAL - (E)</v>
          </cell>
          <cell r="J2196">
            <v>0</v>
          </cell>
        </row>
        <row r="2197">
          <cell r="C2197" t="str">
            <v>CODIGO</v>
          </cell>
          <cell r="D2197" t="str">
            <v>ATIVIDADES AUXILIARES</v>
          </cell>
          <cell r="E2197" t="str">
            <v>UND</v>
          </cell>
          <cell r="F2197" t="str">
            <v>QUANTIDADE</v>
          </cell>
          <cell r="H2197" t="str">
            <v>CUSTO UNITÁRIO</v>
          </cell>
          <cell r="J2197" t="str">
            <v>CUSTO UNITÁRIO</v>
          </cell>
        </row>
        <row r="2198">
          <cell r="C2198" t="str">
            <v>1 A 01 580 02</v>
          </cell>
          <cell r="D2198" t="str">
            <v>Fornecimento, preparo e colocação formas aço CA 50</v>
          </cell>
          <cell r="E2198" t="str">
            <v>kg</v>
          </cell>
          <cell r="F2198">
            <v>1.99</v>
          </cell>
          <cell r="H2198">
            <v>5.72</v>
          </cell>
          <cell r="J2198">
            <v>11.38</v>
          </cell>
        </row>
        <row r="2199">
          <cell r="C2199" t="str">
            <v>1 A 01 423 00</v>
          </cell>
          <cell r="D2199" t="str">
            <v>Concreto fck=18MPa para pré-moldados (tubos) ( Brita produzida e areia extraída )</v>
          </cell>
          <cell r="E2199" t="str">
            <v>m³</v>
          </cell>
          <cell r="F2199">
            <v>2.4E-2</v>
          </cell>
          <cell r="H2199">
            <v>257.58999999999997</v>
          </cell>
          <cell r="J2199">
            <v>6.18</v>
          </cell>
        </row>
        <row r="2200">
          <cell r="D2200" t="str">
            <v/>
          </cell>
          <cell r="E2200" t="str">
            <v/>
          </cell>
          <cell r="H2200" t="str">
            <v/>
          </cell>
          <cell r="J2200" t="str">
            <v/>
          </cell>
        </row>
        <row r="2201">
          <cell r="D2201" t="str">
            <v/>
          </cell>
          <cell r="E2201" t="str">
            <v/>
          </cell>
          <cell r="H2201" t="str">
            <v/>
          </cell>
          <cell r="J2201" t="str">
            <v/>
          </cell>
        </row>
        <row r="2202">
          <cell r="D2202" t="str">
            <v/>
          </cell>
          <cell r="H2202" t="str">
            <v/>
          </cell>
          <cell r="J2202" t="str">
            <v/>
          </cell>
        </row>
        <row r="2203">
          <cell r="C2203" t="str">
            <v>OBSERVAÇÕES:</v>
          </cell>
          <cell r="F2203" t="str">
            <v>CUSTO ATIVIDADES AUXILIARES - (F)</v>
          </cell>
          <cell r="J2203">
            <v>17.559999999999999</v>
          </cell>
        </row>
        <row r="2204">
          <cell r="F2204" t="str">
            <v>CUSTO UNITÁRIO DIRETO TOTAL</v>
          </cell>
          <cell r="J2204">
            <v>22.62</v>
          </cell>
        </row>
        <row r="2205">
          <cell r="F2205" t="str">
            <v xml:space="preserve">BONIFICAÇÃO </v>
          </cell>
          <cell r="H2205">
            <v>0</v>
          </cell>
          <cell r="J2205">
            <v>0</v>
          </cell>
        </row>
        <row r="2206">
          <cell r="F2206" t="str">
            <v>PREÇO UNITÁRIO  TOTAL</v>
          </cell>
          <cell r="J2206">
            <v>22.62</v>
          </cell>
        </row>
        <row r="2210">
          <cell r="A2210" t="str">
            <v>1 A 01 735 02</v>
          </cell>
          <cell r="C2210" t="str">
            <v>SERVIÇO:</v>
          </cell>
          <cell r="D2210" t="str">
            <v>Fabricação mourão de concreto suporte seção triangular 11cm</v>
          </cell>
          <cell r="F2210" t="str">
            <v>PRODUÇÃO DA EQUIPE - (C):</v>
          </cell>
          <cell r="J2210">
            <v>1</v>
          </cell>
          <cell r="K2210" t="str">
            <v>Und</v>
          </cell>
          <cell r="M2210">
            <v>20.350000000000001</v>
          </cell>
        </row>
        <row r="2211">
          <cell r="F2211" t="str">
            <v>UNITÁRIO</v>
          </cell>
          <cell r="H2211" t="str">
            <v>C. OPERACIONAL</v>
          </cell>
        </row>
        <row r="2212">
          <cell r="C2212" t="str">
            <v>ÍTEM</v>
          </cell>
          <cell r="D2212" t="str">
            <v>E Q U I P A M E N T O</v>
          </cell>
          <cell r="E2212" t="str">
            <v>QUANT.</v>
          </cell>
          <cell r="F2212" t="str">
            <v>PROD</v>
          </cell>
          <cell r="G2212" t="str">
            <v>IMPROD</v>
          </cell>
          <cell r="H2212" t="str">
            <v>PROD</v>
          </cell>
          <cell r="I2212" t="str">
            <v>IMPROD</v>
          </cell>
          <cell r="J2212" t="str">
            <v>CUSTO HORÁRIO</v>
          </cell>
        </row>
        <row r="2213">
          <cell r="D2213" t="str">
            <v/>
          </cell>
          <cell r="G2213" t="str">
            <v/>
          </cell>
          <cell r="H2213" t="str">
            <v/>
          </cell>
          <cell r="I2213" t="str">
            <v/>
          </cell>
          <cell r="J2213" t="str">
            <v/>
          </cell>
        </row>
        <row r="2214">
          <cell r="D2214" t="str">
            <v/>
          </cell>
          <cell r="G2214" t="str">
            <v/>
          </cell>
          <cell r="H2214" t="str">
            <v/>
          </cell>
          <cell r="I2214" t="str">
            <v/>
          </cell>
          <cell r="J2214" t="str">
            <v/>
          </cell>
        </row>
        <row r="2215">
          <cell r="D2215" t="str">
            <v/>
          </cell>
          <cell r="G2215" t="str">
            <v/>
          </cell>
          <cell r="H2215" t="str">
            <v/>
          </cell>
          <cell r="I2215" t="str">
            <v/>
          </cell>
          <cell r="J2215" t="str">
            <v/>
          </cell>
        </row>
        <row r="2216">
          <cell r="D2216" t="str">
            <v/>
          </cell>
          <cell r="G2216" t="str">
            <v/>
          </cell>
          <cell r="H2216" t="str">
            <v/>
          </cell>
          <cell r="I2216" t="str">
            <v/>
          </cell>
          <cell r="J2216" t="str">
            <v/>
          </cell>
        </row>
        <row r="2217">
          <cell r="D2217" t="str">
            <v/>
          </cell>
          <cell r="G2217" t="str">
            <v/>
          </cell>
          <cell r="H2217" t="str">
            <v/>
          </cell>
          <cell r="I2217" t="str">
            <v/>
          </cell>
          <cell r="J2217" t="str">
            <v/>
          </cell>
        </row>
        <row r="2218">
          <cell r="D2218" t="str">
            <v/>
          </cell>
          <cell r="G2218" t="str">
            <v/>
          </cell>
          <cell r="H2218" t="str">
            <v/>
          </cell>
          <cell r="I2218" t="str">
            <v/>
          </cell>
          <cell r="J2218" t="str">
            <v/>
          </cell>
        </row>
        <row r="2219">
          <cell r="D2219" t="str">
            <v/>
          </cell>
          <cell r="G2219" t="str">
            <v/>
          </cell>
          <cell r="H2219" t="str">
            <v/>
          </cell>
          <cell r="I2219" t="str">
            <v/>
          </cell>
          <cell r="J2219" t="str">
            <v/>
          </cell>
        </row>
        <row r="2220">
          <cell r="F2220" t="str">
            <v>CUSTO HORÁRIO DO EQUIPAMENTO - (A)</v>
          </cell>
          <cell r="J2220">
            <v>0</v>
          </cell>
        </row>
        <row r="2221">
          <cell r="C2221" t="str">
            <v>ÍTEM</v>
          </cell>
          <cell r="D2221" t="str">
            <v>M Ã O    D E   O B R A</v>
          </cell>
          <cell r="E2221" t="str">
            <v>QUANT.</v>
          </cell>
          <cell r="F2221" t="str">
            <v>SALÁRIO HORA</v>
          </cell>
          <cell r="J2221" t="str">
            <v>CUSTO HORÁRIO</v>
          </cell>
        </row>
        <row r="2222">
          <cell r="C2222" t="str">
            <v>T501</v>
          </cell>
          <cell r="D2222" t="str">
            <v>Encarregado de turma</v>
          </cell>
          <cell r="E2222">
            <v>0.1</v>
          </cell>
          <cell r="F2222">
            <v>21.11</v>
          </cell>
          <cell r="G2222" t="e">
            <v>#N/A</v>
          </cell>
          <cell r="H2222" t="e">
            <v>#N/A</v>
          </cell>
          <cell r="I2222" t="e">
            <v>#N/A</v>
          </cell>
          <cell r="J2222">
            <v>2.11</v>
          </cell>
        </row>
        <row r="2223">
          <cell r="C2223" t="str">
            <v>T701</v>
          </cell>
          <cell r="D2223" t="str">
            <v>Servente</v>
          </cell>
          <cell r="E2223">
            <v>0.2</v>
          </cell>
          <cell r="F2223">
            <v>6.99</v>
          </cell>
          <cell r="G2223" t="e">
            <v>#N/A</v>
          </cell>
          <cell r="H2223" t="e">
            <v>#N/A</v>
          </cell>
          <cell r="I2223" t="e">
            <v>#N/A</v>
          </cell>
          <cell r="J2223">
            <v>1.39</v>
          </cell>
        </row>
        <row r="2224">
          <cell r="D2224" t="str">
            <v/>
          </cell>
          <cell r="F2224" t="str">
            <v/>
          </cell>
          <cell r="G2224" t="str">
            <v/>
          </cell>
          <cell r="H2224" t="str">
            <v/>
          </cell>
          <cell r="I2224" t="str">
            <v/>
          </cell>
          <cell r="J2224" t="str">
            <v/>
          </cell>
        </row>
        <row r="2225">
          <cell r="D2225" t="str">
            <v/>
          </cell>
          <cell r="F2225" t="str">
            <v/>
          </cell>
          <cell r="G2225" t="str">
            <v/>
          </cell>
          <cell r="H2225" t="str">
            <v/>
          </cell>
          <cell r="I2225" t="str">
            <v/>
          </cell>
          <cell r="J2225" t="str">
            <v/>
          </cell>
        </row>
        <row r="2226">
          <cell r="D2226" t="str">
            <v/>
          </cell>
          <cell r="F2226" t="str">
            <v/>
          </cell>
          <cell r="G2226" t="str">
            <v/>
          </cell>
          <cell r="H2226" t="str">
            <v/>
          </cell>
          <cell r="I2226" t="str">
            <v/>
          </cell>
          <cell r="J2226" t="str">
            <v/>
          </cell>
        </row>
        <row r="2227">
          <cell r="F2227" t="str">
            <v>CUSTO HORÁRIO DE MÃO DE OBRA - (B)</v>
          </cell>
          <cell r="J2227">
            <v>3.5</v>
          </cell>
        </row>
        <row r="2228">
          <cell r="F2228" t="str">
            <v>FERRAMENTAS</v>
          </cell>
          <cell r="H2228">
            <v>0.2051</v>
          </cell>
          <cell r="J2228">
            <v>0.71</v>
          </cell>
        </row>
        <row r="2229">
          <cell r="F2229" t="str">
            <v>CUSTO HORÁRIO TOTAL - (A + B)</v>
          </cell>
          <cell r="J2229">
            <v>4.21</v>
          </cell>
        </row>
        <row r="2230">
          <cell r="F2230" t="str">
            <v>CUSTO UNITÁRIO DE EXECUÇÃO - (D)</v>
          </cell>
          <cell r="J2230">
            <v>4.21</v>
          </cell>
        </row>
        <row r="2231">
          <cell r="C2231" t="str">
            <v>ÍTEM</v>
          </cell>
          <cell r="D2231" t="str">
            <v>M A T E R I A L</v>
          </cell>
          <cell r="E2231" t="str">
            <v>UNID</v>
          </cell>
          <cell r="F2231" t="str">
            <v>CONSUMO</v>
          </cell>
          <cell r="H2231" t="str">
            <v xml:space="preserve"> PREÇO UNITÁRIO</v>
          </cell>
          <cell r="J2231" t="str">
            <v>CUSTO UNITÁRIO</v>
          </cell>
        </row>
        <row r="2232">
          <cell r="D2232" t="str">
            <v/>
          </cell>
          <cell r="E2232" t="str">
            <v/>
          </cell>
          <cell r="J2232">
            <v>0</v>
          </cell>
        </row>
        <row r="2233">
          <cell r="D2233" t="str">
            <v/>
          </cell>
          <cell r="J2233">
            <v>0</v>
          </cell>
        </row>
        <row r="2234">
          <cell r="D2234" t="str">
            <v/>
          </cell>
          <cell r="E2234" t="str">
            <v/>
          </cell>
          <cell r="J2234">
            <v>0</v>
          </cell>
        </row>
        <row r="2235">
          <cell r="D2235" t="str">
            <v/>
          </cell>
          <cell r="E2235" t="str">
            <v/>
          </cell>
          <cell r="J2235">
            <v>0</v>
          </cell>
        </row>
        <row r="2236">
          <cell r="D2236" t="str">
            <v/>
          </cell>
          <cell r="E2236" t="str">
            <v/>
          </cell>
          <cell r="J2236">
            <v>0</v>
          </cell>
        </row>
        <row r="2237">
          <cell r="F2237" t="str">
            <v>CUSTO TOTAL DE MATERIAL - (E)</v>
          </cell>
          <cell r="J2237">
            <v>0</v>
          </cell>
        </row>
        <row r="2238">
          <cell r="C2238" t="str">
            <v>CODIGO</v>
          </cell>
          <cell r="D2238" t="str">
            <v>ATIVIDADES AUXILIARES</v>
          </cell>
          <cell r="E2238" t="str">
            <v>UND</v>
          </cell>
          <cell r="F2238" t="str">
            <v>QUANTIDADE</v>
          </cell>
          <cell r="H2238" t="str">
            <v>CUSTO UNITÁRIO</v>
          </cell>
          <cell r="J2238" t="str">
            <v>CUSTO UNITÁRIO</v>
          </cell>
        </row>
        <row r="2239">
          <cell r="C2239" t="str">
            <v>1 A 01 423 00</v>
          </cell>
          <cell r="D2239" t="str">
            <v>Concreto fck=18MPa para pré-moldados (tubos) ( Brita produzida e areia extraída )</v>
          </cell>
          <cell r="E2239" t="str">
            <v>m³</v>
          </cell>
          <cell r="F2239">
            <v>1.2699999999999999E-2</v>
          </cell>
          <cell r="H2239">
            <v>257.58999999999997</v>
          </cell>
          <cell r="J2239">
            <v>3.27</v>
          </cell>
        </row>
        <row r="2240">
          <cell r="C2240" t="str">
            <v>1 A 01 580 02</v>
          </cell>
          <cell r="D2240" t="str">
            <v>Fornecimento, preparo e colocação formas aço CA 50</v>
          </cell>
          <cell r="E2240" t="str">
            <v>kg</v>
          </cell>
          <cell r="F2240">
            <v>1.68</v>
          </cell>
          <cell r="H2240">
            <v>5.72</v>
          </cell>
          <cell r="J2240">
            <v>9.6</v>
          </cell>
        </row>
        <row r="2241">
          <cell r="C2241" t="str">
            <v>1 A 01 423 00</v>
          </cell>
          <cell r="D2241" t="str">
            <v>Concreto fck=18MPa para pré-moldados (tubos) ( Brita produzida e areia extraída )</v>
          </cell>
          <cell r="E2241" t="str">
            <v>m³</v>
          </cell>
          <cell r="F2241">
            <v>1.2699999999999999E-2</v>
          </cell>
          <cell r="H2241">
            <v>257.58999999999997</v>
          </cell>
          <cell r="J2241">
            <v>3.27</v>
          </cell>
        </row>
        <row r="2242">
          <cell r="D2242" t="str">
            <v/>
          </cell>
          <cell r="E2242" t="str">
            <v/>
          </cell>
          <cell r="H2242" t="str">
            <v/>
          </cell>
          <cell r="J2242" t="str">
            <v/>
          </cell>
        </row>
        <row r="2243">
          <cell r="D2243" t="str">
            <v/>
          </cell>
          <cell r="H2243" t="str">
            <v/>
          </cell>
          <cell r="J2243" t="str">
            <v/>
          </cell>
        </row>
        <row r="2244">
          <cell r="C2244" t="str">
            <v>OBSERVAÇÕES:</v>
          </cell>
          <cell r="F2244" t="str">
            <v>CUSTO ATIVIDADES AUXILIARES - (F)</v>
          </cell>
          <cell r="J2244">
            <v>16.14</v>
          </cell>
        </row>
        <row r="2245">
          <cell r="F2245" t="str">
            <v>CUSTO UNITÁRIO DIRETO TOTAL</v>
          </cell>
          <cell r="J2245">
            <v>20.350000000000001</v>
          </cell>
        </row>
        <row r="2246">
          <cell r="F2246" t="str">
            <v xml:space="preserve">BONIFICAÇÃO </v>
          </cell>
          <cell r="H2246">
            <v>0</v>
          </cell>
          <cell r="J2246">
            <v>0</v>
          </cell>
        </row>
        <row r="2247">
          <cell r="F2247" t="str">
            <v>PREÇO UNITÁRIO  TOTAL</v>
          </cell>
          <cell r="J2247">
            <v>20.350000000000001</v>
          </cell>
        </row>
        <row r="2251">
          <cell r="A2251" t="str">
            <v>1 A 01 512 60</v>
          </cell>
          <cell r="C2251" t="str">
            <v>SERVIÇO:</v>
          </cell>
          <cell r="D2251" t="str">
            <v>Concreto ciclópico fck=15 MPa AC/BC/PC</v>
          </cell>
          <cell r="F2251" t="str">
            <v>PRODUÇÃO DA EQUIPE - (C):</v>
          </cell>
          <cell r="J2251">
            <v>3.5</v>
          </cell>
          <cell r="K2251" t="str">
            <v>m³</v>
          </cell>
          <cell r="M2251" t="e">
            <v>#N/A</v>
          </cell>
        </row>
        <row r="2252">
          <cell r="F2252" t="str">
            <v>UNITÁRIO</v>
          </cell>
          <cell r="H2252" t="str">
            <v>C. OPERACIONAL</v>
          </cell>
        </row>
        <row r="2253">
          <cell r="C2253" t="str">
            <v>ÍTEM</v>
          </cell>
          <cell r="D2253" t="str">
            <v>E Q U I P A M E N T O</v>
          </cell>
          <cell r="E2253" t="str">
            <v>QUANT.</v>
          </cell>
          <cell r="F2253" t="str">
            <v>PROD</v>
          </cell>
          <cell r="G2253" t="str">
            <v>IMPROD</v>
          </cell>
          <cell r="H2253" t="str">
            <v>PROD</v>
          </cell>
          <cell r="I2253" t="str">
            <v>IMPROD</v>
          </cell>
          <cell r="J2253" t="str">
            <v>CUSTO HORÁRIO</v>
          </cell>
        </row>
        <row r="2254">
          <cell r="C2254" t="str">
            <v>E307</v>
          </cell>
          <cell r="D2254" t="str">
            <v>(*) Fábric. Pré-Moldado Concreto : Servimaq :  -  tubos   D=0,2 m   M / F</v>
          </cell>
          <cell r="E2254">
            <v>1</v>
          </cell>
          <cell r="F2254">
            <v>0.4</v>
          </cell>
          <cell r="G2254">
            <v>0.6</v>
          </cell>
          <cell r="H2254">
            <v>4.8</v>
          </cell>
          <cell r="I2254">
            <v>0</v>
          </cell>
          <cell r="J2254">
            <v>1.92</v>
          </cell>
        </row>
        <row r="2255">
          <cell r="D2255" t="str">
            <v/>
          </cell>
          <cell r="G2255" t="str">
            <v/>
          </cell>
          <cell r="H2255" t="str">
            <v/>
          </cell>
          <cell r="I2255" t="str">
            <v/>
          </cell>
          <cell r="J2255" t="str">
            <v/>
          </cell>
        </row>
        <row r="2256">
          <cell r="D2256" t="str">
            <v/>
          </cell>
          <cell r="G2256" t="str">
            <v/>
          </cell>
          <cell r="H2256" t="str">
            <v/>
          </cell>
          <cell r="I2256" t="str">
            <v/>
          </cell>
          <cell r="J2256" t="str">
            <v/>
          </cell>
        </row>
        <row r="2257">
          <cell r="D2257" t="str">
            <v/>
          </cell>
          <cell r="G2257" t="str">
            <v/>
          </cell>
          <cell r="H2257" t="str">
            <v/>
          </cell>
          <cell r="I2257" t="str">
            <v/>
          </cell>
          <cell r="J2257" t="str">
            <v/>
          </cell>
        </row>
        <row r="2258">
          <cell r="D2258" t="str">
            <v/>
          </cell>
          <cell r="G2258" t="str">
            <v/>
          </cell>
          <cell r="H2258" t="str">
            <v/>
          </cell>
          <cell r="I2258" t="str">
            <v/>
          </cell>
          <cell r="J2258" t="str">
            <v/>
          </cell>
        </row>
        <row r="2259">
          <cell r="D2259" t="str">
            <v/>
          </cell>
          <cell r="G2259" t="str">
            <v/>
          </cell>
          <cell r="H2259" t="str">
            <v/>
          </cell>
          <cell r="I2259" t="str">
            <v/>
          </cell>
          <cell r="J2259" t="str">
            <v/>
          </cell>
        </row>
        <row r="2260">
          <cell r="D2260" t="str">
            <v/>
          </cell>
          <cell r="G2260" t="str">
            <v/>
          </cell>
          <cell r="H2260" t="str">
            <v/>
          </cell>
          <cell r="I2260" t="str">
            <v/>
          </cell>
          <cell r="J2260" t="str">
            <v/>
          </cell>
        </row>
        <row r="2261">
          <cell r="F2261" t="str">
            <v>CUSTO HORÁRIO DO EQUIPAMENTO - (A)</v>
          </cell>
          <cell r="J2261">
            <v>1.92</v>
          </cell>
        </row>
        <row r="2262">
          <cell r="C2262" t="str">
            <v>ÍTEM</v>
          </cell>
          <cell r="D2262" t="str">
            <v>M Ã O    D E   O B R A</v>
          </cell>
          <cell r="E2262" t="str">
            <v>QUANT.</v>
          </cell>
          <cell r="F2262" t="str">
            <v>SALÁRIO HORA</v>
          </cell>
          <cell r="J2262" t="str">
            <v>CUSTO HORÁRIO</v>
          </cell>
        </row>
        <row r="2263">
          <cell r="C2263" t="str">
            <v>T604</v>
          </cell>
          <cell r="D2263" t="str">
            <v>Pedreiro</v>
          </cell>
          <cell r="E2263">
            <v>0.3</v>
          </cell>
          <cell r="F2263">
            <v>9.44</v>
          </cell>
          <cell r="G2263" t="e">
            <v>#N/A</v>
          </cell>
          <cell r="H2263" t="e">
            <v>#N/A</v>
          </cell>
          <cell r="I2263" t="e">
            <v>#N/A</v>
          </cell>
          <cell r="J2263">
            <v>2.83</v>
          </cell>
        </row>
        <row r="2264">
          <cell r="C2264" t="str">
            <v>T701</v>
          </cell>
          <cell r="D2264" t="str">
            <v>Servente</v>
          </cell>
          <cell r="E2264">
            <v>4</v>
          </cell>
          <cell r="F2264">
            <v>6.99</v>
          </cell>
          <cell r="G2264" t="e">
            <v>#N/A</v>
          </cell>
          <cell r="H2264" t="e">
            <v>#N/A</v>
          </cell>
          <cell r="I2264" t="e">
            <v>#N/A</v>
          </cell>
          <cell r="J2264">
            <v>27.96</v>
          </cell>
        </row>
        <row r="2265">
          <cell r="D2265" t="str">
            <v/>
          </cell>
          <cell r="F2265" t="str">
            <v/>
          </cell>
          <cell r="G2265" t="str">
            <v/>
          </cell>
          <cell r="H2265" t="str">
            <v/>
          </cell>
          <cell r="I2265" t="str">
            <v/>
          </cell>
          <cell r="J2265" t="str">
            <v/>
          </cell>
        </row>
        <row r="2266">
          <cell r="D2266" t="str">
            <v/>
          </cell>
          <cell r="F2266" t="str">
            <v/>
          </cell>
          <cell r="G2266" t="str">
            <v/>
          </cell>
          <cell r="H2266" t="str">
            <v/>
          </cell>
          <cell r="I2266" t="str">
            <v/>
          </cell>
          <cell r="J2266" t="str">
            <v/>
          </cell>
        </row>
        <row r="2267">
          <cell r="D2267" t="str">
            <v/>
          </cell>
          <cell r="F2267" t="str">
            <v/>
          </cell>
          <cell r="G2267" t="str">
            <v/>
          </cell>
          <cell r="H2267" t="str">
            <v/>
          </cell>
          <cell r="I2267" t="str">
            <v/>
          </cell>
          <cell r="J2267" t="str">
            <v/>
          </cell>
        </row>
        <row r="2268">
          <cell r="F2268" t="str">
            <v>CUSTO HORÁRIO DE MÃO DE OBRA - (B)</v>
          </cell>
          <cell r="J2268">
            <v>30.79</v>
          </cell>
        </row>
        <row r="2269">
          <cell r="F2269" t="str">
            <v>FERRAMENTAS</v>
          </cell>
          <cell r="H2269">
            <v>0.2051</v>
          </cell>
          <cell r="J2269">
            <v>6.31</v>
          </cell>
        </row>
        <row r="2270">
          <cell r="F2270" t="str">
            <v>CUSTO HORÁRIO TOTAL - (A + B)</v>
          </cell>
          <cell r="J2270">
            <v>39.020000000000003</v>
          </cell>
        </row>
        <row r="2271">
          <cell r="F2271" t="str">
            <v>CUSTO UNITÁRIO DE EXECUÇÃO - (D)</v>
          </cell>
          <cell r="J2271">
            <v>11.14</v>
          </cell>
        </row>
        <row r="2272">
          <cell r="C2272" t="str">
            <v>ÍTEM</v>
          </cell>
          <cell r="D2272" t="str">
            <v>M A T E R I A L</v>
          </cell>
          <cell r="E2272" t="str">
            <v>UNID</v>
          </cell>
          <cell r="F2272" t="str">
            <v>CONSUMO</v>
          </cell>
          <cell r="H2272" t="str">
            <v xml:space="preserve"> PREÇO UNITÁRIO</v>
          </cell>
          <cell r="J2272" t="str">
            <v>CUSTO UNITÁRIO</v>
          </cell>
        </row>
        <row r="2273">
          <cell r="D2273" t="str">
            <v/>
          </cell>
          <cell r="E2273" t="str">
            <v/>
          </cell>
          <cell r="J2273">
            <v>0</v>
          </cell>
        </row>
        <row r="2274">
          <cell r="D2274" t="str">
            <v/>
          </cell>
          <cell r="J2274">
            <v>0</v>
          </cell>
        </row>
        <row r="2275">
          <cell r="D2275" t="str">
            <v/>
          </cell>
          <cell r="E2275" t="str">
            <v/>
          </cell>
          <cell r="J2275">
            <v>0</v>
          </cell>
        </row>
        <row r="2276">
          <cell r="D2276" t="str">
            <v/>
          </cell>
          <cell r="E2276" t="str">
            <v/>
          </cell>
          <cell r="J2276">
            <v>0</v>
          </cell>
        </row>
        <row r="2277">
          <cell r="D2277" t="str">
            <v/>
          </cell>
          <cell r="E2277" t="str">
            <v/>
          </cell>
          <cell r="J2277">
            <v>0</v>
          </cell>
        </row>
        <row r="2278">
          <cell r="F2278" t="str">
            <v>CUSTO TOTAL DE MATERIAL - (E)</v>
          </cell>
          <cell r="J2278">
            <v>0</v>
          </cell>
        </row>
        <row r="2279">
          <cell r="C2279" t="str">
            <v>CODIGO</v>
          </cell>
          <cell r="D2279" t="str">
            <v>ATIVIDADES AUXILIARES</v>
          </cell>
          <cell r="E2279" t="str">
            <v>UND</v>
          </cell>
          <cell r="F2279" t="str">
            <v>QUANTIDADE</v>
          </cell>
          <cell r="H2279" t="str">
            <v>CUSTO UNITÁRIO</v>
          </cell>
          <cell r="J2279" t="str">
            <v>CUSTO UNITÁRIO</v>
          </cell>
        </row>
        <row r="2280">
          <cell r="C2280" t="str">
            <v>1 A 01 155 51</v>
          </cell>
          <cell r="D2280" t="str">
            <v>Rachão e pedra-de-mão produzidos - (construção e restauração).</v>
          </cell>
          <cell r="E2280" t="str">
            <v>m³</v>
          </cell>
          <cell r="F2280">
            <v>0.34499999999999997</v>
          </cell>
          <cell r="H2280">
            <v>65</v>
          </cell>
          <cell r="J2280">
            <v>22.42</v>
          </cell>
          <cell r="M2280">
            <v>3.0200000000000001E-2</v>
          </cell>
        </row>
        <row r="2281">
          <cell r="C2281" t="str">
            <v>1 A 01 412 51</v>
          </cell>
          <cell r="D2281" t="str">
            <v>Concreto fck=12 MPa controle razoável uso geral confecção e lançamento AC/BC</v>
          </cell>
          <cell r="E2281" t="str">
            <v>m³</v>
          </cell>
          <cell r="F2281">
            <v>0.7</v>
          </cell>
          <cell r="H2281" t="e">
            <v>#N/A</v>
          </cell>
          <cell r="J2281" t="e">
            <v>#N/A</v>
          </cell>
        </row>
        <row r="2282">
          <cell r="D2282" t="str">
            <v/>
          </cell>
          <cell r="E2282" t="str">
            <v/>
          </cell>
          <cell r="F2282" t="str">
            <v>0,70,7</v>
          </cell>
          <cell r="H2282" t="str">
            <v/>
          </cell>
          <cell r="J2282" t="str">
            <v/>
          </cell>
        </row>
        <row r="2283">
          <cell r="D2283" t="str">
            <v/>
          </cell>
          <cell r="E2283" t="str">
            <v/>
          </cell>
          <cell r="H2283" t="str">
            <v/>
          </cell>
          <cell r="J2283" t="str">
            <v/>
          </cell>
        </row>
        <row r="2284">
          <cell r="D2284" t="str">
            <v/>
          </cell>
          <cell r="H2284" t="str">
            <v/>
          </cell>
          <cell r="J2284" t="str">
            <v/>
          </cell>
        </row>
        <row r="2285">
          <cell r="C2285" t="str">
            <v>OBSERVAÇÕES:</v>
          </cell>
          <cell r="F2285" t="str">
            <v>CUSTO ATIVIDADES AUXILIARES - (F)</v>
          </cell>
          <cell r="J2285" t="e">
            <v>#N/A</v>
          </cell>
        </row>
        <row r="2286">
          <cell r="F2286" t="str">
            <v>CUSTO UNITÁRIO DIRETO TOTAL</v>
          </cell>
          <cell r="J2286" t="e">
            <v>#N/A</v>
          </cell>
        </row>
        <row r="2287">
          <cell r="F2287" t="str">
            <v xml:space="preserve">BONIFICAÇÃO </v>
          </cell>
          <cell r="H2287">
            <v>0</v>
          </cell>
          <cell r="J2287" t="e">
            <v>#N/A</v>
          </cell>
        </row>
        <row r="2288">
          <cell r="F2288" t="str">
            <v>PREÇO UNITÁRIO  TOTAL</v>
          </cell>
          <cell r="J2288" t="e">
            <v>#N/A</v>
          </cell>
        </row>
        <row r="2289">
          <cell r="C2289" t="str">
            <v>E312</v>
          </cell>
          <cell r="D2289" t="str">
            <v>Fábric. Pré-Moldado Concreto : Servimaq : - tubos D=1,0 m M / F</v>
          </cell>
          <cell r="E2289">
            <v>1</v>
          </cell>
          <cell r="F2289">
            <v>0.4</v>
          </cell>
          <cell r="G2289">
            <v>0.6</v>
          </cell>
          <cell r="H2289">
            <v>7.85</v>
          </cell>
          <cell r="I2289">
            <v>0</v>
          </cell>
          <cell r="J2289">
            <v>3.14</v>
          </cell>
        </row>
        <row r="2290">
          <cell r="D2290" t="str">
            <v/>
          </cell>
          <cell r="G2290" t="str">
            <v/>
          </cell>
          <cell r="H2290" t="str">
            <v/>
          </cell>
          <cell r="I2290" t="str">
            <v/>
          </cell>
          <cell r="J2290" t="str">
            <v/>
          </cell>
        </row>
        <row r="2291">
          <cell r="D2291" t="str">
            <v/>
          </cell>
          <cell r="G2291" t="str">
            <v/>
          </cell>
          <cell r="H2291" t="str">
            <v/>
          </cell>
          <cell r="I2291" t="str">
            <v/>
          </cell>
          <cell r="J2291" t="str">
            <v/>
          </cell>
        </row>
        <row r="2292">
          <cell r="D2292" t="str">
            <v/>
          </cell>
          <cell r="G2292" t="str">
            <v/>
          </cell>
          <cell r="H2292" t="str">
            <v/>
          </cell>
          <cell r="I2292" t="str">
            <v/>
          </cell>
          <cell r="J2292" t="str">
            <v/>
          </cell>
        </row>
        <row r="2293">
          <cell r="D2293" t="str">
            <v/>
          </cell>
          <cell r="G2293" t="str">
            <v/>
          </cell>
          <cell r="H2293" t="str">
            <v/>
          </cell>
          <cell r="I2293" t="str">
            <v/>
          </cell>
          <cell r="J2293" t="str">
            <v/>
          </cell>
        </row>
        <row r="2294">
          <cell r="F2294" t="str">
            <v>CUSTO HORÁRIO DO EQUIPAMENTO - (A)</v>
          </cell>
          <cell r="J2294">
            <v>3.14</v>
          </cell>
        </row>
        <row r="2295">
          <cell r="C2295" t="str">
            <v>ÍTEM</v>
          </cell>
          <cell r="D2295" t="str">
            <v>M Ã O    D E   O B R A</v>
          </cell>
          <cell r="E2295" t="str">
            <v>QUANT.</v>
          </cell>
          <cell r="F2295" t="str">
            <v>SALÁRIO HORA</v>
          </cell>
          <cell r="J2295" t="str">
            <v>CUSTO HORÁRIO</v>
          </cell>
        </row>
        <row r="2296">
          <cell r="C2296" t="str">
            <v>T501</v>
          </cell>
          <cell r="D2296" t="str">
            <v>Encarregado de turma</v>
          </cell>
          <cell r="E2296">
            <v>0.25</v>
          </cell>
          <cell r="F2296">
            <v>21.11</v>
          </cell>
          <cell r="G2296" t="e">
            <v>#N/A</v>
          </cell>
          <cell r="H2296" t="e">
            <v>#N/A</v>
          </cell>
          <cell r="I2296" t="e">
            <v>#N/A</v>
          </cell>
          <cell r="J2296">
            <v>5.27</v>
          </cell>
        </row>
        <row r="2297">
          <cell r="C2297" t="str">
            <v>T701</v>
          </cell>
          <cell r="D2297" t="str">
            <v>Servente</v>
          </cell>
          <cell r="E2297">
            <v>1.5</v>
          </cell>
          <cell r="F2297">
            <v>6.99</v>
          </cell>
          <cell r="G2297" t="e">
            <v>#N/A</v>
          </cell>
          <cell r="H2297" t="e">
            <v>#N/A</v>
          </cell>
          <cell r="I2297" t="e">
            <v>#N/A</v>
          </cell>
          <cell r="J2297">
            <v>10.48</v>
          </cell>
        </row>
        <row r="2298">
          <cell r="D2298" t="str">
            <v/>
          </cell>
          <cell r="F2298" t="str">
            <v/>
          </cell>
          <cell r="G2298" t="str">
            <v/>
          </cell>
          <cell r="H2298" t="str">
            <v/>
          </cell>
          <cell r="I2298" t="str">
            <v/>
          </cell>
          <cell r="J2298" t="str">
            <v/>
          </cell>
        </row>
        <row r="2299">
          <cell r="D2299" t="str">
            <v/>
          </cell>
          <cell r="F2299" t="str">
            <v/>
          </cell>
          <cell r="G2299" t="str">
            <v/>
          </cell>
          <cell r="H2299" t="str">
            <v/>
          </cell>
          <cell r="I2299" t="str">
            <v/>
          </cell>
          <cell r="J2299" t="str">
            <v/>
          </cell>
        </row>
        <row r="2300">
          <cell r="D2300" t="str">
            <v/>
          </cell>
          <cell r="F2300" t="str">
            <v/>
          </cell>
          <cell r="G2300" t="str">
            <v/>
          </cell>
          <cell r="H2300" t="str">
            <v/>
          </cell>
          <cell r="I2300" t="str">
            <v/>
          </cell>
          <cell r="J2300" t="str">
            <v/>
          </cell>
        </row>
        <row r="2301">
          <cell r="F2301" t="str">
            <v>CUSTO HORÁRIO DE MÃO DE OBRA - (B)</v>
          </cell>
          <cell r="J2301">
            <v>15.75</v>
          </cell>
        </row>
        <row r="2302">
          <cell r="F2302" t="str">
            <v>FERRAMENTAS</v>
          </cell>
          <cell r="H2302">
            <v>0.05</v>
          </cell>
          <cell r="J2302">
            <v>0.78</v>
          </cell>
        </row>
        <row r="2303">
          <cell r="F2303" t="str">
            <v>CUSTO HORÁRIO TOTAL - (A + B)</v>
          </cell>
          <cell r="J2303">
            <v>19.670000000000002</v>
          </cell>
        </row>
        <row r="2304">
          <cell r="F2304" t="str">
            <v>CUSTO UNITÁRIO DE EXECUÇÃO - (D)</v>
          </cell>
          <cell r="J2304" t="e">
            <v>#N/A</v>
          </cell>
        </row>
        <row r="2305">
          <cell r="C2305" t="str">
            <v>ÍTEM</v>
          </cell>
          <cell r="D2305" t="str">
            <v>M A T E R I A L</v>
          </cell>
          <cell r="E2305" t="str">
            <v>UNID</v>
          </cell>
          <cell r="F2305" t="str">
            <v>CONSUMO</v>
          </cell>
          <cell r="H2305" t="str">
            <v xml:space="preserve"> PREÇO UNITÁRIO</v>
          </cell>
          <cell r="J2305" t="str">
            <v>CUSTO UNITÁRIO</v>
          </cell>
        </row>
        <row r="2306">
          <cell r="D2306" t="str">
            <v/>
          </cell>
          <cell r="E2306" t="str">
            <v/>
          </cell>
          <cell r="H2306" t="str">
            <v/>
          </cell>
          <cell r="I2306" t="str">
            <v/>
          </cell>
          <cell r="J2306" t="str">
            <v/>
          </cell>
        </row>
        <row r="2307">
          <cell r="D2307" t="str">
            <v/>
          </cell>
          <cell r="E2307" t="str">
            <v/>
          </cell>
          <cell r="H2307" t="str">
            <v/>
          </cell>
          <cell r="I2307" t="str">
            <v/>
          </cell>
          <cell r="J2307" t="str">
            <v/>
          </cell>
        </row>
        <row r="2308">
          <cell r="D2308" t="str">
            <v/>
          </cell>
          <cell r="E2308" t="str">
            <v/>
          </cell>
          <cell r="H2308" t="str">
            <v/>
          </cell>
          <cell r="I2308" t="str">
            <v/>
          </cell>
          <cell r="J2308" t="str">
            <v/>
          </cell>
        </row>
        <row r="2309">
          <cell r="D2309" t="str">
            <v/>
          </cell>
          <cell r="E2309" t="str">
            <v/>
          </cell>
          <cell r="H2309" t="str">
            <v/>
          </cell>
          <cell r="I2309" t="str">
            <v/>
          </cell>
          <cell r="J2309" t="str">
            <v/>
          </cell>
        </row>
        <row r="2310">
          <cell r="D2310" t="str">
            <v/>
          </cell>
          <cell r="E2310" t="str">
            <v/>
          </cell>
          <cell r="H2310" t="str">
            <v/>
          </cell>
          <cell r="I2310" t="str">
            <v/>
          </cell>
          <cell r="J2310" t="str">
            <v/>
          </cell>
        </row>
        <row r="2311">
          <cell r="F2311" t="str">
            <v>CUSTO TOTAL DE MATERIAL - (E)</v>
          </cell>
          <cell r="J2311">
            <v>0</v>
          </cell>
        </row>
        <row r="2312">
          <cell r="C2312" t="str">
            <v>CODIGO</v>
          </cell>
          <cell r="D2312" t="str">
            <v>ATIVIDADES AUXILIARES</v>
          </cell>
          <cell r="E2312" t="str">
            <v>UND</v>
          </cell>
          <cell r="F2312" t="str">
            <v>QUANTIDADE</v>
          </cell>
          <cell r="H2312" t="str">
            <v>CUSTO UNITÁRIO</v>
          </cell>
          <cell r="J2312" t="str">
            <v>CUSTO UNITÁRIO</v>
          </cell>
        </row>
        <row r="2313">
          <cell r="C2313" t="str">
            <v>1 A 01 580 01</v>
          </cell>
          <cell r="D2313" t="str">
            <v>Fornecimento, preparo e colocação formas aço CA 60</v>
          </cell>
          <cell r="E2313" t="str">
            <v>kg</v>
          </cell>
          <cell r="F2313">
            <v>31</v>
          </cell>
          <cell r="H2313">
            <v>5.55</v>
          </cell>
          <cell r="J2313">
            <v>172.05</v>
          </cell>
        </row>
        <row r="2314">
          <cell r="C2314" t="str">
            <v>1 A 01 423 50</v>
          </cell>
          <cell r="D2314" t="str">
            <v>Concreto fck=18MPa para pré-moldados (Tubos) AC/BC/TC</v>
          </cell>
          <cell r="E2314" t="str">
            <v>m³</v>
          </cell>
          <cell r="F2314">
            <v>0.42220000000000002</v>
          </cell>
          <cell r="H2314" t="e">
            <v>#N/A</v>
          </cell>
          <cell r="J2314" t="e">
            <v>#N/A</v>
          </cell>
        </row>
        <row r="2315">
          <cell r="D2315" t="str">
            <v/>
          </cell>
          <cell r="E2315" t="str">
            <v/>
          </cell>
          <cell r="H2315" t="str">
            <v/>
          </cell>
          <cell r="J2315" t="str">
            <v/>
          </cell>
        </row>
        <row r="2316">
          <cell r="D2316" t="str">
            <v/>
          </cell>
          <cell r="E2316" t="str">
            <v/>
          </cell>
          <cell r="H2316" t="str">
            <v/>
          </cell>
          <cell r="J2316" t="str">
            <v/>
          </cell>
        </row>
        <row r="2317">
          <cell r="D2317" t="str">
            <v/>
          </cell>
          <cell r="H2317" t="str">
            <v/>
          </cell>
          <cell r="J2317" t="str">
            <v/>
          </cell>
        </row>
        <row r="2318">
          <cell r="C2318" t="str">
            <v>OBSERVAÇÕES:</v>
          </cell>
          <cell r="F2318" t="str">
            <v>CUSTO ATIVIDADES AUXILIARES - (F)</v>
          </cell>
          <cell r="J2318" t="e">
            <v>#N/A</v>
          </cell>
        </row>
        <row r="2319">
          <cell r="F2319" t="str">
            <v>CUSTO UNITÁRIO DIRETO TOTAL</v>
          </cell>
          <cell r="J2319" t="e">
            <v>#N/A</v>
          </cell>
        </row>
        <row r="2320">
          <cell r="F2320" t="str">
            <v xml:space="preserve">BONIFICAÇÃO </v>
          </cell>
          <cell r="H2320">
            <v>0</v>
          </cell>
          <cell r="J2320" t="e">
            <v>#N/A</v>
          </cell>
        </row>
        <row r="2321">
          <cell r="F2321" t="str">
            <v>PREÇO UNITÁRIO  TOTAL</v>
          </cell>
          <cell r="J2321" t="e">
            <v>#N/A</v>
          </cell>
        </row>
        <row r="2325">
          <cell r="A2325" t="str">
            <v>1 A 01 780 01</v>
          </cell>
          <cell r="C2325" t="str">
            <v>SERVIÇO:</v>
          </cell>
          <cell r="D2325" t="str">
            <v>Obtenção de grama para replantio</v>
          </cell>
          <cell r="F2325" t="str">
            <v>PRODUÇÃO DA EQUIPE - (C):</v>
          </cell>
          <cell r="J2325">
            <v>126</v>
          </cell>
          <cell r="K2325" t="str">
            <v>M²</v>
          </cell>
          <cell r="M2325">
            <v>1.38</v>
          </cell>
        </row>
        <row r="2326">
          <cell r="F2326" t="str">
            <v>UNITÁRIO</v>
          </cell>
          <cell r="H2326" t="str">
            <v>C. OPERACIONAL</v>
          </cell>
        </row>
        <row r="2327">
          <cell r="C2327" t="str">
            <v>ÍTEM</v>
          </cell>
          <cell r="D2327" t="str">
            <v>E Q U I P A M E N T O</v>
          </cell>
          <cell r="E2327" t="str">
            <v>QUANT.</v>
          </cell>
          <cell r="F2327" t="str">
            <v>PROD</v>
          </cell>
          <cell r="G2327" t="str">
            <v>IMPROD</v>
          </cell>
          <cell r="H2327" t="str">
            <v>PROD</v>
          </cell>
          <cell r="I2327" t="str">
            <v>IMPROD</v>
          </cell>
          <cell r="J2327" t="str">
            <v>CUSTO HORÁRIO</v>
          </cell>
        </row>
        <row r="2328">
          <cell r="C2328" t="str">
            <v>E007</v>
          </cell>
          <cell r="D2328" t="str">
            <v>Trator Agrícola : Massey Ferguson : MF 292/4 -</v>
          </cell>
          <cell r="E2328">
            <v>1</v>
          </cell>
          <cell r="F2328">
            <v>1</v>
          </cell>
          <cell r="G2328">
            <v>0</v>
          </cell>
          <cell r="H2328">
            <v>64.25</v>
          </cell>
          <cell r="I2328">
            <v>17.27</v>
          </cell>
          <cell r="J2328">
            <v>64.25</v>
          </cell>
        </row>
        <row r="2329">
          <cell r="D2329" t="str">
            <v/>
          </cell>
          <cell r="G2329" t="str">
            <v/>
          </cell>
          <cell r="H2329" t="str">
            <v/>
          </cell>
          <cell r="I2329" t="str">
            <v/>
          </cell>
          <cell r="J2329" t="str">
            <v/>
          </cell>
        </row>
        <row r="2330">
          <cell r="D2330" t="str">
            <v/>
          </cell>
          <cell r="G2330" t="str">
            <v/>
          </cell>
          <cell r="H2330" t="str">
            <v/>
          </cell>
          <cell r="I2330" t="str">
            <v/>
          </cell>
          <cell r="J2330" t="str">
            <v/>
          </cell>
        </row>
        <row r="2331">
          <cell r="D2331" t="str">
            <v/>
          </cell>
          <cell r="G2331" t="str">
            <v/>
          </cell>
          <cell r="H2331" t="str">
            <v/>
          </cell>
          <cell r="I2331" t="str">
            <v/>
          </cell>
          <cell r="J2331" t="str">
            <v/>
          </cell>
        </row>
        <row r="2332">
          <cell r="D2332" t="str">
            <v/>
          </cell>
          <cell r="G2332" t="str">
            <v/>
          </cell>
          <cell r="H2332" t="str">
            <v/>
          </cell>
          <cell r="I2332" t="str">
            <v/>
          </cell>
          <cell r="J2332" t="str">
            <v/>
          </cell>
        </row>
        <row r="2333">
          <cell r="D2333" t="str">
            <v/>
          </cell>
          <cell r="G2333" t="str">
            <v/>
          </cell>
          <cell r="H2333" t="str">
            <v/>
          </cell>
          <cell r="I2333" t="str">
            <v/>
          </cell>
          <cell r="J2333" t="str">
            <v/>
          </cell>
        </row>
        <row r="2334">
          <cell r="D2334" t="str">
            <v/>
          </cell>
          <cell r="G2334" t="str">
            <v/>
          </cell>
          <cell r="H2334" t="str">
            <v/>
          </cell>
          <cell r="I2334" t="str">
            <v/>
          </cell>
          <cell r="J2334" t="str">
            <v/>
          </cell>
        </row>
        <row r="2335">
          <cell r="F2335" t="str">
            <v>CUSTO HORÁRIO DO EQUIPAMENTO - (A)</v>
          </cell>
          <cell r="J2335">
            <v>64.25</v>
          </cell>
        </row>
        <row r="2336">
          <cell r="C2336" t="str">
            <v>ÍTEM</v>
          </cell>
          <cell r="D2336" t="str">
            <v>M Ã O    D E   O B R A</v>
          </cell>
          <cell r="E2336" t="str">
            <v>QUANT.</v>
          </cell>
          <cell r="F2336" t="str">
            <v>SALÁRIO HORA</v>
          </cell>
          <cell r="J2336" t="str">
            <v>CUSTO HORÁRIO</v>
          </cell>
        </row>
        <row r="2337">
          <cell r="C2337" t="str">
            <v>T501</v>
          </cell>
          <cell r="D2337" t="str">
            <v>Encarregado de turma</v>
          </cell>
          <cell r="E2337">
            <v>1</v>
          </cell>
          <cell r="F2337">
            <v>21.11</v>
          </cell>
          <cell r="G2337" t="e">
            <v>#N/A</v>
          </cell>
          <cell r="H2337" t="e">
            <v>#N/A</v>
          </cell>
          <cell r="I2337" t="e">
            <v>#N/A</v>
          </cell>
          <cell r="J2337">
            <v>21.11</v>
          </cell>
        </row>
        <row r="2338">
          <cell r="C2338" t="str">
            <v>T701</v>
          </cell>
          <cell r="D2338" t="str">
            <v>Servente</v>
          </cell>
          <cell r="E2338">
            <v>10</v>
          </cell>
          <cell r="F2338">
            <v>6.99</v>
          </cell>
          <cell r="G2338" t="e">
            <v>#N/A</v>
          </cell>
          <cell r="H2338" t="e">
            <v>#N/A</v>
          </cell>
          <cell r="I2338" t="e">
            <v>#N/A</v>
          </cell>
          <cell r="J2338">
            <v>69.900000000000006</v>
          </cell>
        </row>
        <row r="2339">
          <cell r="D2339" t="str">
            <v/>
          </cell>
          <cell r="F2339" t="str">
            <v/>
          </cell>
          <cell r="G2339" t="str">
            <v/>
          </cell>
          <cell r="H2339" t="str">
            <v/>
          </cell>
          <cell r="I2339" t="str">
            <v/>
          </cell>
          <cell r="J2339" t="str">
            <v/>
          </cell>
        </row>
        <row r="2340">
          <cell r="D2340" t="str">
            <v/>
          </cell>
          <cell r="F2340" t="str">
            <v/>
          </cell>
          <cell r="G2340" t="str">
            <v/>
          </cell>
          <cell r="H2340" t="str">
            <v/>
          </cell>
          <cell r="I2340" t="str">
            <v/>
          </cell>
          <cell r="J2340" t="str">
            <v/>
          </cell>
        </row>
        <row r="2341">
          <cell r="D2341" t="str">
            <v/>
          </cell>
          <cell r="F2341" t="str">
            <v/>
          </cell>
          <cell r="G2341" t="str">
            <v/>
          </cell>
          <cell r="H2341" t="str">
            <v/>
          </cell>
          <cell r="I2341" t="str">
            <v/>
          </cell>
          <cell r="J2341" t="str">
            <v/>
          </cell>
        </row>
        <row r="2342">
          <cell r="F2342" t="str">
            <v>CUSTO HORÁRIO DE MÃO DE OBRA - (B)</v>
          </cell>
          <cell r="J2342">
            <v>91.01</v>
          </cell>
        </row>
        <row r="2343">
          <cell r="F2343" t="str">
            <v>FERRAMENTAS</v>
          </cell>
          <cell r="H2343">
            <v>0.2051</v>
          </cell>
          <cell r="J2343">
            <v>18.66</v>
          </cell>
        </row>
        <row r="2344">
          <cell r="F2344" t="str">
            <v>CUSTO HORÁRIO TOTAL - (A + B)</v>
          </cell>
          <cell r="J2344">
            <v>173.92</v>
          </cell>
        </row>
        <row r="2345">
          <cell r="F2345" t="str">
            <v>CUSTO UNITÁRIO DE EXECUÇÃO - (D)</v>
          </cell>
          <cell r="J2345">
            <v>1.38</v>
          </cell>
        </row>
        <row r="2346">
          <cell r="C2346" t="str">
            <v>ÍTEM</v>
          </cell>
          <cell r="D2346" t="str">
            <v>M A T E R I A L</v>
          </cell>
          <cell r="E2346" t="str">
            <v>UNID</v>
          </cell>
          <cell r="F2346" t="str">
            <v>CONSUMO</v>
          </cell>
          <cell r="H2346" t="str">
            <v xml:space="preserve"> PREÇO UNITÁRIO</v>
          </cell>
          <cell r="J2346" t="str">
            <v>CUSTO UNITÁRIO</v>
          </cell>
        </row>
        <row r="2347">
          <cell r="D2347" t="str">
            <v/>
          </cell>
          <cell r="E2347" t="str">
            <v/>
          </cell>
          <cell r="H2347" t="str">
            <v/>
          </cell>
          <cell r="I2347" t="str">
            <v/>
          </cell>
        </row>
        <row r="2348">
          <cell r="D2348" t="str">
            <v/>
          </cell>
          <cell r="E2348" t="str">
            <v/>
          </cell>
          <cell r="J2348">
            <v>0</v>
          </cell>
        </row>
        <row r="2349">
          <cell r="D2349" t="str">
            <v/>
          </cell>
          <cell r="E2349" t="str">
            <v/>
          </cell>
          <cell r="J2349">
            <v>0</v>
          </cell>
        </row>
        <row r="2350">
          <cell r="D2350" t="str">
            <v/>
          </cell>
          <cell r="E2350" t="str">
            <v/>
          </cell>
          <cell r="J2350">
            <v>0</v>
          </cell>
        </row>
        <row r="2351">
          <cell r="D2351" t="str">
            <v/>
          </cell>
          <cell r="E2351" t="str">
            <v/>
          </cell>
          <cell r="J2351">
            <v>0</v>
          </cell>
        </row>
        <row r="2352">
          <cell r="F2352" t="str">
            <v>CUSTO TOTAL DE MATERIAL - (E)</v>
          </cell>
          <cell r="J2352">
            <v>0</v>
          </cell>
        </row>
        <row r="2353">
          <cell r="C2353" t="str">
            <v>CODIGO</v>
          </cell>
          <cell r="D2353" t="str">
            <v>ATIVIDADES AUXILIARES</v>
          </cell>
          <cell r="E2353" t="str">
            <v>UND</v>
          </cell>
          <cell r="F2353" t="str">
            <v>QUANTIDADE</v>
          </cell>
          <cell r="H2353" t="str">
            <v>CUSTO UNITÁRIO</v>
          </cell>
          <cell r="J2353" t="str">
            <v>CUSTO UNITÁRIO</v>
          </cell>
        </row>
        <row r="2354">
          <cell r="D2354" t="str">
            <v/>
          </cell>
          <cell r="E2354" t="str">
            <v/>
          </cell>
          <cell r="H2354" t="str">
            <v/>
          </cell>
          <cell r="J2354" t="str">
            <v/>
          </cell>
        </row>
        <row r="2355">
          <cell r="D2355" t="str">
            <v/>
          </cell>
          <cell r="E2355" t="str">
            <v/>
          </cell>
          <cell r="H2355" t="str">
            <v/>
          </cell>
          <cell r="J2355" t="str">
            <v/>
          </cell>
        </row>
        <row r="2356">
          <cell r="D2356" t="str">
            <v/>
          </cell>
          <cell r="E2356" t="str">
            <v/>
          </cell>
          <cell r="H2356" t="str">
            <v/>
          </cell>
          <cell r="J2356" t="str">
            <v/>
          </cell>
        </row>
        <row r="2357">
          <cell r="D2357" t="str">
            <v/>
          </cell>
          <cell r="E2357" t="str">
            <v/>
          </cell>
          <cell r="H2357" t="str">
            <v/>
          </cell>
          <cell r="J2357" t="str">
            <v/>
          </cell>
        </row>
        <row r="2358">
          <cell r="D2358" t="str">
            <v/>
          </cell>
          <cell r="H2358" t="str">
            <v/>
          </cell>
          <cell r="J2358" t="str">
            <v/>
          </cell>
        </row>
        <row r="2359">
          <cell r="C2359" t="str">
            <v>OBSERVAÇÕES:</v>
          </cell>
          <cell r="F2359" t="str">
            <v>CUSTO ATIVIDADES AUXILIARES - (F)</v>
          </cell>
          <cell r="J2359">
            <v>0</v>
          </cell>
        </row>
        <row r="2360">
          <cell r="F2360" t="str">
            <v>CUSTO UNITÁRIO DIRETO TOTAL</v>
          </cell>
          <cell r="J2360">
            <v>1.38</v>
          </cell>
        </row>
        <row r="2361">
          <cell r="F2361" t="str">
            <v xml:space="preserve">BONIFICAÇÃO </v>
          </cell>
          <cell r="H2361">
            <v>0</v>
          </cell>
          <cell r="J2361">
            <v>0</v>
          </cell>
        </row>
        <row r="2362">
          <cell r="F2362" t="str">
            <v>PREÇO UNITÁRIO  TOTAL</v>
          </cell>
          <cell r="J2362">
            <v>1.38</v>
          </cell>
        </row>
        <row r="2366">
          <cell r="A2366" t="str">
            <v>1 A 01 790 01</v>
          </cell>
          <cell r="C2366" t="str">
            <v>SERVIÇO:</v>
          </cell>
          <cell r="D2366" t="str">
            <v>Guia de madeira - 2,5 x 7,0 cm</v>
          </cell>
          <cell r="F2366" t="str">
            <v>PRODUÇÃO DA EQUIPE - (C):</v>
          </cell>
          <cell r="J2366">
            <v>100</v>
          </cell>
          <cell r="K2366" t="str">
            <v>m</v>
          </cell>
          <cell r="M2366">
            <v>5.61</v>
          </cell>
        </row>
        <row r="2367">
          <cell r="F2367" t="str">
            <v>UNITÁRIO</v>
          </cell>
          <cell r="H2367" t="str">
            <v>C. OPERACIONAL</v>
          </cell>
        </row>
        <row r="2368">
          <cell r="C2368" t="str">
            <v>ÍTEM</v>
          </cell>
          <cell r="D2368" t="str">
            <v>E Q U I P A M E N T O</v>
          </cell>
          <cell r="E2368" t="str">
            <v>QUANT.</v>
          </cell>
          <cell r="F2368" t="str">
            <v>PROD</v>
          </cell>
          <cell r="G2368" t="str">
            <v>IMPROD</v>
          </cell>
          <cell r="H2368" t="str">
            <v>PROD</v>
          </cell>
          <cell r="I2368" t="str">
            <v>IMPROD</v>
          </cell>
          <cell r="J2368" t="str">
            <v>CUSTO HORÁRIO</v>
          </cell>
        </row>
        <row r="2369">
          <cell r="C2369" t="str">
            <v>E509</v>
          </cell>
          <cell r="D2369" t="str">
            <v>Grupo Gerador : Heimer : GEHMI-40 - 32,0  KVA</v>
          </cell>
          <cell r="E2369">
            <v>1</v>
          </cell>
          <cell r="F2369">
            <v>1</v>
          </cell>
          <cell r="G2369">
            <v>0</v>
          </cell>
          <cell r="H2369">
            <v>32.17</v>
          </cell>
          <cell r="I2369">
            <v>17.27</v>
          </cell>
          <cell r="J2369">
            <v>32.17</v>
          </cell>
        </row>
        <row r="2370">
          <cell r="C2370" t="str">
            <v>E904</v>
          </cell>
          <cell r="D2370" t="str">
            <v>Máquina de Bancada - serra circular de 12" (4 kW)</v>
          </cell>
          <cell r="E2370">
            <v>1</v>
          </cell>
          <cell r="F2370">
            <v>1</v>
          </cell>
          <cell r="G2370">
            <v>0</v>
          </cell>
          <cell r="H2370">
            <v>1.97</v>
          </cell>
          <cell r="I2370">
            <v>0</v>
          </cell>
          <cell r="J2370">
            <v>1.97</v>
          </cell>
        </row>
        <row r="2371">
          <cell r="D2371" t="str">
            <v/>
          </cell>
          <cell r="G2371" t="str">
            <v/>
          </cell>
          <cell r="H2371" t="str">
            <v/>
          </cell>
          <cell r="I2371" t="str">
            <v/>
          </cell>
          <cell r="J2371" t="str">
            <v/>
          </cell>
        </row>
        <row r="2372">
          <cell r="D2372" t="str">
            <v/>
          </cell>
          <cell r="G2372" t="str">
            <v/>
          </cell>
          <cell r="H2372" t="str">
            <v/>
          </cell>
          <cell r="I2372" t="str">
            <v/>
          </cell>
          <cell r="J2372" t="str">
            <v/>
          </cell>
        </row>
        <row r="2373">
          <cell r="D2373" t="str">
            <v/>
          </cell>
          <cell r="G2373" t="str">
            <v/>
          </cell>
          <cell r="H2373" t="str">
            <v/>
          </cell>
          <cell r="I2373" t="str">
            <v/>
          </cell>
          <cell r="J2373" t="str">
            <v/>
          </cell>
        </row>
        <row r="2374">
          <cell r="D2374" t="str">
            <v/>
          </cell>
          <cell r="G2374" t="str">
            <v/>
          </cell>
          <cell r="H2374" t="str">
            <v/>
          </cell>
          <cell r="I2374" t="str">
            <v/>
          </cell>
          <cell r="J2374" t="str">
            <v/>
          </cell>
        </row>
        <row r="2375">
          <cell r="D2375" t="str">
            <v/>
          </cell>
          <cell r="G2375" t="str">
            <v/>
          </cell>
          <cell r="H2375" t="str">
            <v/>
          </cell>
          <cell r="I2375" t="str">
            <v/>
          </cell>
          <cell r="J2375" t="str">
            <v/>
          </cell>
        </row>
        <row r="2376">
          <cell r="F2376" t="str">
            <v>CUSTO HORÁRIO DO EQUIPAMENTO - (A)</v>
          </cell>
          <cell r="J2376">
            <v>34.14</v>
          </cell>
        </row>
        <row r="2377">
          <cell r="C2377" t="str">
            <v>ÍTEM</v>
          </cell>
          <cell r="D2377" t="str">
            <v>M Ã O    D E   O B R A</v>
          </cell>
          <cell r="E2377" t="str">
            <v>QUANT.</v>
          </cell>
          <cell r="F2377" t="str">
            <v>SALÁRIO HORA</v>
          </cell>
          <cell r="J2377" t="str">
            <v>CUSTO HORÁRIO</v>
          </cell>
        </row>
        <row r="2378">
          <cell r="C2378" t="str">
            <v>T603</v>
          </cell>
          <cell r="D2378" t="str">
            <v>Carpinteiro</v>
          </cell>
          <cell r="E2378">
            <v>0.5</v>
          </cell>
          <cell r="F2378">
            <v>9.44</v>
          </cell>
          <cell r="G2378" t="e">
            <v>#N/A</v>
          </cell>
          <cell r="H2378" t="e">
            <v>#N/A</v>
          </cell>
          <cell r="I2378" t="e">
            <v>#N/A</v>
          </cell>
          <cell r="J2378">
            <v>4.72</v>
          </cell>
        </row>
        <row r="2379">
          <cell r="C2379" t="str">
            <v>T701</v>
          </cell>
          <cell r="D2379" t="str">
            <v>Servente</v>
          </cell>
          <cell r="E2379">
            <v>0.5</v>
          </cell>
          <cell r="F2379">
            <v>6.99</v>
          </cell>
          <cell r="G2379" t="e">
            <v>#N/A</v>
          </cell>
          <cell r="H2379" t="e">
            <v>#N/A</v>
          </cell>
          <cell r="I2379" t="e">
            <v>#N/A</v>
          </cell>
          <cell r="J2379">
            <v>3.49</v>
          </cell>
        </row>
        <row r="2380">
          <cell r="D2380" t="str">
            <v/>
          </cell>
          <cell r="F2380" t="str">
            <v/>
          </cell>
          <cell r="G2380" t="str">
            <v/>
          </cell>
          <cell r="H2380" t="str">
            <v/>
          </cell>
          <cell r="I2380" t="str">
            <v/>
          </cell>
          <cell r="J2380" t="str">
            <v/>
          </cell>
        </row>
        <row r="2381">
          <cell r="D2381" t="str">
            <v/>
          </cell>
          <cell r="F2381" t="str">
            <v/>
          </cell>
          <cell r="G2381" t="str">
            <v/>
          </cell>
          <cell r="H2381" t="str">
            <v/>
          </cell>
          <cell r="I2381" t="str">
            <v/>
          </cell>
          <cell r="J2381" t="str">
            <v/>
          </cell>
        </row>
        <row r="2382">
          <cell r="D2382" t="str">
            <v/>
          </cell>
          <cell r="F2382" t="str">
            <v/>
          </cell>
          <cell r="G2382" t="str">
            <v/>
          </cell>
          <cell r="H2382" t="str">
            <v/>
          </cell>
          <cell r="I2382" t="str">
            <v/>
          </cell>
          <cell r="J2382" t="str">
            <v/>
          </cell>
        </row>
        <row r="2383">
          <cell r="F2383" t="str">
            <v>CUSTO HORÁRIO DE MÃO DE OBRA - (B)</v>
          </cell>
          <cell r="J2383">
            <v>8.2100000000000009</v>
          </cell>
        </row>
        <row r="2384">
          <cell r="F2384" t="str">
            <v>FERRAMENTAS</v>
          </cell>
          <cell r="H2384">
            <v>0.2051</v>
          </cell>
          <cell r="J2384">
            <v>1.68</v>
          </cell>
        </row>
        <row r="2385">
          <cell r="F2385" t="str">
            <v>CUSTO HORÁRIO TOTAL - (A + B)</v>
          </cell>
          <cell r="J2385">
            <v>44.03</v>
          </cell>
        </row>
        <row r="2386">
          <cell r="F2386" t="str">
            <v>CUSTO UNITÁRIO DE EXECUÇÃO - (D)</v>
          </cell>
          <cell r="J2386">
            <v>0.44</v>
          </cell>
        </row>
        <row r="2387">
          <cell r="C2387" t="str">
            <v>ÍTEM</v>
          </cell>
          <cell r="D2387" t="str">
            <v>M A T E R I A L</v>
          </cell>
          <cell r="E2387" t="str">
            <v>UNID</v>
          </cell>
          <cell r="F2387" t="str">
            <v>CONSUMO</v>
          </cell>
          <cell r="H2387" t="str">
            <v xml:space="preserve"> PREÇO UNITÁRIO</v>
          </cell>
          <cell r="J2387" t="str">
            <v>CUSTO UNITÁRIO</v>
          </cell>
        </row>
        <row r="2388">
          <cell r="C2388" t="str">
            <v>M407</v>
          </cell>
          <cell r="D2388" t="str">
            <v>Tábua pinho de 1ª 2,5 cm x 15,0 cm</v>
          </cell>
          <cell r="E2388" t="str">
            <v>m</v>
          </cell>
          <cell r="F2388">
            <v>1.1499999999999999</v>
          </cell>
          <cell r="H2388">
            <v>4.5</v>
          </cell>
          <cell r="I2388" t="e">
            <v>#N/A</v>
          </cell>
          <cell r="J2388">
            <v>5.17</v>
          </cell>
        </row>
        <row r="2389">
          <cell r="D2389" t="str">
            <v/>
          </cell>
          <cell r="E2389" t="str">
            <v/>
          </cell>
          <cell r="J2389">
            <v>0</v>
          </cell>
        </row>
        <row r="2390">
          <cell r="D2390" t="str">
            <v/>
          </cell>
          <cell r="E2390" t="str">
            <v/>
          </cell>
          <cell r="J2390">
            <v>0</v>
          </cell>
        </row>
        <row r="2391">
          <cell r="D2391" t="str">
            <v/>
          </cell>
          <cell r="E2391" t="str">
            <v/>
          </cell>
          <cell r="J2391">
            <v>0</v>
          </cell>
        </row>
        <row r="2392">
          <cell r="D2392" t="str">
            <v/>
          </cell>
          <cell r="E2392" t="str">
            <v/>
          </cell>
          <cell r="J2392">
            <v>0</v>
          </cell>
        </row>
        <row r="2393">
          <cell r="F2393" t="str">
            <v>CUSTO TOTAL DE MATERIAL - (E)</v>
          </cell>
          <cell r="J2393">
            <v>5.17</v>
          </cell>
        </row>
        <row r="2394">
          <cell r="C2394" t="str">
            <v>CODIGO</v>
          </cell>
          <cell r="D2394" t="str">
            <v>ATIVIDADES AUXILIARES</v>
          </cell>
          <cell r="E2394" t="str">
            <v>UND</v>
          </cell>
          <cell r="F2394" t="str">
            <v>QUANTIDADE</v>
          </cell>
          <cell r="H2394" t="str">
            <v>CUSTO UNITÁRIO</v>
          </cell>
          <cell r="J2394" t="str">
            <v>CUSTO UNITÁRIO</v>
          </cell>
        </row>
        <row r="2395">
          <cell r="D2395" t="str">
            <v/>
          </cell>
          <cell r="E2395" t="str">
            <v/>
          </cell>
          <cell r="H2395" t="str">
            <v/>
          </cell>
          <cell r="J2395" t="str">
            <v/>
          </cell>
        </row>
        <row r="2396">
          <cell r="D2396" t="str">
            <v/>
          </cell>
          <cell r="E2396" t="str">
            <v/>
          </cell>
          <cell r="H2396" t="str">
            <v/>
          </cell>
          <cell r="J2396" t="str">
            <v/>
          </cell>
        </row>
        <row r="2397">
          <cell r="D2397" t="str">
            <v/>
          </cell>
          <cell r="E2397" t="str">
            <v/>
          </cell>
          <cell r="H2397" t="str">
            <v/>
          </cell>
          <cell r="J2397" t="str">
            <v/>
          </cell>
        </row>
        <row r="2398">
          <cell r="D2398" t="str">
            <v/>
          </cell>
          <cell r="E2398" t="str">
            <v/>
          </cell>
          <cell r="H2398" t="str">
            <v/>
          </cell>
          <cell r="J2398" t="str">
            <v/>
          </cell>
        </row>
        <row r="2399">
          <cell r="D2399" t="str">
            <v/>
          </cell>
          <cell r="H2399" t="str">
            <v/>
          </cell>
          <cell r="J2399" t="str">
            <v/>
          </cell>
        </row>
        <row r="2400">
          <cell r="C2400" t="str">
            <v>OBSERVAÇÕES:</v>
          </cell>
          <cell r="F2400" t="str">
            <v>CUSTO ATIVIDADES AUXILIARES - (F)</v>
          </cell>
          <cell r="J2400">
            <v>0</v>
          </cell>
        </row>
        <row r="2401">
          <cell r="F2401" t="str">
            <v>CUSTO UNITÁRIO DIRETO TOTAL</v>
          </cell>
          <cell r="J2401">
            <v>5.61</v>
          </cell>
        </row>
        <row r="2402">
          <cell r="F2402" t="str">
            <v xml:space="preserve">BONIFICAÇÃO </v>
          </cell>
          <cell r="H2402">
            <v>0</v>
          </cell>
          <cell r="J2402">
            <v>0</v>
          </cell>
        </row>
        <row r="2403">
          <cell r="F2403" t="str">
            <v>PREÇO UNITÁRIO  TOTAL</v>
          </cell>
          <cell r="J2403">
            <v>5.61</v>
          </cell>
        </row>
        <row r="2407">
          <cell r="A2407" t="str">
            <v>1 A 01 850 01</v>
          </cell>
          <cell r="C2407" t="str">
            <v>SERVIÇO:</v>
          </cell>
          <cell r="D2407" t="str">
            <v>Confecção de placa de sinalização semi-refletiva</v>
          </cell>
          <cell r="F2407" t="str">
            <v>PRODUÇÃO DA EQUIPE - (C):</v>
          </cell>
          <cell r="J2407">
            <v>10</v>
          </cell>
          <cell r="K2407" t="str">
            <v>un</v>
          </cell>
          <cell r="M2407">
            <v>287.77</v>
          </cell>
        </row>
        <row r="2408">
          <cell r="F2408" t="str">
            <v>UNITÁRIO</v>
          </cell>
          <cell r="H2408" t="str">
            <v>C. OPERACIONAL</v>
          </cell>
        </row>
        <row r="2409">
          <cell r="C2409" t="str">
            <v>ÍTEM</v>
          </cell>
          <cell r="D2409" t="str">
            <v>E Q U I P A M E N T O</v>
          </cell>
          <cell r="E2409" t="str">
            <v>QUANT.</v>
          </cell>
          <cell r="F2409" t="str">
            <v>PROD</v>
          </cell>
          <cell r="G2409" t="str">
            <v>IMPROD</v>
          </cell>
          <cell r="H2409" t="str">
            <v>PROD</v>
          </cell>
          <cell r="I2409" t="str">
            <v>IMPROD</v>
          </cell>
          <cell r="J2409" t="str">
            <v>CUSTO HORÁRIO</v>
          </cell>
        </row>
        <row r="2410">
          <cell r="C2410" t="str">
            <v>E211</v>
          </cell>
          <cell r="D2410" t="str">
            <v>Máquina para Pintura : Shulz : MS 20 BR - compres. de ar p/ pintura c/ filtro</v>
          </cell>
          <cell r="E2410">
            <v>1</v>
          </cell>
          <cell r="F2410">
            <v>0.6</v>
          </cell>
          <cell r="G2410">
            <v>0.4</v>
          </cell>
          <cell r="H2410">
            <v>1.1200000000000001</v>
          </cell>
          <cell r="I2410">
            <v>0</v>
          </cell>
          <cell r="J2410">
            <v>0.67</v>
          </cell>
        </row>
        <row r="2411">
          <cell r="C2411" t="str">
            <v>E917</v>
          </cell>
          <cell r="D2411" t="str">
            <v xml:space="preserve">Máquina de Bancada : Franho :  -  C-6A universal de corte p/ chapa </v>
          </cell>
          <cell r="E2411">
            <v>1</v>
          </cell>
          <cell r="F2411">
            <v>0.5</v>
          </cell>
          <cell r="G2411">
            <v>0.5</v>
          </cell>
          <cell r="H2411">
            <v>19.98</v>
          </cell>
          <cell r="I2411">
            <v>15.36</v>
          </cell>
          <cell r="J2411">
            <v>17.670000000000002</v>
          </cell>
        </row>
        <row r="2412">
          <cell r="C2412" t="str">
            <v>E918</v>
          </cell>
          <cell r="D2412" t="str">
            <v xml:space="preserve"> Máquina de Bancada : Harlo : VF-8 -  prensa excêntrica </v>
          </cell>
          <cell r="E2412">
            <v>1</v>
          </cell>
          <cell r="F2412">
            <v>0.3</v>
          </cell>
          <cell r="G2412">
            <v>0.7</v>
          </cell>
          <cell r="H2412">
            <v>3.54</v>
          </cell>
          <cell r="I2412">
            <v>0</v>
          </cell>
          <cell r="J2412">
            <v>1.06</v>
          </cell>
        </row>
        <row r="2413">
          <cell r="C2413" t="str">
            <v>E919</v>
          </cell>
          <cell r="D2413" t="str">
            <v xml:space="preserve"> Máquina de Bancada : Newton : GMN 1202 -  guilhotina   8 t </v>
          </cell>
          <cell r="E2413">
            <v>1</v>
          </cell>
          <cell r="F2413">
            <v>0.2</v>
          </cell>
          <cell r="G2413">
            <v>0.8</v>
          </cell>
          <cell r="H2413">
            <v>5.45</v>
          </cell>
          <cell r="I2413">
            <v>0</v>
          </cell>
          <cell r="J2413">
            <v>1.0900000000000001</v>
          </cell>
        </row>
        <row r="2414">
          <cell r="D2414" t="str">
            <v/>
          </cell>
          <cell r="G2414" t="str">
            <v/>
          </cell>
          <cell r="H2414" t="str">
            <v/>
          </cell>
          <cell r="I2414" t="str">
            <v/>
          </cell>
          <cell r="J2414" t="str">
            <v/>
          </cell>
        </row>
        <row r="2415">
          <cell r="D2415" t="str">
            <v/>
          </cell>
          <cell r="G2415" t="str">
            <v/>
          </cell>
          <cell r="H2415" t="str">
            <v/>
          </cell>
          <cell r="I2415" t="str">
            <v/>
          </cell>
          <cell r="J2415" t="str">
            <v/>
          </cell>
        </row>
        <row r="2416">
          <cell r="D2416" t="str">
            <v/>
          </cell>
          <cell r="G2416" t="str">
            <v/>
          </cell>
          <cell r="H2416" t="str">
            <v/>
          </cell>
          <cell r="I2416" t="str">
            <v/>
          </cell>
          <cell r="J2416" t="str">
            <v/>
          </cell>
        </row>
        <row r="2417">
          <cell r="F2417" t="str">
            <v>CUSTO HORÁRIO DO EQUIPAMENTO - (A)</v>
          </cell>
          <cell r="J2417">
            <v>20.49</v>
          </cell>
        </row>
        <row r="2418">
          <cell r="D2418" t="str">
            <v>M Ã O    D E   O B R A</v>
          </cell>
          <cell r="E2418" t="str">
            <v>QUANT.</v>
          </cell>
          <cell r="F2418" t="str">
            <v>SALÁRIO HORA</v>
          </cell>
          <cell r="J2418" t="str">
            <v>CUSTO HORÁRIO</v>
          </cell>
        </row>
        <row r="2419">
          <cell r="C2419" t="str">
            <v>T501</v>
          </cell>
          <cell r="D2419" t="str">
            <v>Encarregado de turma</v>
          </cell>
          <cell r="E2419">
            <v>0.5</v>
          </cell>
          <cell r="F2419">
            <v>21.11</v>
          </cell>
          <cell r="G2419" t="e">
            <v>#N/A</v>
          </cell>
          <cell r="H2419" t="e">
            <v>#N/A</v>
          </cell>
          <cell r="I2419" t="e">
            <v>#N/A</v>
          </cell>
          <cell r="J2419">
            <v>10.55</v>
          </cell>
        </row>
        <row r="2420">
          <cell r="C2420" t="str">
            <v>T602</v>
          </cell>
          <cell r="D2420" t="str">
            <v>Montador</v>
          </cell>
          <cell r="E2420">
            <v>1.2</v>
          </cell>
          <cell r="F2420">
            <v>9.44</v>
          </cell>
          <cell r="G2420" t="e">
            <v>#N/A</v>
          </cell>
          <cell r="H2420" t="e">
            <v>#N/A</v>
          </cell>
          <cell r="I2420" t="e">
            <v>#N/A</v>
          </cell>
          <cell r="J2420">
            <v>11.32</v>
          </cell>
        </row>
        <row r="2421">
          <cell r="C2421" t="str">
            <v>T607</v>
          </cell>
          <cell r="D2421" t="str">
            <v>Pintor</v>
          </cell>
          <cell r="E2421">
            <v>0.6</v>
          </cell>
          <cell r="F2421">
            <v>9.44</v>
          </cell>
          <cell r="G2421" t="e">
            <v>#N/A</v>
          </cell>
          <cell r="H2421" t="e">
            <v>#N/A</v>
          </cell>
          <cell r="I2421" t="e">
            <v>#N/A</v>
          </cell>
          <cell r="J2421">
            <v>5.66</v>
          </cell>
        </row>
        <row r="2422">
          <cell r="C2422" t="str">
            <v>T610</v>
          </cell>
          <cell r="D2422" t="str">
            <v>Serralheiro</v>
          </cell>
          <cell r="E2422">
            <v>1</v>
          </cell>
          <cell r="F2422">
            <v>9.44</v>
          </cell>
          <cell r="G2422" t="e">
            <v>#N/A</v>
          </cell>
          <cell r="H2422" t="e">
            <v>#N/A</v>
          </cell>
          <cell r="I2422" t="e">
            <v>#N/A</v>
          </cell>
          <cell r="J2422">
            <v>9.44</v>
          </cell>
        </row>
        <row r="2423">
          <cell r="C2423" t="str">
            <v>T702</v>
          </cell>
          <cell r="D2423" t="str">
            <v>Ajudante</v>
          </cell>
          <cell r="E2423">
            <v>4</v>
          </cell>
          <cell r="F2423">
            <v>6.99</v>
          </cell>
          <cell r="G2423" t="e">
            <v>#N/A</v>
          </cell>
          <cell r="H2423" t="e">
            <v>#N/A</v>
          </cell>
          <cell r="I2423" t="e">
            <v>#N/A</v>
          </cell>
          <cell r="J2423">
            <v>27.96</v>
          </cell>
        </row>
        <row r="2424">
          <cell r="F2424" t="str">
            <v>CUSTO HORÁRIO DE MÃO DE OBRA - (B)</v>
          </cell>
          <cell r="J2424">
            <v>64.930000000000007</v>
          </cell>
        </row>
        <row r="2425">
          <cell r="F2425" t="str">
            <v>FERRAMENTAS</v>
          </cell>
          <cell r="H2425">
            <v>0.2051</v>
          </cell>
          <cell r="J2425">
            <v>13.31</v>
          </cell>
        </row>
        <row r="2426">
          <cell r="F2426" t="str">
            <v>CUSTO HORÁRIO TOTAL - (A + B)</v>
          </cell>
          <cell r="J2426">
            <v>98.73</v>
          </cell>
        </row>
        <row r="2427">
          <cell r="F2427" t="str">
            <v>CUSTO UNITÁRIO DE EXECUÇÃO - (D)</v>
          </cell>
          <cell r="J2427">
            <v>9.8699999999999992</v>
          </cell>
        </row>
        <row r="2428">
          <cell r="C2428" t="str">
            <v>ÍTEM</v>
          </cell>
          <cell r="D2428" t="str">
            <v>M A T E R I A L</v>
          </cell>
          <cell r="E2428" t="str">
            <v>UNID</v>
          </cell>
          <cell r="F2428" t="str">
            <v>CONSUMO</v>
          </cell>
          <cell r="H2428" t="str">
            <v xml:space="preserve"> PREÇO UNITÁRIO</v>
          </cell>
          <cell r="J2428" t="str">
            <v>CUSTO UNITÁRIO</v>
          </cell>
        </row>
        <row r="2429">
          <cell r="C2429" t="str">
            <v>M346</v>
          </cell>
          <cell r="D2429" t="str">
            <v>Chapa de aço n. 16 (tratada)</v>
          </cell>
          <cell r="E2429" t="str">
            <v>m2</v>
          </cell>
          <cell r="F2429">
            <v>1</v>
          </cell>
          <cell r="H2429">
            <v>220</v>
          </cell>
          <cell r="I2429" t="e">
            <v>#N/A</v>
          </cell>
          <cell r="J2429">
            <v>220</v>
          </cell>
        </row>
        <row r="2430">
          <cell r="C2430" t="str">
            <v>M609</v>
          </cell>
          <cell r="D2430" t="str">
            <v>Tinta esmalte sintético semi-fosco</v>
          </cell>
          <cell r="E2430" t="str">
            <v>l</v>
          </cell>
          <cell r="F2430">
            <v>1.3</v>
          </cell>
          <cell r="H2430">
            <v>11.13</v>
          </cell>
          <cell r="J2430">
            <v>14.46</v>
          </cell>
        </row>
        <row r="2431">
          <cell r="C2431" t="str">
            <v>M969</v>
          </cell>
          <cell r="D2431" t="str">
            <v>Película refletiva lentes expostas</v>
          </cell>
          <cell r="E2431" t="str">
            <v>m2</v>
          </cell>
          <cell r="F2431">
            <v>0.2</v>
          </cell>
          <cell r="H2431">
            <v>150</v>
          </cell>
          <cell r="J2431">
            <v>30</v>
          </cell>
        </row>
        <row r="2432">
          <cell r="C2432" t="str">
            <v>M970</v>
          </cell>
          <cell r="D2432" t="str">
            <v>Película refletiva lentes inclusas</v>
          </cell>
          <cell r="E2432" t="str">
            <v>m2</v>
          </cell>
          <cell r="F2432">
            <v>0.2</v>
          </cell>
          <cell r="H2432">
            <v>67.209999999999994</v>
          </cell>
          <cell r="J2432">
            <v>13.44</v>
          </cell>
        </row>
        <row r="2433">
          <cell r="D2433" t="str">
            <v/>
          </cell>
          <cell r="E2433" t="str">
            <v/>
          </cell>
          <cell r="H2433" t="str">
            <v/>
          </cell>
          <cell r="I2433" t="str">
            <v/>
          </cell>
        </row>
        <row r="2434">
          <cell r="F2434" t="str">
            <v>CUSTO TOTAL DE MATERIAL - (E)</v>
          </cell>
          <cell r="J2434">
            <v>277.89999999999998</v>
          </cell>
        </row>
        <row r="2435">
          <cell r="C2435" t="str">
            <v>CODIGO</v>
          </cell>
          <cell r="D2435" t="str">
            <v>ATIVIDADES AUXILIARES</v>
          </cell>
          <cell r="E2435" t="str">
            <v>UND</v>
          </cell>
          <cell r="F2435" t="str">
            <v>QUANTIDADE</v>
          </cell>
          <cell r="H2435" t="str">
            <v>CUSTO UNITÁRIO</v>
          </cell>
          <cell r="J2435" t="str">
            <v>CUSTO UNITÁRIO</v>
          </cell>
        </row>
        <row r="2436">
          <cell r="D2436" t="str">
            <v/>
          </cell>
          <cell r="E2436" t="str">
            <v/>
          </cell>
          <cell r="H2436" t="str">
            <v/>
          </cell>
          <cell r="J2436" t="str">
            <v/>
          </cell>
        </row>
        <row r="2437">
          <cell r="D2437" t="str">
            <v/>
          </cell>
          <cell r="E2437" t="str">
            <v/>
          </cell>
          <cell r="H2437" t="str">
            <v/>
          </cell>
          <cell r="J2437" t="str">
            <v/>
          </cell>
        </row>
        <row r="2438">
          <cell r="D2438" t="str">
            <v/>
          </cell>
          <cell r="E2438" t="str">
            <v/>
          </cell>
          <cell r="H2438" t="str">
            <v/>
          </cell>
          <cell r="J2438" t="str">
            <v/>
          </cell>
        </row>
        <row r="2439">
          <cell r="D2439" t="str">
            <v/>
          </cell>
          <cell r="E2439" t="str">
            <v/>
          </cell>
          <cell r="H2439" t="str">
            <v/>
          </cell>
          <cell r="J2439" t="str">
            <v/>
          </cell>
        </row>
        <row r="2440">
          <cell r="D2440" t="str">
            <v/>
          </cell>
          <cell r="H2440" t="str">
            <v/>
          </cell>
          <cell r="J2440" t="str">
            <v/>
          </cell>
        </row>
        <row r="2441">
          <cell r="C2441" t="str">
            <v>OBSERVAÇÕES:</v>
          </cell>
          <cell r="F2441" t="str">
            <v>CUSTO ATIVIDADES AUXILIARES - (F)</v>
          </cell>
          <cell r="J2441">
            <v>0</v>
          </cell>
        </row>
        <row r="2442">
          <cell r="F2442" t="str">
            <v>CUSTO UNITÁRIO DIRETO TOTAL</v>
          </cell>
          <cell r="J2442">
            <v>287.77</v>
          </cell>
        </row>
        <row r="2443">
          <cell r="F2443" t="str">
            <v xml:space="preserve">BONIFICAÇÃO </v>
          </cell>
          <cell r="H2443">
            <v>0</v>
          </cell>
          <cell r="J2443">
            <v>0</v>
          </cell>
        </row>
        <row r="2444">
          <cell r="F2444" t="str">
            <v>PREÇO UNITÁRIO  TOTAL</v>
          </cell>
          <cell r="J2444">
            <v>287.77</v>
          </cell>
        </row>
        <row r="2448">
          <cell r="A2448" t="str">
            <v>1 A 01 860 01</v>
          </cell>
          <cell r="C2448" t="str">
            <v>SERVIÇO:</v>
          </cell>
          <cell r="D2448" t="str">
            <v>Confecção de placa de sinalização totalmente refletiva</v>
          </cell>
          <cell r="F2448" t="str">
            <v>PRODUÇÃO DA EQUIPE - (C):</v>
          </cell>
          <cell r="J2448">
            <v>6</v>
          </cell>
          <cell r="K2448" t="str">
            <v>un</v>
          </cell>
          <cell r="M2448">
            <v>337.32</v>
          </cell>
        </row>
        <row r="2449">
          <cell r="F2449" t="str">
            <v>UNITÁRIO</v>
          </cell>
          <cell r="H2449" t="str">
            <v>C. OPERACIONAL</v>
          </cell>
        </row>
        <row r="2450">
          <cell r="C2450" t="str">
            <v>ÍTEM</v>
          </cell>
          <cell r="D2450" t="str">
            <v>E Q U I P A M E N T O</v>
          </cell>
          <cell r="E2450" t="str">
            <v>QUANT.</v>
          </cell>
          <cell r="F2450" t="str">
            <v>PROD</v>
          </cell>
          <cell r="G2450" t="str">
            <v>IMPROD</v>
          </cell>
          <cell r="H2450" t="str">
            <v>PROD</v>
          </cell>
          <cell r="I2450" t="str">
            <v>IMPROD</v>
          </cell>
          <cell r="J2450" t="str">
            <v>CUSTO HORÁRIO</v>
          </cell>
        </row>
        <row r="2451">
          <cell r="C2451" t="str">
            <v>E211</v>
          </cell>
          <cell r="D2451" t="str">
            <v>Máquina para Pintura : Shulz : MS 20 BR - compres. de ar p/ pintura c/ filtro</v>
          </cell>
          <cell r="E2451">
            <v>1</v>
          </cell>
          <cell r="F2451">
            <v>0.3</v>
          </cell>
          <cell r="G2451">
            <v>0.7</v>
          </cell>
          <cell r="H2451">
            <v>1.1200000000000001</v>
          </cell>
          <cell r="I2451">
            <v>0</v>
          </cell>
          <cell r="J2451">
            <v>0.33</v>
          </cell>
        </row>
        <row r="2452">
          <cell r="C2452" t="str">
            <v>E917</v>
          </cell>
          <cell r="D2452" t="str">
            <v xml:space="preserve">Máquina de Bancada : Franho :  -  C-6A universal de corte p/ chapa </v>
          </cell>
          <cell r="E2452">
            <v>1</v>
          </cell>
          <cell r="F2452">
            <v>0.5</v>
          </cell>
          <cell r="G2452">
            <v>0.5</v>
          </cell>
          <cell r="H2452">
            <v>19.98</v>
          </cell>
          <cell r="I2452">
            <v>15.36</v>
          </cell>
          <cell r="J2452">
            <v>17.670000000000002</v>
          </cell>
        </row>
        <row r="2453">
          <cell r="C2453" t="str">
            <v>E918</v>
          </cell>
          <cell r="D2453" t="str">
            <v xml:space="preserve"> Máquina de Bancada : Harlo : VF-8 -  prensa excêntrica </v>
          </cell>
          <cell r="E2453">
            <v>1</v>
          </cell>
          <cell r="F2453">
            <v>0.3</v>
          </cell>
          <cell r="G2453">
            <v>0.7</v>
          </cell>
          <cell r="H2453">
            <v>3.54</v>
          </cell>
          <cell r="I2453">
            <v>0</v>
          </cell>
          <cell r="J2453">
            <v>1.06</v>
          </cell>
        </row>
        <row r="2454">
          <cell r="C2454" t="str">
            <v>E919</v>
          </cell>
          <cell r="D2454" t="str">
            <v xml:space="preserve"> Máquina de Bancada : Newton : GMN 1202 -  guilhotina   8 t </v>
          </cell>
          <cell r="E2454">
            <v>1</v>
          </cell>
          <cell r="F2454">
            <v>0.2</v>
          </cell>
          <cell r="G2454">
            <v>0.8</v>
          </cell>
          <cell r="H2454">
            <v>5.45</v>
          </cell>
          <cell r="I2454">
            <v>0</v>
          </cell>
          <cell r="J2454">
            <v>1.0900000000000001</v>
          </cell>
        </row>
        <row r="2455">
          <cell r="D2455" t="str">
            <v/>
          </cell>
          <cell r="G2455" t="str">
            <v/>
          </cell>
          <cell r="H2455" t="str">
            <v/>
          </cell>
          <cell r="I2455" t="str">
            <v/>
          </cell>
          <cell r="J2455" t="str">
            <v/>
          </cell>
        </row>
        <row r="2456">
          <cell r="D2456" t="str">
            <v/>
          </cell>
          <cell r="G2456" t="str">
            <v/>
          </cell>
          <cell r="H2456" t="str">
            <v/>
          </cell>
          <cell r="I2456" t="str">
            <v/>
          </cell>
          <cell r="J2456" t="str">
            <v/>
          </cell>
        </row>
        <row r="2457">
          <cell r="D2457" t="str">
            <v/>
          </cell>
          <cell r="G2457" t="str">
            <v/>
          </cell>
          <cell r="H2457" t="str">
            <v/>
          </cell>
          <cell r="I2457" t="str">
            <v/>
          </cell>
          <cell r="J2457" t="str">
            <v/>
          </cell>
        </row>
        <row r="2458">
          <cell r="F2458" t="str">
            <v>CUSTO HORÁRIO DO EQUIPAMENTO - (A)</v>
          </cell>
          <cell r="J2458">
            <v>20.149999999999999</v>
          </cell>
        </row>
        <row r="2459">
          <cell r="D2459" t="str">
            <v>M Ã O    D E   O B R A</v>
          </cell>
          <cell r="E2459" t="str">
            <v>QUANT.</v>
          </cell>
          <cell r="F2459" t="str">
            <v>SALÁRIO HORA</v>
          </cell>
          <cell r="J2459" t="str">
            <v>CUSTO HORÁRIO</v>
          </cell>
        </row>
        <row r="2460">
          <cell r="C2460" t="str">
            <v>T501</v>
          </cell>
          <cell r="D2460" t="str">
            <v>Encarregado de turma</v>
          </cell>
          <cell r="E2460">
            <v>0.5</v>
          </cell>
          <cell r="F2460">
            <v>21.11</v>
          </cell>
          <cell r="G2460" t="e">
            <v>#N/A</v>
          </cell>
          <cell r="H2460" t="e">
            <v>#N/A</v>
          </cell>
          <cell r="I2460" t="e">
            <v>#N/A</v>
          </cell>
          <cell r="J2460">
            <v>10.55</v>
          </cell>
        </row>
        <row r="2461">
          <cell r="C2461" t="str">
            <v>T602</v>
          </cell>
          <cell r="D2461" t="str">
            <v>Montador</v>
          </cell>
          <cell r="E2461">
            <v>2</v>
          </cell>
          <cell r="F2461">
            <v>9.44</v>
          </cell>
          <cell r="G2461" t="e">
            <v>#N/A</v>
          </cell>
          <cell r="H2461" t="e">
            <v>#N/A</v>
          </cell>
          <cell r="I2461" t="e">
            <v>#N/A</v>
          </cell>
          <cell r="J2461">
            <v>18.88</v>
          </cell>
        </row>
        <row r="2462">
          <cell r="C2462" t="str">
            <v>T607</v>
          </cell>
          <cell r="D2462" t="str">
            <v>Pintor</v>
          </cell>
          <cell r="E2462">
            <v>0.3</v>
          </cell>
          <cell r="F2462">
            <v>9.44</v>
          </cell>
          <cell r="G2462" t="e">
            <v>#N/A</v>
          </cell>
          <cell r="H2462" t="e">
            <v>#N/A</v>
          </cell>
          <cell r="I2462" t="e">
            <v>#N/A</v>
          </cell>
          <cell r="J2462">
            <v>2.83</v>
          </cell>
        </row>
        <row r="2463">
          <cell r="C2463" t="str">
            <v>T610</v>
          </cell>
          <cell r="D2463" t="str">
            <v>Serralheiro</v>
          </cell>
          <cell r="E2463">
            <v>1</v>
          </cell>
          <cell r="F2463">
            <v>9.44</v>
          </cell>
          <cell r="G2463" t="e">
            <v>#N/A</v>
          </cell>
          <cell r="H2463" t="e">
            <v>#N/A</v>
          </cell>
          <cell r="I2463" t="e">
            <v>#N/A</v>
          </cell>
          <cell r="J2463">
            <v>9.44</v>
          </cell>
        </row>
        <row r="2464">
          <cell r="C2464" t="str">
            <v>T702</v>
          </cell>
          <cell r="D2464" t="str">
            <v>Ajudante</v>
          </cell>
          <cell r="E2464">
            <v>4</v>
          </cell>
          <cell r="F2464">
            <v>6.99</v>
          </cell>
          <cell r="G2464" t="e">
            <v>#N/A</v>
          </cell>
          <cell r="H2464" t="e">
            <v>#N/A</v>
          </cell>
          <cell r="I2464" t="e">
            <v>#N/A</v>
          </cell>
          <cell r="J2464">
            <v>27.96</v>
          </cell>
        </row>
        <row r="2465">
          <cell r="F2465" t="str">
            <v>CUSTO HORÁRIO DE MÃO DE OBRA - (B)</v>
          </cell>
          <cell r="J2465">
            <v>69.66</v>
          </cell>
        </row>
        <row r="2466">
          <cell r="F2466" t="str">
            <v>FERRAMENTAS</v>
          </cell>
          <cell r="H2466">
            <v>0.2051</v>
          </cell>
          <cell r="J2466">
            <v>14.28</v>
          </cell>
        </row>
        <row r="2467">
          <cell r="F2467" t="str">
            <v>CUSTO HORÁRIO TOTAL - (A + B)</v>
          </cell>
          <cell r="J2467">
            <v>104.09</v>
          </cell>
        </row>
        <row r="2468">
          <cell r="F2468" t="str">
            <v>CUSTO UNITÁRIO DE EXECUÇÃO - (D)</v>
          </cell>
          <cell r="J2468">
            <v>17.34</v>
          </cell>
        </row>
        <row r="2469">
          <cell r="C2469" t="str">
            <v>ÍTEM</v>
          </cell>
          <cell r="D2469" t="str">
            <v>M A T E R I A L</v>
          </cell>
          <cell r="E2469" t="str">
            <v>UNID</v>
          </cell>
          <cell r="F2469" t="str">
            <v>CONSUMO</v>
          </cell>
          <cell r="H2469" t="str">
            <v xml:space="preserve"> PREÇO UNITÁRIO</v>
          </cell>
          <cell r="J2469" t="str">
            <v>CUSTO UNITÁRIO</v>
          </cell>
        </row>
        <row r="2470">
          <cell r="C2470" t="str">
            <v>M346</v>
          </cell>
          <cell r="D2470" t="str">
            <v>Chapa de aço n. 16 (tratada)</v>
          </cell>
          <cell r="E2470" t="str">
            <v>m2</v>
          </cell>
          <cell r="F2470">
            <v>1</v>
          </cell>
          <cell r="H2470">
            <v>220</v>
          </cell>
          <cell r="I2470" t="e">
            <v>#N/A</v>
          </cell>
          <cell r="J2470">
            <v>220</v>
          </cell>
        </row>
        <row r="2471">
          <cell r="C2471" t="str">
            <v>M609</v>
          </cell>
          <cell r="D2471" t="str">
            <v>Tinta esmalte sintético semi-fosco</v>
          </cell>
          <cell r="E2471" t="str">
            <v>l</v>
          </cell>
          <cell r="F2471">
            <v>0.53</v>
          </cell>
          <cell r="H2471">
            <v>11.13</v>
          </cell>
          <cell r="J2471">
            <v>5.89</v>
          </cell>
        </row>
        <row r="2472">
          <cell r="C2472" t="str">
            <v>M970</v>
          </cell>
          <cell r="D2472" t="str">
            <v>Película refletiva lentes inclusas</v>
          </cell>
          <cell r="E2472" t="str">
            <v>m2</v>
          </cell>
          <cell r="F2472">
            <v>1.4</v>
          </cell>
          <cell r="H2472">
            <v>67.209999999999994</v>
          </cell>
          <cell r="J2472">
            <v>94.09</v>
          </cell>
        </row>
        <row r="2473">
          <cell r="D2473" t="str">
            <v/>
          </cell>
          <cell r="E2473" t="str">
            <v/>
          </cell>
          <cell r="H2473">
            <v>0</v>
          </cell>
          <cell r="J2473">
            <v>0</v>
          </cell>
        </row>
        <row r="2474">
          <cell r="D2474" t="str">
            <v/>
          </cell>
          <cell r="E2474" t="str">
            <v/>
          </cell>
          <cell r="H2474" t="str">
            <v/>
          </cell>
          <cell r="I2474" t="str">
            <v/>
          </cell>
        </row>
        <row r="2475">
          <cell r="F2475" t="str">
            <v>CUSTO TOTAL DE MATERIAL - (E)</v>
          </cell>
          <cell r="J2475">
            <v>319.98</v>
          </cell>
        </row>
        <row r="2476">
          <cell r="C2476" t="str">
            <v>CODIGO</v>
          </cell>
          <cell r="D2476" t="str">
            <v>ATIVIDADES AUXILIARES</v>
          </cell>
          <cell r="E2476" t="str">
            <v>UND</v>
          </cell>
          <cell r="F2476" t="str">
            <v>QUANTIDADE</v>
          </cell>
          <cell r="H2476" t="str">
            <v>CUSTO UNITÁRIO</v>
          </cell>
          <cell r="J2476" t="str">
            <v>CUSTO UNITÁRIO</v>
          </cell>
        </row>
        <row r="2477">
          <cell r="D2477" t="str">
            <v/>
          </cell>
          <cell r="E2477" t="str">
            <v/>
          </cell>
          <cell r="H2477" t="str">
            <v/>
          </cell>
          <cell r="J2477" t="str">
            <v/>
          </cell>
        </row>
        <row r="2478">
          <cell r="D2478" t="str">
            <v/>
          </cell>
          <cell r="E2478" t="str">
            <v/>
          </cell>
          <cell r="H2478" t="str">
            <v/>
          </cell>
          <cell r="J2478" t="str">
            <v/>
          </cell>
        </row>
        <row r="2479">
          <cell r="D2479" t="str">
            <v/>
          </cell>
          <cell r="E2479" t="str">
            <v/>
          </cell>
          <cell r="H2479" t="str">
            <v/>
          </cell>
          <cell r="J2479" t="str">
            <v/>
          </cell>
        </row>
        <row r="2480">
          <cell r="D2480" t="str">
            <v/>
          </cell>
          <cell r="E2480" t="str">
            <v/>
          </cell>
          <cell r="H2480" t="str">
            <v/>
          </cell>
          <cell r="J2480" t="str">
            <v/>
          </cell>
        </row>
        <row r="2481">
          <cell r="D2481" t="str">
            <v/>
          </cell>
          <cell r="H2481" t="str">
            <v/>
          </cell>
          <cell r="J2481" t="str">
            <v/>
          </cell>
        </row>
        <row r="2482">
          <cell r="C2482" t="str">
            <v>OBSERVAÇÕES:</v>
          </cell>
          <cell r="F2482" t="str">
            <v>CUSTO ATIVIDADES AUXILIARES - (F)</v>
          </cell>
          <cell r="J2482">
            <v>0</v>
          </cell>
        </row>
        <row r="2483">
          <cell r="F2483" t="str">
            <v>CUSTO UNITÁRIO DIRETO TOTAL</v>
          </cell>
          <cell r="J2483">
            <v>337.32</v>
          </cell>
        </row>
        <row r="2484">
          <cell r="F2484" t="str">
            <v xml:space="preserve">BONIFICAÇÃO </v>
          </cell>
          <cell r="H2484">
            <v>0</v>
          </cell>
          <cell r="J2484">
            <v>0</v>
          </cell>
        </row>
        <row r="2485">
          <cell r="F2485" t="str">
            <v>PREÇO UNITÁRIO  TOTAL</v>
          </cell>
          <cell r="J2485">
            <v>337.32</v>
          </cell>
        </row>
        <row r="2489">
          <cell r="A2489" t="str">
            <v>1 A 01 870 01</v>
          </cell>
          <cell r="C2489" t="str">
            <v>SERVIÇO:</v>
          </cell>
          <cell r="D2489" t="str">
            <v>Confecção de suporte e travessa p/ placa de sinal.</v>
          </cell>
          <cell r="F2489" t="str">
            <v>PRODUÇÃO DA EQUIPE - (C):</v>
          </cell>
          <cell r="J2489">
            <v>6</v>
          </cell>
          <cell r="K2489" t="str">
            <v>und</v>
          </cell>
          <cell r="M2489">
            <v>19.059999999999999</v>
          </cell>
        </row>
        <row r="2490">
          <cell r="F2490" t="str">
            <v>UNITÁRIO</v>
          </cell>
          <cell r="H2490" t="str">
            <v>C. OPERACIONAL</v>
          </cell>
        </row>
        <row r="2491">
          <cell r="C2491" t="str">
            <v>ÍTEM</v>
          </cell>
          <cell r="D2491" t="str">
            <v>E Q U I P A M E N T O</v>
          </cell>
          <cell r="E2491" t="str">
            <v>QUANT.</v>
          </cell>
          <cell r="F2491" t="str">
            <v>PROD</v>
          </cell>
          <cell r="G2491" t="str">
            <v>IMPROD</v>
          </cell>
          <cell r="H2491" t="str">
            <v>PROD</v>
          </cell>
          <cell r="I2491" t="str">
            <v>IMPROD</v>
          </cell>
          <cell r="J2491" t="str">
            <v>CUSTO HORÁRIO</v>
          </cell>
        </row>
        <row r="2492">
          <cell r="D2492" t="str">
            <v/>
          </cell>
          <cell r="G2492" t="str">
            <v/>
          </cell>
          <cell r="H2492" t="str">
            <v/>
          </cell>
          <cell r="I2492" t="str">
            <v/>
          </cell>
          <cell r="J2492" t="str">
            <v/>
          </cell>
        </row>
        <row r="2493">
          <cell r="D2493" t="str">
            <v/>
          </cell>
          <cell r="G2493" t="str">
            <v/>
          </cell>
          <cell r="H2493" t="str">
            <v/>
          </cell>
          <cell r="I2493" t="str">
            <v/>
          </cell>
          <cell r="J2493" t="str">
            <v/>
          </cell>
        </row>
        <row r="2494">
          <cell r="D2494" t="str">
            <v/>
          </cell>
          <cell r="G2494" t="str">
            <v/>
          </cell>
          <cell r="H2494" t="str">
            <v/>
          </cell>
          <cell r="I2494" t="str">
            <v/>
          </cell>
          <cell r="J2494" t="str">
            <v/>
          </cell>
        </row>
        <row r="2495">
          <cell r="D2495" t="str">
            <v/>
          </cell>
          <cell r="G2495" t="str">
            <v/>
          </cell>
          <cell r="H2495" t="str">
            <v/>
          </cell>
          <cell r="I2495" t="str">
            <v/>
          </cell>
          <cell r="J2495" t="str">
            <v/>
          </cell>
        </row>
        <row r="2496">
          <cell r="D2496" t="str">
            <v/>
          </cell>
          <cell r="G2496" t="str">
            <v/>
          </cell>
          <cell r="H2496" t="str">
            <v/>
          </cell>
          <cell r="I2496" t="str">
            <v/>
          </cell>
          <cell r="J2496" t="str">
            <v/>
          </cell>
        </row>
        <row r="2497">
          <cell r="F2497" t="str">
            <v>CUSTO HORÁRIO DO EQUIPAMENTO - (A)</v>
          </cell>
          <cell r="J2497">
            <v>0</v>
          </cell>
        </row>
        <row r="2498">
          <cell r="C2498" t="str">
            <v>ÍTEM</v>
          </cell>
          <cell r="D2498" t="str">
            <v>M Ã O    D E   O B R A</v>
          </cell>
          <cell r="E2498" t="str">
            <v>QUANT.</v>
          </cell>
          <cell r="F2498" t="str">
            <v>SALÁRIO HORA</v>
          </cell>
          <cell r="J2498" t="str">
            <v>CUSTO HORÁRIO</v>
          </cell>
        </row>
        <row r="2499">
          <cell r="C2499" t="str">
            <v>T501</v>
          </cell>
          <cell r="D2499" t="str">
            <v>Encarregado de turma</v>
          </cell>
          <cell r="E2499">
            <v>0.5</v>
          </cell>
          <cell r="F2499">
            <v>21.11</v>
          </cell>
          <cell r="G2499" t="e">
            <v>#N/A</v>
          </cell>
          <cell r="H2499" t="e">
            <v>#N/A</v>
          </cell>
          <cell r="I2499" t="e">
            <v>#N/A</v>
          </cell>
          <cell r="J2499">
            <v>10.55</v>
          </cell>
        </row>
        <row r="2500">
          <cell r="C2500" t="str">
            <v>T603</v>
          </cell>
          <cell r="D2500" t="str">
            <v>Carpinteiro</v>
          </cell>
          <cell r="E2500">
            <v>1</v>
          </cell>
          <cell r="F2500">
            <v>9.44</v>
          </cell>
          <cell r="G2500" t="e">
            <v>#N/A</v>
          </cell>
          <cell r="H2500" t="e">
            <v>#N/A</v>
          </cell>
          <cell r="I2500" t="e">
            <v>#N/A</v>
          </cell>
          <cell r="J2500">
            <v>9.44</v>
          </cell>
        </row>
        <row r="2501">
          <cell r="C2501" t="str">
            <v>T607</v>
          </cell>
          <cell r="D2501" t="str">
            <v>Pintor</v>
          </cell>
          <cell r="E2501">
            <v>0.5</v>
          </cell>
          <cell r="F2501">
            <v>9.44</v>
          </cell>
          <cell r="G2501" t="e">
            <v>#N/A</v>
          </cell>
          <cell r="H2501" t="e">
            <v>#N/A</v>
          </cell>
          <cell r="I2501" t="e">
            <v>#N/A</v>
          </cell>
          <cell r="J2501">
            <v>4.72</v>
          </cell>
        </row>
        <row r="2502">
          <cell r="C2502" t="str">
            <v>T701</v>
          </cell>
          <cell r="D2502" t="str">
            <v>Servente</v>
          </cell>
          <cell r="E2502">
            <v>2</v>
          </cell>
          <cell r="F2502">
            <v>6.99</v>
          </cell>
          <cell r="G2502" t="e">
            <v>#N/A</v>
          </cell>
          <cell r="H2502" t="e">
            <v>#N/A</v>
          </cell>
          <cell r="I2502" t="e">
            <v>#N/A</v>
          </cell>
          <cell r="J2502">
            <v>13.98</v>
          </cell>
        </row>
        <row r="2503">
          <cell r="D2503" t="str">
            <v/>
          </cell>
          <cell r="F2503" t="str">
            <v/>
          </cell>
          <cell r="G2503" t="str">
            <v/>
          </cell>
          <cell r="H2503" t="str">
            <v/>
          </cell>
          <cell r="I2503" t="str">
            <v/>
          </cell>
          <cell r="J2503" t="str">
            <v/>
          </cell>
        </row>
        <row r="2504">
          <cell r="F2504" t="str">
            <v>CUSTO HORÁRIO DE MÃO DE OBRA - (B)</v>
          </cell>
          <cell r="J2504">
            <v>38.69</v>
          </cell>
        </row>
        <row r="2505">
          <cell r="F2505" t="str">
            <v>FERRAMENTAS</v>
          </cell>
          <cell r="H2505">
            <v>0.2051</v>
          </cell>
          <cell r="J2505">
            <v>7.93</v>
          </cell>
        </row>
        <row r="2506">
          <cell r="F2506" t="str">
            <v>CUSTO HORÁRIO TOTAL - (A + B)</v>
          </cell>
          <cell r="J2506">
            <v>46.62</v>
          </cell>
        </row>
        <row r="2507">
          <cell r="F2507" t="str">
            <v>CUSTO UNITÁRIO DE EXECUÇÃO - (D)</v>
          </cell>
          <cell r="J2507">
            <v>7.77</v>
          </cell>
        </row>
        <row r="2508">
          <cell r="C2508" t="str">
            <v>ÍTEM</v>
          </cell>
          <cell r="D2508" t="str">
            <v>M A T E R I A L</v>
          </cell>
          <cell r="E2508" t="str">
            <v>UNID</v>
          </cell>
          <cell r="F2508" t="str">
            <v>CONSUMO</v>
          </cell>
          <cell r="H2508" t="str">
            <v xml:space="preserve"> PREÇO UNITÁRIO</v>
          </cell>
          <cell r="J2508" t="str">
            <v>CUSTO UNITÁRIO</v>
          </cell>
        </row>
        <row r="2509">
          <cell r="C2509" t="str">
            <v>M406</v>
          </cell>
          <cell r="D2509" t="str">
            <v>Caibros de 7,5 cm x 7,5 cm</v>
          </cell>
          <cell r="E2509" t="str">
            <v>m</v>
          </cell>
          <cell r="F2509">
            <v>3</v>
          </cell>
          <cell r="H2509">
            <v>1.98</v>
          </cell>
          <cell r="I2509" t="str">
            <v/>
          </cell>
          <cell r="J2509">
            <v>5.94</v>
          </cell>
        </row>
        <row r="2510">
          <cell r="C2510" t="str">
            <v>M412</v>
          </cell>
          <cell r="D2510" t="str">
            <v>Gastalho 10 x 2,0 cm</v>
          </cell>
          <cell r="E2510" t="str">
            <v>m</v>
          </cell>
          <cell r="F2510">
            <v>1.4</v>
          </cell>
          <cell r="H2510">
            <v>1.2</v>
          </cell>
          <cell r="I2510" t="str">
            <v/>
          </cell>
          <cell r="J2510">
            <v>1.68</v>
          </cell>
        </row>
        <row r="2511">
          <cell r="C2511" t="str">
            <v>M609</v>
          </cell>
          <cell r="D2511" t="str">
            <v>Tinta esmalte sintético semi-fosco</v>
          </cell>
          <cell r="E2511" t="str">
            <v>l</v>
          </cell>
          <cell r="F2511">
            <v>0.33</v>
          </cell>
          <cell r="H2511">
            <v>11.13</v>
          </cell>
          <cell r="I2511" t="str">
            <v/>
          </cell>
          <cell r="J2511">
            <v>3.67</v>
          </cell>
        </row>
        <row r="2512">
          <cell r="D2512" t="str">
            <v/>
          </cell>
          <cell r="E2512" t="str">
            <v/>
          </cell>
          <cell r="H2512" t="str">
            <v/>
          </cell>
          <cell r="I2512" t="str">
            <v/>
          </cell>
          <cell r="J2512" t="str">
            <v/>
          </cell>
        </row>
        <row r="2513">
          <cell r="D2513" t="str">
            <v/>
          </cell>
          <cell r="E2513" t="str">
            <v/>
          </cell>
          <cell r="H2513" t="str">
            <v/>
          </cell>
          <cell r="I2513" t="str">
            <v/>
          </cell>
          <cell r="J2513" t="str">
            <v/>
          </cell>
        </row>
        <row r="2514">
          <cell r="F2514" t="str">
            <v>CUSTO TOTAL DE MATERIAL - (E)</v>
          </cell>
          <cell r="J2514">
            <v>11.29</v>
          </cell>
        </row>
        <row r="2515">
          <cell r="C2515" t="str">
            <v>CODIGO</v>
          </cell>
          <cell r="D2515" t="str">
            <v>ATIVIDADES AUXILIARES</v>
          </cell>
          <cell r="E2515" t="str">
            <v>UND</v>
          </cell>
          <cell r="F2515" t="str">
            <v>QUANTIDADE</v>
          </cell>
          <cell r="H2515" t="str">
            <v>CUSTO UNITÁRIO</v>
          </cell>
          <cell r="J2515" t="str">
            <v>CUSTO UNITÁRIO</v>
          </cell>
        </row>
        <row r="2516">
          <cell r="D2516" t="str">
            <v/>
          </cell>
          <cell r="E2516" t="str">
            <v/>
          </cell>
          <cell r="H2516" t="str">
            <v/>
          </cell>
          <cell r="J2516" t="str">
            <v/>
          </cell>
        </row>
        <row r="2517">
          <cell r="D2517" t="str">
            <v/>
          </cell>
          <cell r="E2517" t="str">
            <v/>
          </cell>
          <cell r="H2517" t="str">
            <v/>
          </cell>
          <cell r="J2517" t="str">
            <v/>
          </cell>
        </row>
        <row r="2518">
          <cell r="D2518" t="str">
            <v/>
          </cell>
          <cell r="E2518" t="str">
            <v/>
          </cell>
          <cell r="H2518" t="str">
            <v/>
          </cell>
          <cell r="J2518" t="str">
            <v/>
          </cell>
        </row>
        <row r="2519">
          <cell r="D2519" t="str">
            <v/>
          </cell>
          <cell r="E2519" t="str">
            <v/>
          </cell>
          <cell r="H2519" t="str">
            <v/>
          </cell>
          <cell r="J2519" t="str">
            <v/>
          </cell>
        </row>
        <row r="2520">
          <cell r="D2520" t="str">
            <v/>
          </cell>
          <cell r="H2520" t="str">
            <v/>
          </cell>
          <cell r="J2520" t="str">
            <v/>
          </cell>
        </row>
        <row r="2521">
          <cell r="C2521" t="str">
            <v>OBSERVAÇÕES:</v>
          </cell>
          <cell r="F2521" t="str">
            <v>CUSTO ATIVIDADES AUXILIARES - (F)</v>
          </cell>
          <cell r="J2521">
            <v>0</v>
          </cell>
        </row>
        <row r="2522">
          <cell r="F2522" t="str">
            <v>CUSTO UNITÁRIO DIRETO TOTAL</v>
          </cell>
          <cell r="J2522">
            <v>19.059999999999999</v>
          </cell>
        </row>
        <row r="2523">
          <cell r="F2523" t="str">
            <v xml:space="preserve">BONIFICAÇÃO </v>
          </cell>
          <cell r="H2523">
            <v>0</v>
          </cell>
          <cell r="J2523">
            <v>0</v>
          </cell>
        </row>
        <row r="2524">
          <cell r="F2524" t="str">
            <v>PREÇO UNITÁRIO  TOTAL</v>
          </cell>
          <cell r="J2524">
            <v>19.059999999999999</v>
          </cell>
        </row>
        <row r="2528">
          <cell r="A2528" t="str">
            <v>1 A 01 890 01</v>
          </cell>
          <cell r="C2528" t="str">
            <v>SERVIÇO:</v>
          </cell>
          <cell r="D2528" t="str">
            <v>Escavação manual em material de 1ª  categoria</v>
          </cell>
          <cell r="F2528" t="str">
            <v>PRODUÇÃO DA EQUIPE - (C):</v>
          </cell>
          <cell r="J2528">
            <v>1</v>
          </cell>
          <cell r="K2528" t="str">
            <v>m³</v>
          </cell>
          <cell r="M2528">
            <v>23</v>
          </cell>
        </row>
        <row r="2529">
          <cell r="F2529" t="str">
            <v>UNITÁRIO</v>
          </cell>
          <cell r="H2529" t="str">
            <v>C. OPERACIONAL</v>
          </cell>
        </row>
        <row r="2530">
          <cell r="C2530" t="str">
            <v>ÍTEM</v>
          </cell>
          <cell r="D2530" t="str">
            <v>E Q U I P A M E N T O</v>
          </cell>
          <cell r="E2530" t="str">
            <v>QUANT.</v>
          </cell>
          <cell r="F2530" t="str">
            <v>PROD</v>
          </cell>
          <cell r="G2530" t="str">
            <v>IMPROD</v>
          </cell>
          <cell r="H2530" t="str">
            <v>PROD</v>
          </cell>
          <cell r="I2530" t="str">
            <v>IMPROD</v>
          </cell>
          <cell r="J2530" t="str">
            <v>CUSTO HORÁRIO</v>
          </cell>
        </row>
        <row r="2531">
          <cell r="G2531" t="str">
            <v/>
          </cell>
          <cell r="H2531" t="str">
            <v/>
          </cell>
          <cell r="I2531" t="str">
            <v/>
          </cell>
          <cell r="J2531" t="str">
            <v/>
          </cell>
        </row>
        <row r="2532">
          <cell r="D2532" t="str">
            <v/>
          </cell>
          <cell r="G2532" t="str">
            <v/>
          </cell>
          <cell r="H2532" t="str">
            <v/>
          </cell>
          <cell r="I2532" t="str">
            <v/>
          </cell>
          <cell r="J2532" t="str">
            <v/>
          </cell>
        </row>
        <row r="2533">
          <cell r="D2533" t="str">
            <v/>
          </cell>
          <cell r="G2533" t="str">
            <v/>
          </cell>
          <cell r="H2533" t="str">
            <v/>
          </cell>
          <cell r="I2533" t="str">
            <v/>
          </cell>
          <cell r="J2533" t="str">
            <v/>
          </cell>
        </row>
        <row r="2534">
          <cell r="D2534" t="str">
            <v/>
          </cell>
          <cell r="G2534" t="str">
            <v/>
          </cell>
          <cell r="H2534" t="str">
            <v/>
          </cell>
          <cell r="I2534" t="str">
            <v/>
          </cell>
          <cell r="J2534" t="str">
            <v/>
          </cell>
        </row>
        <row r="2535">
          <cell r="D2535" t="str">
            <v/>
          </cell>
          <cell r="G2535" t="str">
            <v/>
          </cell>
          <cell r="H2535" t="str">
            <v/>
          </cell>
          <cell r="I2535" t="str">
            <v/>
          </cell>
          <cell r="J2535" t="str">
            <v/>
          </cell>
        </row>
        <row r="2536">
          <cell r="D2536" t="str">
            <v/>
          </cell>
          <cell r="G2536" t="str">
            <v/>
          </cell>
          <cell r="H2536" t="str">
            <v/>
          </cell>
          <cell r="I2536" t="str">
            <v/>
          </cell>
          <cell r="J2536" t="str">
            <v/>
          </cell>
        </row>
        <row r="2537">
          <cell r="F2537" t="str">
            <v>CUSTO HORÁRIO DO EQUIPAMENTO - (A)</v>
          </cell>
          <cell r="J2537">
            <v>0</v>
          </cell>
        </row>
        <row r="2538">
          <cell r="C2538" t="str">
            <v>ÍTEM</v>
          </cell>
          <cell r="D2538" t="str">
            <v>M Ã O    D E   O B R A</v>
          </cell>
          <cell r="E2538" t="str">
            <v>QUANT.</v>
          </cell>
          <cell r="F2538" t="str">
            <v>SALÁRIO HORA</v>
          </cell>
          <cell r="J2538" t="str">
            <v>CUSTO HORÁRIO</v>
          </cell>
        </row>
        <row r="2539">
          <cell r="C2539" t="str">
            <v>T604</v>
          </cell>
          <cell r="D2539" t="str">
            <v>Pedreiro</v>
          </cell>
          <cell r="E2539">
            <v>0.1</v>
          </cell>
          <cell r="F2539">
            <v>9.44</v>
          </cell>
          <cell r="G2539" t="e">
            <v>#N/A</v>
          </cell>
          <cell r="H2539" t="e">
            <v>#N/A</v>
          </cell>
          <cell r="I2539" t="e">
            <v>#N/A</v>
          </cell>
          <cell r="J2539">
            <v>0.94</v>
          </cell>
        </row>
        <row r="2540">
          <cell r="C2540" t="str">
            <v>T701</v>
          </cell>
          <cell r="D2540" t="str">
            <v>Servente</v>
          </cell>
          <cell r="E2540">
            <v>3</v>
          </cell>
          <cell r="F2540">
            <v>6.99</v>
          </cell>
          <cell r="G2540" t="e">
            <v>#N/A</v>
          </cell>
          <cell r="H2540" t="e">
            <v>#N/A</v>
          </cell>
          <cell r="I2540" t="e">
            <v>#N/A</v>
          </cell>
          <cell r="J2540">
            <v>20.97</v>
          </cell>
        </row>
        <row r="2541">
          <cell r="D2541" t="str">
            <v/>
          </cell>
          <cell r="F2541" t="str">
            <v/>
          </cell>
          <cell r="G2541" t="str">
            <v/>
          </cell>
          <cell r="H2541" t="str">
            <v/>
          </cell>
          <cell r="I2541" t="str">
            <v/>
          </cell>
          <cell r="J2541" t="str">
            <v/>
          </cell>
        </row>
        <row r="2542">
          <cell r="D2542" t="str">
            <v/>
          </cell>
          <cell r="F2542" t="str">
            <v/>
          </cell>
          <cell r="G2542" t="str">
            <v/>
          </cell>
          <cell r="H2542" t="str">
            <v/>
          </cell>
          <cell r="I2542" t="str">
            <v/>
          </cell>
          <cell r="J2542" t="str">
            <v/>
          </cell>
        </row>
        <row r="2543">
          <cell r="D2543" t="str">
            <v/>
          </cell>
          <cell r="F2543" t="str">
            <v/>
          </cell>
          <cell r="G2543" t="str">
            <v/>
          </cell>
          <cell r="H2543" t="str">
            <v/>
          </cell>
          <cell r="I2543" t="str">
            <v/>
          </cell>
          <cell r="J2543" t="str">
            <v/>
          </cell>
        </row>
        <row r="2544">
          <cell r="F2544" t="str">
            <v>CUSTO HORÁRIO DE MÃO DE OBRA - (B)</v>
          </cell>
          <cell r="J2544">
            <v>21.91</v>
          </cell>
        </row>
        <row r="2545">
          <cell r="F2545" t="str">
            <v>FERRAMENTAS</v>
          </cell>
          <cell r="H2545">
            <v>0.05</v>
          </cell>
          <cell r="J2545">
            <v>1.0900000000000001</v>
          </cell>
        </row>
        <row r="2546">
          <cell r="F2546" t="str">
            <v>CUSTO HORÁRIO TOTAL - (A + B)</v>
          </cell>
          <cell r="J2546">
            <v>23</v>
          </cell>
        </row>
        <row r="2547">
          <cell r="F2547" t="str">
            <v>CUSTO UNITÁRIO DE EXECUÇÃO - (D)</v>
          </cell>
          <cell r="J2547">
            <v>23</v>
          </cell>
        </row>
        <row r="2548">
          <cell r="C2548" t="str">
            <v>ÍTEM</v>
          </cell>
          <cell r="D2548" t="str">
            <v>M A T E R I A L</v>
          </cell>
          <cell r="E2548" t="str">
            <v>UNID</v>
          </cell>
          <cell r="F2548" t="str">
            <v>CONSUMO</v>
          </cell>
          <cell r="H2548" t="str">
            <v xml:space="preserve"> PREÇO UNITÁRIO</v>
          </cell>
          <cell r="J2548" t="str">
            <v>CUSTO UNITÁRIO</v>
          </cell>
        </row>
        <row r="2549">
          <cell r="D2549" t="str">
            <v/>
          </cell>
          <cell r="E2549" t="str">
            <v/>
          </cell>
          <cell r="H2549" t="str">
            <v/>
          </cell>
          <cell r="I2549" t="str">
            <v/>
          </cell>
          <cell r="J2549" t="str">
            <v/>
          </cell>
        </row>
        <row r="2550">
          <cell r="D2550" t="str">
            <v/>
          </cell>
          <cell r="E2550" t="str">
            <v/>
          </cell>
          <cell r="J2550" t="str">
            <v/>
          </cell>
        </row>
        <row r="2551">
          <cell r="D2551" t="str">
            <v/>
          </cell>
          <cell r="E2551" t="str">
            <v/>
          </cell>
          <cell r="J2551" t="str">
            <v/>
          </cell>
        </row>
        <row r="2552">
          <cell r="D2552" t="str">
            <v/>
          </cell>
          <cell r="E2552" t="str">
            <v/>
          </cell>
          <cell r="J2552" t="str">
            <v/>
          </cell>
        </row>
        <row r="2553">
          <cell r="D2553" t="str">
            <v/>
          </cell>
          <cell r="E2553" t="str">
            <v/>
          </cell>
          <cell r="J2553" t="str">
            <v/>
          </cell>
        </row>
        <row r="2554">
          <cell r="F2554" t="str">
            <v>CUSTO TOTAL DE MATERIAL - (E)</v>
          </cell>
          <cell r="J2554">
            <v>0</v>
          </cell>
        </row>
        <row r="2555">
          <cell r="C2555" t="str">
            <v>CODIGO</v>
          </cell>
          <cell r="D2555" t="str">
            <v>ATIVIDADES AUXILIARES</v>
          </cell>
          <cell r="E2555" t="str">
            <v>UND</v>
          </cell>
          <cell r="F2555" t="str">
            <v>QUANTIDADE</v>
          </cell>
          <cell r="H2555" t="str">
            <v>CUSTO UNITÁRIO</v>
          </cell>
          <cell r="J2555" t="str">
            <v>CUSTO UNITÁRIO</v>
          </cell>
        </row>
        <row r="2556">
          <cell r="D2556" t="str">
            <v/>
          </cell>
          <cell r="E2556" t="str">
            <v/>
          </cell>
          <cell r="H2556" t="str">
            <v/>
          </cell>
          <cell r="J2556" t="str">
            <v/>
          </cell>
        </row>
        <row r="2557">
          <cell r="D2557" t="str">
            <v/>
          </cell>
          <cell r="E2557" t="str">
            <v/>
          </cell>
          <cell r="H2557" t="str">
            <v/>
          </cell>
          <cell r="J2557" t="str">
            <v/>
          </cell>
        </row>
        <row r="2558">
          <cell r="D2558" t="str">
            <v/>
          </cell>
          <cell r="E2558" t="str">
            <v/>
          </cell>
          <cell r="H2558" t="str">
            <v/>
          </cell>
          <cell r="J2558" t="str">
            <v/>
          </cell>
        </row>
        <row r="2559">
          <cell r="D2559" t="str">
            <v/>
          </cell>
          <cell r="E2559" t="str">
            <v/>
          </cell>
          <cell r="H2559" t="str">
            <v/>
          </cell>
          <cell r="J2559" t="str">
            <v/>
          </cell>
        </row>
        <row r="2560">
          <cell r="D2560" t="str">
            <v/>
          </cell>
          <cell r="H2560" t="str">
            <v/>
          </cell>
          <cell r="J2560" t="str">
            <v/>
          </cell>
        </row>
        <row r="2561">
          <cell r="C2561" t="str">
            <v>OBSERVAÇÕES:</v>
          </cell>
          <cell r="F2561" t="str">
            <v>CUSTO UNITÁRIO DE TRANSPORTE - (F)</v>
          </cell>
          <cell r="J2561">
            <v>0</v>
          </cell>
        </row>
        <row r="2562">
          <cell r="F2562" t="str">
            <v>CUSTO UNITÁRIO DIRETO TOTAL</v>
          </cell>
          <cell r="J2562">
            <v>23</v>
          </cell>
        </row>
        <row r="2563">
          <cell r="F2563" t="str">
            <v xml:space="preserve">BONIFICAÇÃO </v>
          </cell>
          <cell r="H2563">
            <v>0</v>
          </cell>
          <cell r="J2563">
            <v>0</v>
          </cell>
        </row>
        <row r="2564">
          <cell r="F2564" t="str">
            <v>PREÇO UNITÁRIO  TOTAL</v>
          </cell>
          <cell r="J2564">
            <v>23</v>
          </cell>
        </row>
        <row r="2568">
          <cell r="A2568" t="str">
            <v>1 A 01 891 01</v>
          </cell>
          <cell r="C2568" t="str">
            <v>SERVIÇO:</v>
          </cell>
          <cell r="D2568" t="str">
            <v>Escavação manual de vala em material de 1ª categoria</v>
          </cell>
          <cell r="F2568" t="str">
            <v>PRODUÇÃO DA EQUIPE - (C):</v>
          </cell>
          <cell r="J2568">
            <v>1</v>
          </cell>
          <cell r="K2568" t="str">
            <v>M³</v>
          </cell>
          <cell r="M2568">
            <v>32.01</v>
          </cell>
        </row>
        <row r="2569">
          <cell r="F2569" t="str">
            <v>UNITÁRIO</v>
          </cell>
          <cell r="H2569" t="str">
            <v>C. OPERACIONAL</v>
          </cell>
        </row>
        <row r="2570">
          <cell r="C2570" t="str">
            <v>ÍTEM</v>
          </cell>
          <cell r="D2570" t="str">
            <v>E Q U I P A M E N T O</v>
          </cell>
          <cell r="E2570" t="str">
            <v>QUANT.</v>
          </cell>
          <cell r="F2570" t="str">
            <v>PROD</v>
          </cell>
          <cell r="G2570" t="str">
            <v>IMPROD</v>
          </cell>
          <cell r="H2570" t="str">
            <v>PROD</v>
          </cell>
          <cell r="I2570" t="str">
            <v>IMPROD</v>
          </cell>
          <cell r="J2570" t="str">
            <v>CUSTO HORÁRIO</v>
          </cell>
        </row>
        <row r="2571">
          <cell r="D2571" t="str">
            <v/>
          </cell>
          <cell r="G2571" t="str">
            <v/>
          </cell>
          <cell r="H2571" t="str">
            <v/>
          </cell>
          <cell r="I2571" t="str">
            <v/>
          </cell>
          <cell r="J2571" t="str">
            <v/>
          </cell>
        </row>
        <row r="2572">
          <cell r="D2572" t="str">
            <v/>
          </cell>
          <cell r="G2572" t="str">
            <v/>
          </cell>
          <cell r="H2572" t="str">
            <v/>
          </cell>
          <cell r="I2572" t="str">
            <v/>
          </cell>
          <cell r="J2572" t="str">
            <v/>
          </cell>
        </row>
        <row r="2573">
          <cell r="D2573" t="str">
            <v/>
          </cell>
          <cell r="G2573" t="str">
            <v/>
          </cell>
          <cell r="H2573" t="str">
            <v/>
          </cell>
          <cell r="I2573" t="str">
            <v/>
          </cell>
          <cell r="J2573" t="str">
            <v/>
          </cell>
        </row>
        <row r="2574">
          <cell r="D2574" t="str">
            <v/>
          </cell>
          <cell r="G2574" t="str">
            <v/>
          </cell>
          <cell r="H2574" t="str">
            <v/>
          </cell>
          <cell r="I2574" t="str">
            <v/>
          </cell>
          <cell r="J2574" t="str">
            <v/>
          </cell>
        </row>
        <row r="2575">
          <cell r="D2575" t="str">
            <v/>
          </cell>
          <cell r="G2575" t="str">
            <v/>
          </cell>
          <cell r="H2575" t="str">
            <v/>
          </cell>
          <cell r="I2575" t="str">
            <v/>
          </cell>
          <cell r="J2575" t="str">
            <v/>
          </cell>
        </row>
        <row r="2576">
          <cell r="D2576" t="str">
            <v/>
          </cell>
          <cell r="G2576" t="str">
            <v/>
          </cell>
          <cell r="H2576" t="str">
            <v/>
          </cell>
          <cell r="I2576" t="str">
            <v/>
          </cell>
          <cell r="J2576" t="str">
            <v/>
          </cell>
        </row>
        <row r="2577">
          <cell r="D2577" t="str">
            <v/>
          </cell>
          <cell r="G2577" t="str">
            <v/>
          </cell>
          <cell r="H2577" t="str">
            <v/>
          </cell>
          <cell r="I2577" t="str">
            <v/>
          </cell>
          <cell r="J2577" t="str">
            <v/>
          </cell>
        </row>
        <row r="2578">
          <cell r="F2578" t="str">
            <v>CUSTO HORÁRIO DO EQUIPAMENTO - (A)</v>
          </cell>
          <cell r="J2578">
            <v>0</v>
          </cell>
        </row>
        <row r="2579">
          <cell r="C2579" t="str">
            <v>ÍTEM</v>
          </cell>
          <cell r="D2579" t="str">
            <v>M Ã O    D E   O B R A</v>
          </cell>
          <cell r="E2579" t="str">
            <v>QUANT.</v>
          </cell>
          <cell r="F2579" t="str">
            <v>SALÁRIO HORA</v>
          </cell>
          <cell r="J2579" t="str">
            <v>CUSTO HORÁRIO</v>
          </cell>
        </row>
        <row r="2580">
          <cell r="C2580" t="str">
            <v>T501</v>
          </cell>
          <cell r="D2580" t="str">
            <v>Encarregado de turma</v>
          </cell>
          <cell r="E2580">
            <v>0.1</v>
          </cell>
          <cell r="F2580">
            <v>21.11</v>
          </cell>
          <cell r="G2580" t="e">
            <v>#N/A</v>
          </cell>
          <cell r="H2580" t="e">
            <v>#N/A</v>
          </cell>
          <cell r="I2580" t="e">
            <v>#N/A</v>
          </cell>
          <cell r="J2580">
            <v>2.11</v>
          </cell>
        </row>
        <row r="2581">
          <cell r="C2581" t="str">
            <v>T701</v>
          </cell>
          <cell r="D2581" t="str">
            <v>Servente</v>
          </cell>
          <cell r="E2581">
            <v>3.5</v>
          </cell>
          <cell r="F2581">
            <v>6.99</v>
          </cell>
          <cell r="G2581" t="e">
            <v>#N/A</v>
          </cell>
          <cell r="H2581" t="e">
            <v>#N/A</v>
          </cell>
          <cell r="I2581" t="e">
            <v>#N/A</v>
          </cell>
          <cell r="J2581">
            <v>24.46</v>
          </cell>
        </row>
        <row r="2582">
          <cell r="D2582" t="str">
            <v/>
          </cell>
          <cell r="F2582" t="str">
            <v/>
          </cell>
          <cell r="G2582" t="str">
            <v/>
          </cell>
          <cell r="H2582" t="str">
            <v/>
          </cell>
          <cell r="I2582" t="str">
            <v/>
          </cell>
          <cell r="J2582" t="str">
            <v/>
          </cell>
        </row>
        <row r="2583">
          <cell r="D2583" t="str">
            <v/>
          </cell>
          <cell r="F2583" t="str">
            <v/>
          </cell>
          <cell r="G2583" t="str">
            <v/>
          </cell>
          <cell r="H2583" t="str">
            <v/>
          </cell>
          <cell r="I2583" t="str">
            <v/>
          </cell>
          <cell r="J2583" t="str">
            <v/>
          </cell>
        </row>
        <row r="2584">
          <cell r="D2584" t="str">
            <v/>
          </cell>
          <cell r="F2584" t="str">
            <v/>
          </cell>
          <cell r="G2584" t="str">
            <v/>
          </cell>
          <cell r="H2584" t="str">
            <v/>
          </cell>
          <cell r="I2584" t="str">
            <v/>
          </cell>
          <cell r="J2584" t="str">
            <v/>
          </cell>
        </row>
        <row r="2585">
          <cell r="F2585" t="str">
            <v>CUSTO HORÁRIO DE MÃO DE OBRA - (B)</v>
          </cell>
          <cell r="J2585">
            <v>26.57</v>
          </cell>
        </row>
        <row r="2586">
          <cell r="F2586" t="str">
            <v>FERRAMENTAS</v>
          </cell>
          <cell r="H2586">
            <v>0.2051</v>
          </cell>
          <cell r="J2586">
            <v>5.44</v>
          </cell>
        </row>
        <row r="2587">
          <cell r="F2587" t="str">
            <v>CUSTO HORÁRIO TOTAL - (A + B)</v>
          </cell>
          <cell r="J2587">
            <v>32.01</v>
          </cell>
        </row>
        <row r="2588">
          <cell r="F2588" t="str">
            <v>CUSTO UNITÁRIO DE EXECUÇÃO - (D)</v>
          </cell>
          <cell r="J2588">
            <v>32.01</v>
          </cell>
        </row>
        <row r="2589">
          <cell r="C2589" t="str">
            <v>ÍTEM</v>
          </cell>
          <cell r="D2589" t="str">
            <v>M A T E R I A L</v>
          </cell>
          <cell r="E2589" t="str">
            <v>UNID</v>
          </cell>
          <cell r="F2589" t="str">
            <v>CONSUMO</v>
          </cell>
          <cell r="H2589" t="str">
            <v xml:space="preserve"> PREÇO UNITÁRIO</v>
          </cell>
          <cell r="J2589" t="str">
            <v>CUSTO UNITÁRIO</v>
          </cell>
        </row>
        <row r="2590">
          <cell r="D2590" t="str">
            <v/>
          </cell>
          <cell r="E2590" t="str">
            <v/>
          </cell>
          <cell r="H2590" t="str">
            <v/>
          </cell>
          <cell r="I2590" t="str">
            <v/>
          </cell>
        </row>
        <row r="2591">
          <cell r="D2591" t="str">
            <v/>
          </cell>
          <cell r="E2591" t="str">
            <v/>
          </cell>
          <cell r="J2591">
            <v>0</v>
          </cell>
        </row>
        <row r="2592">
          <cell r="D2592" t="str">
            <v/>
          </cell>
          <cell r="E2592" t="str">
            <v/>
          </cell>
          <cell r="J2592">
            <v>0</v>
          </cell>
        </row>
        <row r="2593">
          <cell r="D2593" t="str">
            <v/>
          </cell>
          <cell r="E2593" t="str">
            <v/>
          </cell>
          <cell r="J2593">
            <v>0</v>
          </cell>
        </row>
        <row r="2594">
          <cell r="D2594" t="str">
            <v/>
          </cell>
          <cell r="E2594" t="str">
            <v/>
          </cell>
          <cell r="J2594">
            <v>0</v>
          </cell>
        </row>
        <row r="2595">
          <cell r="F2595" t="str">
            <v>CUSTO TOTAL DE MATERIAL - (E)</v>
          </cell>
          <cell r="J2595">
            <v>0</v>
          </cell>
        </row>
        <row r="2596">
          <cell r="C2596" t="str">
            <v>CODIGO</v>
          </cell>
          <cell r="D2596" t="str">
            <v>ATIVIDADES AUXILIARES</v>
          </cell>
          <cell r="E2596" t="str">
            <v>UND</v>
          </cell>
          <cell r="F2596" t="str">
            <v>QUANTIDADE</v>
          </cell>
          <cell r="H2596" t="str">
            <v>CUSTO UNITÁRIO</v>
          </cell>
          <cell r="J2596" t="str">
            <v>CUSTO UNITÁRIO</v>
          </cell>
        </row>
        <row r="2597">
          <cell r="D2597" t="str">
            <v/>
          </cell>
          <cell r="E2597" t="str">
            <v/>
          </cell>
          <cell r="H2597" t="str">
            <v/>
          </cell>
          <cell r="J2597" t="str">
            <v/>
          </cell>
        </row>
        <row r="2598">
          <cell r="D2598" t="str">
            <v/>
          </cell>
          <cell r="E2598" t="str">
            <v/>
          </cell>
          <cell r="H2598" t="str">
            <v/>
          </cell>
          <cell r="J2598" t="str">
            <v/>
          </cell>
        </row>
        <row r="2599">
          <cell r="D2599" t="str">
            <v/>
          </cell>
          <cell r="E2599" t="str">
            <v/>
          </cell>
          <cell r="H2599" t="str">
            <v/>
          </cell>
          <cell r="J2599" t="str">
            <v/>
          </cell>
        </row>
        <row r="2600">
          <cell r="D2600" t="str">
            <v/>
          </cell>
          <cell r="E2600" t="str">
            <v/>
          </cell>
          <cell r="H2600" t="str">
            <v/>
          </cell>
          <cell r="J2600" t="str">
            <v/>
          </cell>
        </row>
        <row r="2601">
          <cell r="D2601" t="str">
            <v/>
          </cell>
          <cell r="H2601" t="str">
            <v/>
          </cell>
          <cell r="J2601" t="str">
            <v/>
          </cell>
        </row>
        <row r="2602">
          <cell r="C2602" t="str">
            <v>OBSERVAÇÕES:</v>
          </cell>
          <cell r="F2602" t="str">
            <v>CUSTO ATIVIDADES AUXILIARES - (F)</v>
          </cell>
          <cell r="J2602">
            <v>0</v>
          </cell>
        </row>
        <row r="2603">
          <cell r="F2603" t="str">
            <v>CUSTO UNITÁRIO DIRETO TOTAL</v>
          </cell>
          <cell r="J2603">
            <v>32.01</v>
          </cell>
        </row>
        <row r="2604">
          <cell r="F2604" t="str">
            <v xml:space="preserve">BONIFICAÇÃO </v>
          </cell>
          <cell r="H2604">
            <v>0</v>
          </cell>
          <cell r="J2604">
            <v>0</v>
          </cell>
        </row>
        <row r="2605">
          <cell r="F2605" t="str">
            <v>PREÇO UNITÁRIO  TOTAL</v>
          </cell>
          <cell r="J2605">
            <v>32.01</v>
          </cell>
        </row>
        <row r="2609">
          <cell r="A2609" t="str">
            <v>1 A 01 893 01</v>
          </cell>
          <cell r="C2609" t="str">
            <v>SERVIÇO:</v>
          </cell>
          <cell r="D2609" t="str">
            <v xml:space="preserve"> Compactação manual</v>
          </cell>
          <cell r="F2609" t="str">
            <v>PRODUÇÃO DA EQUIPE - (C):</v>
          </cell>
          <cell r="J2609">
            <v>1.5</v>
          </cell>
          <cell r="K2609" t="str">
            <v>m³</v>
          </cell>
          <cell r="M2609">
            <v>11.72</v>
          </cell>
        </row>
        <row r="2610">
          <cell r="F2610" t="str">
            <v>UNITÁRIO</v>
          </cell>
          <cell r="H2610" t="str">
            <v>C. OPERACIONAL</v>
          </cell>
        </row>
        <row r="2611">
          <cell r="C2611" t="str">
            <v>ÍTEM</v>
          </cell>
          <cell r="D2611" t="str">
            <v>E Q U I P A M E N T O</v>
          </cell>
          <cell r="E2611" t="str">
            <v>QUANT.</v>
          </cell>
          <cell r="F2611" t="str">
            <v>PROD</v>
          </cell>
          <cell r="G2611" t="str">
            <v>IMPROD</v>
          </cell>
          <cell r="H2611" t="str">
            <v>PROD</v>
          </cell>
          <cell r="I2611" t="str">
            <v>IMPROD</v>
          </cell>
          <cell r="J2611" t="str">
            <v>CUSTO HORÁRIO</v>
          </cell>
        </row>
        <row r="2612">
          <cell r="C2612" t="str">
            <v>E906</v>
          </cell>
          <cell r="D2612" t="str">
            <v xml:space="preserve"> Compactador Manual : Wacker : ES600 -  soquete vibratório </v>
          </cell>
          <cell r="E2612">
            <v>1</v>
          </cell>
          <cell r="F2612">
            <v>1</v>
          </cell>
          <cell r="G2612">
            <v>0</v>
          </cell>
          <cell r="H2612">
            <v>17.59</v>
          </cell>
          <cell r="I2612">
            <v>15.36</v>
          </cell>
          <cell r="J2612">
            <v>17.59</v>
          </cell>
        </row>
        <row r="2613">
          <cell r="D2613" t="str">
            <v/>
          </cell>
          <cell r="G2613" t="str">
            <v/>
          </cell>
          <cell r="H2613" t="str">
            <v/>
          </cell>
          <cell r="I2613" t="str">
            <v/>
          </cell>
          <cell r="J2613" t="str">
            <v/>
          </cell>
        </row>
        <row r="2614">
          <cell r="D2614" t="str">
            <v/>
          </cell>
          <cell r="G2614" t="str">
            <v/>
          </cell>
          <cell r="H2614" t="str">
            <v/>
          </cell>
          <cell r="I2614" t="str">
            <v/>
          </cell>
          <cell r="J2614" t="str">
            <v/>
          </cell>
        </row>
        <row r="2615">
          <cell r="D2615" t="str">
            <v/>
          </cell>
          <cell r="G2615" t="str">
            <v/>
          </cell>
          <cell r="H2615" t="str">
            <v/>
          </cell>
          <cell r="I2615" t="str">
            <v/>
          </cell>
          <cell r="J2615" t="str">
            <v/>
          </cell>
        </row>
        <row r="2616">
          <cell r="D2616" t="str">
            <v/>
          </cell>
          <cell r="G2616" t="str">
            <v/>
          </cell>
          <cell r="H2616" t="str">
            <v/>
          </cell>
          <cell r="I2616" t="str">
            <v/>
          </cell>
          <cell r="J2616" t="str">
            <v/>
          </cell>
        </row>
        <row r="2617">
          <cell r="F2617" t="str">
            <v>CUSTO HORÁRIO DO EQUIPAMENTO - (A)</v>
          </cell>
          <cell r="J2617">
            <v>17.59</v>
          </cell>
        </row>
        <row r="2618">
          <cell r="C2618" t="str">
            <v>ÍTEM</v>
          </cell>
          <cell r="D2618" t="str">
            <v>M Ã O    D E   O B R A</v>
          </cell>
          <cell r="E2618" t="str">
            <v>QUANT.</v>
          </cell>
          <cell r="F2618" t="str">
            <v>SALÁRIO HORA</v>
          </cell>
          <cell r="J2618" t="str">
            <v>CUSTO HORÁRIO</v>
          </cell>
        </row>
        <row r="2619">
          <cell r="D2619" t="str">
            <v/>
          </cell>
          <cell r="E2619">
            <v>0.21</v>
          </cell>
          <cell r="F2619" t="str">
            <v/>
          </cell>
          <cell r="G2619" t="str">
            <v/>
          </cell>
          <cell r="H2619" t="str">
            <v/>
          </cell>
          <cell r="I2619" t="str">
            <v/>
          </cell>
          <cell r="J2619" t="str">
            <v/>
          </cell>
        </row>
        <row r="2620">
          <cell r="D2620" t="str">
            <v/>
          </cell>
          <cell r="F2620" t="str">
            <v/>
          </cell>
          <cell r="G2620" t="str">
            <v/>
          </cell>
          <cell r="H2620" t="str">
            <v/>
          </cell>
          <cell r="I2620" t="str">
            <v/>
          </cell>
          <cell r="J2620" t="str">
            <v/>
          </cell>
        </row>
        <row r="2621">
          <cell r="D2621" t="str">
            <v/>
          </cell>
          <cell r="F2621" t="str">
            <v/>
          </cell>
          <cell r="G2621" t="str">
            <v/>
          </cell>
          <cell r="H2621" t="str">
            <v/>
          </cell>
          <cell r="I2621" t="str">
            <v/>
          </cell>
          <cell r="J2621" t="str">
            <v/>
          </cell>
        </row>
        <row r="2622">
          <cell r="D2622" t="str">
            <v/>
          </cell>
          <cell r="F2622" t="str">
            <v/>
          </cell>
          <cell r="G2622" t="str">
            <v/>
          </cell>
          <cell r="H2622" t="str">
            <v/>
          </cell>
          <cell r="I2622" t="str">
            <v/>
          </cell>
          <cell r="J2622" t="str">
            <v/>
          </cell>
        </row>
        <row r="2623">
          <cell r="D2623" t="str">
            <v/>
          </cell>
          <cell r="F2623" t="str">
            <v/>
          </cell>
          <cell r="G2623" t="str">
            <v/>
          </cell>
          <cell r="H2623" t="str">
            <v/>
          </cell>
          <cell r="I2623" t="str">
            <v/>
          </cell>
          <cell r="J2623" t="str">
            <v/>
          </cell>
        </row>
        <row r="2624">
          <cell r="F2624" t="str">
            <v>CUSTO HORÁRIO DE MÃO DE OBRA - (B)</v>
          </cell>
          <cell r="J2624">
            <v>0</v>
          </cell>
        </row>
        <row r="2625">
          <cell r="F2625" t="str">
            <v>FERRAMENTAS</v>
          </cell>
          <cell r="H2625">
            <v>0.2051</v>
          </cell>
          <cell r="J2625">
            <v>0</v>
          </cell>
        </row>
        <row r="2626">
          <cell r="F2626" t="str">
            <v>CUSTO HORÁRIO TOTAL - (A + B)</v>
          </cell>
          <cell r="J2626">
            <v>17.59</v>
          </cell>
        </row>
        <row r="2627">
          <cell r="F2627" t="str">
            <v>CUSTO UNITÁRIO DE EXECUÇÃO - (D)</v>
          </cell>
          <cell r="J2627">
            <v>11.72</v>
          </cell>
        </row>
        <row r="2628">
          <cell r="C2628" t="str">
            <v>ÍTEM</v>
          </cell>
          <cell r="D2628" t="str">
            <v>M A T E R I A L</v>
          </cell>
          <cell r="E2628" t="str">
            <v>UNID</v>
          </cell>
          <cell r="F2628" t="str">
            <v>CONSUMO</v>
          </cell>
          <cell r="H2628" t="str">
            <v xml:space="preserve"> PREÇO UNITÁRIO</v>
          </cell>
          <cell r="J2628" t="str">
            <v>CUSTO UNITÁRIO</v>
          </cell>
        </row>
        <row r="2629">
          <cell r="D2629" t="str">
            <v/>
          </cell>
          <cell r="E2629" t="str">
            <v/>
          </cell>
          <cell r="F2629">
            <v>0.34499999999999997</v>
          </cell>
          <cell r="H2629" t="str">
            <v/>
          </cell>
          <cell r="I2629" t="str">
            <v/>
          </cell>
          <cell r="J2629" t="str">
            <v/>
          </cell>
        </row>
        <row r="2630">
          <cell r="D2630" t="str">
            <v/>
          </cell>
          <cell r="E2630" t="str">
            <v/>
          </cell>
          <cell r="H2630" t="str">
            <v/>
          </cell>
          <cell r="I2630" t="str">
            <v/>
          </cell>
          <cell r="J2630" t="str">
            <v/>
          </cell>
        </row>
        <row r="2631">
          <cell r="D2631" t="str">
            <v/>
          </cell>
          <cell r="E2631" t="str">
            <v/>
          </cell>
          <cell r="H2631" t="str">
            <v/>
          </cell>
          <cell r="I2631" t="str">
            <v/>
          </cell>
          <cell r="J2631" t="str">
            <v/>
          </cell>
        </row>
        <row r="2632">
          <cell r="D2632" t="str">
            <v/>
          </cell>
          <cell r="E2632" t="str">
            <v/>
          </cell>
          <cell r="H2632" t="str">
            <v/>
          </cell>
          <cell r="I2632" t="str">
            <v/>
          </cell>
          <cell r="J2632" t="str">
            <v/>
          </cell>
        </row>
        <row r="2633">
          <cell r="D2633" t="str">
            <v/>
          </cell>
          <cell r="E2633" t="str">
            <v/>
          </cell>
          <cell r="H2633" t="str">
            <v/>
          </cell>
          <cell r="I2633" t="str">
            <v/>
          </cell>
          <cell r="J2633" t="str">
            <v/>
          </cell>
        </row>
        <row r="2634">
          <cell r="F2634" t="str">
            <v>CUSTO TOTAL DE MATERIAL - (E)</v>
          </cell>
          <cell r="J2634">
            <v>0</v>
          </cell>
        </row>
        <row r="2635">
          <cell r="C2635" t="str">
            <v>CODIGO</v>
          </cell>
          <cell r="D2635" t="str">
            <v>ATIVIDADES AUXILIARES</v>
          </cell>
          <cell r="E2635" t="str">
            <v>UND</v>
          </cell>
          <cell r="F2635" t="str">
            <v>QUANTIDADE</v>
          </cell>
          <cell r="H2635" t="str">
            <v>CUSTO UNITÁRIO</v>
          </cell>
          <cell r="J2635" t="str">
            <v>CUSTO UNITÁRIO</v>
          </cell>
        </row>
        <row r="2636">
          <cell r="D2636" t="str">
            <v/>
          </cell>
          <cell r="E2636" t="str">
            <v/>
          </cell>
          <cell r="H2636" t="str">
            <v/>
          </cell>
          <cell r="J2636" t="str">
            <v/>
          </cell>
        </row>
        <row r="2637">
          <cell r="D2637" t="str">
            <v/>
          </cell>
          <cell r="E2637" t="str">
            <v/>
          </cell>
          <cell r="H2637" t="str">
            <v/>
          </cell>
          <cell r="J2637" t="str">
            <v/>
          </cell>
        </row>
        <row r="2638">
          <cell r="D2638" t="str">
            <v/>
          </cell>
          <cell r="E2638" t="str">
            <v/>
          </cell>
          <cell r="H2638" t="str">
            <v/>
          </cell>
          <cell r="J2638" t="str">
            <v/>
          </cell>
        </row>
        <row r="2639">
          <cell r="D2639" t="str">
            <v/>
          </cell>
          <cell r="E2639" t="str">
            <v/>
          </cell>
          <cell r="H2639" t="str">
            <v/>
          </cell>
          <cell r="J2639" t="str">
            <v/>
          </cell>
        </row>
        <row r="2640">
          <cell r="D2640" t="str">
            <v/>
          </cell>
          <cell r="H2640" t="str">
            <v/>
          </cell>
          <cell r="J2640" t="str">
            <v/>
          </cell>
        </row>
        <row r="2641">
          <cell r="C2641" t="str">
            <v>OBSERVAÇÕES:</v>
          </cell>
          <cell r="F2641" t="str">
            <v>CUSTO ATIVIDADES AUXILIARES - (F)</v>
          </cell>
          <cell r="J2641">
            <v>0</v>
          </cell>
        </row>
        <row r="2642">
          <cell r="F2642" t="str">
            <v>CUSTO UNITÁRIO DIRETO TOTAL</v>
          </cell>
          <cell r="J2642">
            <v>11.72</v>
          </cell>
        </row>
        <row r="2643">
          <cell r="F2643" t="str">
            <v xml:space="preserve">BONIFICAÇÃO </v>
          </cell>
          <cell r="H2643">
            <v>0</v>
          </cell>
          <cell r="J2643">
            <v>0</v>
          </cell>
        </row>
        <row r="2644">
          <cell r="F2644" t="str">
            <v>PREÇO UNITÁRIO  TOTAL</v>
          </cell>
          <cell r="J2644">
            <v>11.72</v>
          </cell>
        </row>
        <row r="2648">
          <cell r="A2648" t="str">
            <v>1 A 01 894 02</v>
          </cell>
          <cell r="C2648" t="str">
            <v>SERVIÇO:</v>
          </cell>
          <cell r="D2648" t="str">
            <v>Lastro de brita (Brita Comercial)</v>
          </cell>
          <cell r="F2648" t="str">
            <v>PRODUÇÃO DA EQUIPE - (C):</v>
          </cell>
          <cell r="J2648">
            <v>3</v>
          </cell>
          <cell r="K2648" t="str">
            <v>m³</v>
          </cell>
          <cell r="M2648">
            <v>94.61</v>
          </cell>
        </row>
        <row r="2649">
          <cell r="F2649" t="str">
            <v>UNITÁRIO</v>
          </cell>
          <cell r="H2649" t="str">
            <v>C. OPERACIONAL</v>
          </cell>
        </row>
        <row r="2650">
          <cell r="C2650" t="str">
            <v>ÍTEM</v>
          </cell>
          <cell r="D2650" t="str">
            <v>E Q U I P A M E N T O</v>
          </cell>
          <cell r="E2650" t="str">
            <v>QUANT.</v>
          </cell>
          <cell r="F2650" t="str">
            <v>PROD</v>
          </cell>
          <cell r="G2650" t="str">
            <v>IMPROD</v>
          </cell>
          <cell r="H2650" t="str">
            <v>PROD</v>
          </cell>
          <cell r="I2650" t="str">
            <v>IMPROD</v>
          </cell>
          <cell r="J2650" t="str">
            <v>CUSTO HORÁRIO</v>
          </cell>
        </row>
        <row r="2651">
          <cell r="C2651" t="str">
            <v>E906</v>
          </cell>
          <cell r="D2651" t="str">
            <v xml:space="preserve"> Compactador Manual : Wacker : ES600 -  soquete vibratório </v>
          </cell>
          <cell r="E2651">
            <v>1</v>
          </cell>
          <cell r="F2651">
            <v>0.24</v>
          </cell>
          <cell r="G2651">
            <v>0.76</v>
          </cell>
          <cell r="H2651">
            <v>17.59</v>
          </cell>
          <cell r="I2651">
            <v>15.36</v>
          </cell>
          <cell r="J2651">
            <v>15.89</v>
          </cell>
        </row>
        <row r="2652">
          <cell r="D2652" t="str">
            <v/>
          </cell>
          <cell r="G2652" t="str">
            <v/>
          </cell>
          <cell r="H2652" t="str">
            <v/>
          </cell>
          <cell r="I2652" t="str">
            <v/>
          </cell>
          <cell r="J2652" t="str">
            <v/>
          </cell>
        </row>
        <row r="2653">
          <cell r="D2653" t="str">
            <v/>
          </cell>
          <cell r="G2653" t="str">
            <v/>
          </cell>
          <cell r="H2653" t="str">
            <v/>
          </cell>
          <cell r="I2653" t="str">
            <v/>
          </cell>
          <cell r="J2653" t="str">
            <v/>
          </cell>
        </row>
        <row r="2654">
          <cell r="D2654" t="str">
            <v/>
          </cell>
          <cell r="G2654" t="str">
            <v/>
          </cell>
          <cell r="H2654" t="str">
            <v/>
          </cell>
          <cell r="I2654" t="str">
            <v/>
          </cell>
          <cell r="J2654" t="str">
            <v/>
          </cell>
        </row>
        <row r="2655">
          <cell r="D2655" t="str">
            <v/>
          </cell>
          <cell r="G2655" t="str">
            <v/>
          </cell>
          <cell r="H2655" t="str">
            <v/>
          </cell>
          <cell r="I2655" t="str">
            <v/>
          </cell>
          <cell r="J2655" t="str">
            <v/>
          </cell>
        </row>
        <row r="2656">
          <cell r="F2656" t="str">
            <v>CUSTO HORÁRIO DO EQUIPAMENTO - (A)</v>
          </cell>
          <cell r="J2656">
            <v>15.89</v>
          </cell>
        </row>
        <row r="2657">
          <cell r="C2657" t="str">
            <v>ÍTEM</v>
          </cell>
          <cell r="D2657" t="str">
            <v/>
          </cell>
          <cell r="E2657" t="str">
            <v>QUANT.</v>
          </cell>
          <cell r="F2657" t="str">
            <v>SALÁRIO HORA</v>
          </cell>
          <cell r="J2657" t="str">
            <v>CUSTO HORÁRIO</v>
          </cell>
        </row>
        <row r="2658">
          <cell r="C2658" t="str">
            <v>T501</v>
          </cell>
          <cell r="D2658" t="str">
            <v>Encarregado de turma</v>
          </cell>
          <cell r="E2658">
            <v>0.1</v>
          </cell>
          <cell r="F2658">
            <v>21.11</v>
          </cell>
          <cell r="G2658" t="e">
            <v>#N/A</v>
          </cell>
          <cell r="H2658" t="e">
            <v>#N/A</v>
          </cell>
          <cell r="I2658" t="e">
            <v>#N/A</v>
          </cell>
          <cell r="J2658">
            <v>2.11</v>
          </cell>
        </row>
        <row r="2659">
          <cell r="C2659" t="str">
            <v>T701</v>
          </cell>
          <cell r="D2659" t="str">
            <v>Servente</v>
          </cell>
          <cell r="E2659">
            <v>0.5</v>
          </cell>
          <cell r="F2659">
            <v>6.99</v>
          </cell>
          <cell r="G2659" t="e">
            <v>#N/A</v>
          </cell>
          <cell r="H2659" t="e">
            <v>#N/A</v>
          </cell>
          <cell r="I2659" t="e">
            <v>#N/A</v>
          </cell>
          <cell r="J2659">
            <v>3.49</v>
          </cell>
        </row>
        <row r="2660">
          <cell r="D2660" t="str">
            <v/>
          </cell>
          <cell r="F2660" t="str">
            <v/>
          </cell>
          <cell r="G2660" t="str">
            <v/>
          </cell>
          <cell r="H2660" t="str">
            <v/>
          </cell>
          <cell r="I2660" t="str">
            <v/>
          </cell>
          <cell r="J2660" t="str">
            <v/>
          </cell>
        </row>
        <row r="2661">
          <cell r="D2661" t="str">
            <v/>
          </cell>
          <cell r="F2661" t="str">
            <v/>
          </cell>
          <cell r="G2661" t="str">
            <v/>
          </cell>
          <cell r="H2661" t="str">
            <v/>
          </cell>
          <cell r="I2661" t="str">
            <v/>
          </cell>
          <cell r="J2661" t="str">
            <v/>
          </cell>
        </row>
        <row r="2662">
          <cell r="D2662" t="str">
            <v/>
          </cell>
          <cell r="F2662" t="str">
            <v/>
          </cell>
          <cell r="G2662" t="str">
            <v/>
          </cell>
          <cell r="H2662" t="str">
            <v/>
          </cell>
          <cell r="I2662" t="str">
            <v/>
          </cell>
          <cell r="J2662" t="str">
            <v/>
          </cell>
        </row>
        <row r="2663">
          <cell r="F2663" t="str">
            <v>CUSTO HORÁRIO DE MÃO DE OBRA - (B)</v>
          </cell>
          <cell r="J2663">
            <v>5.6</v>
          </cell>
        </row>
        <row r="2664">
          <cell r="F2664" t="str">
            <v>FERRAMENTAS</v>
          </cell>
          <cell r="H2664">
            <v>0.05</v>
          </cell>
          <cell r="J2664">
            <v>0.28000000000000003</v>
          </cell>
        </row>
        <row r="2665">
          <cell r="F2665" t="str">
            <v>CUSTO HORÁRIO TOTAL - (A + B)</v>
          </cell>
          <cell r="J2665">
            <v>21.77</v>
          </cell>
        </row>
        <row r="2666">
          <cell r="F2666" t="str">
            <v>CUSTO UNITÁRIO DE EXECUÇÃO - (D)</v>
          </cell>
          <cell r="J2666">
            <v>7.25</v>
          </cell>
        </row>
        <row r="2667">
          <cell r="C2667" t="str">
            <v>ÍTEM</v>
          </cell>
          <cell r="D2667" t="str">
            <v>M A T E R I A L</v>
          </cell>
          <cell r="E2667" t="str">
            <v>UNID</v>
          </cell>
          <cell r="F2667" t="str">
            <v>CONSUMO</v>
          </cell>
          <cell r="H2667" t="str">
            <v xml:space="preserve"> PREÇO UNITÁRIO</v>
          </cell>
          <cell r="J2667" t="str">
            <v>CUSTO UNITÁRIO</v>
          </cell>
        </row>
        <row r="2668">
          <cell r="C2668">
            <v>10323</v>
          </cell>
          <cell r="D2668" t="str">
            <v>Brita Comercial DMT até 50 km</v>
          </cell>
          <cell r="E2668" t="str">
            <v>m³</v>
          </cell>
          <cell r="F2668">
            <v>1.2</v>
          </cell>
          <cell r="H2668">
            <v>72.8</v>
          </cell>
          <cell r="I2668" t="str">
            <v/>
          </cell>
          <cell r="J2668">
            <v>87.36</v>
          </cell>
        </row>
        <row r="2669">
          <cell r="D2669" t="str">
            <v/>
          </cell>
          <cell r="E2669" t="str">
            <v/>
          </cell>
          <cell r="H2669" t="str">
            <v/>
          </cell>
          <cell r="I2669" t="str">
            <v/>
          </cell>
          <cell r="J2669" t="str">
            <v/>
          </cell>
        </row>
        <row r="2670">
          <cell r="D2670" t="str">
            <v/>
          </cell>
          <cell r="E2670" t="str">
            <v/>
          </cell>
          <cell r="H2670" t="str">
            <v/>
          </cell>
          <cell r="I2670" t="str">
            <v/>
          </cell>
          <cell r="J2670" t="str">
            <v/>
          </cell>
        </row>
        <row r="2671">
          <cell r="D2671" t="str">
            <v/>
          </cell>
          <cell r="E2671" t="str">
            <v/>
          </cell>
          <cell r="H2671" t="str">
            <v/>
          </cell>
          <cell r="I2671" t="str">
            <v/>
          </cell>
          <cell r="J2671" t="str">
            <v/>
          </cell>
        </row>
        <row r="2672">
          <cell r="D2672" t="str">
            <v/>
          </cell>
          <cell r="E2672" t="str">
            <v/>
          </cell>
          <cell r="H2672" t="str">
            <v/>
          </cell>
          <cell r="I2672" t="str">
            <v/>
          </cell>
          <cell r="J2672" t="str">
            <v/>
          </cell>
        </row>
        <row r="2673">
          <cell r="F2673" t="str">
            <v>CUSTO TOTAL DE MATERIAL - (E)</v>
          </cell>
          <cell r="J2673">
            <v>87.36</v>
          </cell>
        </row>
        <row r="2674">
          <cell r="C2674" t="str">
            <v>CODIGO</v>
          </cell>
          <cell r="D2674" t="str">
            <v>ATIVIDADES AUXILIARES</v>
          </cell>
          <cell r="E2674" t="str">
            <v>UND</v>
          </cell>
          <cell r="F2674" t="str">
            <v>QUANTIDADE</v>
          </cell>
          <cell r="H2674" t="str">
            <v>CUSTO UNITÁRIO</v>
          </cell>
          <cell r="J2674" t="str">
            <v>CUSTO UNITÁRIO</v>
          </cell>
        </row>
        <row r="2675">
          <cell r="D2675" t="str">
            <v/>
          </cell>
          <cell r="E2675" t="str">
            <v/>
          </cell>
          <cell r="H2675" t="str">
            <v/>
          </cell>
          <cell r="J2675" t="str">
            <v/>
          </cell>
        </row>
        <row r="2676">
          <cell r="D2676" t="str">
            <v/>
          </cell>
          <cell r="E2676" t="str">
            <v/>
          </cell>
          <cell r="H2676" t="str">
            <v/>
          </cell>
          <cell r="J2676" t="str">
            <v/>
          </cell>
        </row>
        <row r="2677">
          <cell r="D2677" t="str">
            <v/>
          </cell>
          <cell r="E2677" t="str">
            <v/>
          </cell>
          <cell r="H2677" t="str">
            <v/>
          </cell>
          <cell r="J2677" t="str">
            <v/>
          </cell>
        </row>
        <row r="2678">
          <cell r="D2678" t="str">
            <v/>
          </cell>
          <cell r="E2678" t="str">
            <v/>
          </cell>
          <cell r="H2678" t="str">
            <v/>
          </cell>
          <cell r="J2678" t="str">
            <v/>
          </cell>
        </row>
        <row r="2679">
          <cell r="D2679" t="str">
            <v/>
          </cell>
          <cell r="H2679" t="str">
            <v/>
          </cell>
          <cell r="J2679" t="str">
            <v/>
          </cell>
        </row>
        <row r="2680">
          <cell r="C2680" t="str">
            <v>OBSERVAÇÕES:</v>
          </cell>
          <cell r="F2680" t="str">
            <v>CUSTO ATIVIDADES AUXILIARES - (F)</v>
          </cell>
          <cell r="J2680">
            <v>0</v>
          </cell>
        </row>
        <row r="2681">
          <cell r="F2681" t="str">
            <v>CUSTO UNITÁRIO DIRETO TOTAL</v>
          </cell>
          <cell r="J2681">
            <v>94.61</v>
          </cell>
        </row>
        <row r="2682">
          <cell r="F2682" t="str">
            <v xml:space="preserve">BONIFICAÇÃO </v>
          </cell>
          <cell r="H2682">
            <v>0</v>
          </cell>
          <cell r="J2682">
            <v>0</v>
          </cell>
        </row>
        <row r="2683">
          <cell r="F2683" t="str">
            <v>PREÇO UNITÁRIO  TOTAL</v>
          </cell>
          <cell r="J2683">
            <v>94.61</v>
          </cell>
        </row>
        <row r="2687">
          <cell r="A2687" t="str">
            <v>1 B 00 903 01</v>
          </cell>
          <cell r="C2687" t="str">
            <v>SERVIÇO:</v>
          </cell>
          <cell r="D2687" t="str">
            <v>Dentes para bueiros duplos Ø=1,00 m</v>
          </cell>
          <cell r="F2687" t="str">
            <v>PRODUÇÃO DA EQUIPE - (C):</v>
          </cell>
          <cell r="J2687">
            <v>1</v>
          </cell>
          <cell r="K2687" t="str">
            <v>UD</v>
          </cell>
          <cell r="M2687">
            <v>118.21</v>
          </cell>
        </row>
        <row r="2688">
          <cell r="F2688" t="str">
            <v>UNITÁRIO</v>
          </cell>
          <cell r="H2688" t="str">
            <v>C. OPERACIONAL</v>
          </cell>
        </row>
        <row r="2689">
          <cell r="C2689" t="str">
            <v>ÍTEM</v>
          </cell>
          <cell r="D2689" t="str">
            <v>E Q U I P A M E N T O</v>
          </cell>
          <cell r="E2689" t="str">
            <v>QUANT.</v>
          </cell>
          <cell r="F2689" t="str">
            <v>PROD</v>
          </cell>
          <cell r="G2689" t="str">
            <v>IMPROD</v>
          </cell>
          <cell r="H2689" t="str">
            <v>PROD</v>
          </cell>
          <cell r="I2689" t="str">
            <v>IMPROD</v>
          </cell>
          <cell r="J2689" t="str">
            <v>CUSTO HORÁRIO</v>
          </cell>
        </row>
        <row r="2690">
          <cell r="D2690" t="str">
            <v/>
          </cell>
          <cell r="G2690" t="str">
            <v/>
          </cell>
          <cell r="H2690" t="str">
            <v/>
          </cell>
          <cell r="I2690" t="str">
            <v/>
          </cell>
          <cell r="J2690" t="str">
            <v/>
          </cell>
        </row>
        <row r="2691">
          <cell r="D2691" t="str">
            <v/>
          </cell>
          <cell r="G2691" t="str">
            <v/>
          </cell>
          <cell r="H2691" t="str">
            <v/>
          </cell>
          <cell r="I2691" t="str">
            <v/>
          </cell>
          <cell r="J2691" t="str">
            <v/>
          </cell>
        </row>
        <row r="2692">
          <cell r="D2692" t="str">
            <v/>
          </cell>
          <cell r="G2692" t="str">
            <v/>
          </cell>
          <cell r="H2692" t="str">
            <v/>
          </cell>
          <cell r="I2692" t="str">
            <v/>
          </cell>
          <cell r="J2692" t="str">
            <v/>
          </cell>
        </row>
        <row r="2693">
          <cell r="D2693" t="str">
            <v/>
          </cell>
          <cell r="G2693" t="str">
            <v/>
          </cell>
          <cell r="H2693" t="str">
            <v/>
          </cell>
          <cell r="I2693" t="str">
            <v/>
          </cell>
          <cell r="J2693" t="str">
            <v/>
          </cell>
        </row>
        <row r="2694">
          <cell r="D2694" t="str">
            <v/>
          </cell>
          <cell r="G2694" t="str">
            <v/>
          </cell>
          <cell r="H2694" t="str">
            <v/>
          </cell>
          <cell r="I2694" t="str">
            <v/>
          </cell>
          <cell r="J2694" t="str">
            <v/>
          </cell>
        </row>
        <row r="2695">
          <cell r="F2695" t="str">
            <v>CUSTO HORÁRIO DO EQUIPAMENTO - (A)</v>
          </cell>
          <cell r="J2695">
            <v>0</v>
          </cell>
        </row>
        <row r="2696">
          <cell r="C2696" t="str">
            <v>ÍTEM</v>
          </cell>
          <cell r="D2696" t="str">
            <v>M Ã O    D E   O B R A</v>
          </cell>
          <cell r="E2696" t="str">
            <v>QUANT.</v>
          </cell>
          <cell r="F2696" t="str">
            <v>SALÁRIO HORA</v>
          </cell>
          <cell r="J2696" t="str">
            <v>CUSTO HORÁRIO</v>
          </cell>
        </row>
        <row r="2697">
          <cell r="C2697" t="str">
            <v>T604</v>
          </cell>
          <cell r="D2697" t="str">
            <v>Pedreiro</v>
          </cell>
          <cell r="E2697">
            <v>0.4</v>
          </cell>
          <cell r="F2697">
            <v>9.44</v>
          </cell>
          <cell r="G2697" t="e">
            <v>#N/A</v>
          </cell>
          <cell r="H2697" t="e">
            <v>#N/A</v>
          </cell>
          <cell r="I2697" t="e">
            <v>#N/A</v>
          </cell>
          <cell r="J2697">
            <v>3.77</v>
          </cell>
        </row>
        <row r="2698">
          <cell r="C2698" t="str">
            <v>T701</v>
          </cell>
          <cell r="D2698" t="str">
            <v>Servente</v>
          </cell>
          <cell r="E2698">
            <v>0.8</v>
          </cell>
          <cell r="F2698">
            <v>6.99</v>
          </cell>
          <cell r="G2698" t="e">
            <v>#N/A</v>
          </cell>
          <cell r="H2698" t="e">
            <v>#N/A</v>
          </cell>
          <cell r="I2698" t="e">
            <v>#N/A</v>
          </cell>
          <cell r="J2698">
            <v>5.59</v>
          </cell>
        </row>
        <row r="2699">
          <cell r="D2699" t="str">
            <v/>
          </cell>
          <cell r="F2699" t="str">
            <v/>
          </cell>
          <cell r="G2699" t="str">
            <v/>
          </cell>
          <cell r="H2699" t="str">
            <v/>
          </cell>
          <cell r="I2699" t="str">
            <v/>
          </cell>
          <cell r="J2699" t="str">
            <v/>
          </cell>
        </row>
        <row r="2700">
          <cell r="D2700" t="str">
            <v/>
          </cell>
          <cell r="F2700" t="str">
            <v/>
          </cell>
          <cell r="G2700" t="str">
            <v/>
          </cell>
          <cell r="H2700" t="str">
            <v/>
          </cell>
          <cell r="I2700" t="str">
            <v/>
          </cell>
          <cell r="J2700" t="str">
            <v/>
          </cell>
        </row>
        <row r="2701">
          <cell r="D2701" t="str">
            <v/>
          </cell>
          <cell r="F2701" t="str">
            <v/>
          </cell>
          <cell r="G2701" t="str">
            <v/>
          </cell>
          <cell r="H2701" t="str">
            <v/>
          </cell>
          <cell r="I2701" t="str">
            <v/>
          </cell>
          <cell r="J2701" t="str">
            <v/>
          </cell>
        </row>
        <row r="2702">
          <cell r="F2702" t="str">
            <v>CUSTO HORÁRIO DE MÃO DE OBRA - (B)</v>
          </cell>
          <cell r="J2702">
            <v>9.36</v>
          </cell>
        </row>
        <row r="2703">
          <cell r="F2703" t="str">
            <v>FERRAMENTAS</v>
          </cell>
          <cell r="H2703">
            <v>0.05</v>
          </cell>
          <cell r="J2703">
            <v>0.46</v>
          </cell>
        </row>
        <row r="2704">
          <cell r="F2704" t="str">
            <v>CUSTO HORÁRIO TOTAL - (A + B)</v>
          </cell>
          <cell r="J2704">
            <v>9.82</v>
          </cell>
        </row>
        <row r="2705">
          <cell r="F2705" t="str">
            <v>CUSTO UNITÁRIO DE EXECUÇÃO - (D)</v>
          </cell>
          <cell r="J2705">
            <v>9.82</v>
          </cell>
        </row>
        <row r="2706">
          <cell r="C2706" t="str">
            <v>ÍTEM</v>
          </cell>
          <cell r="D2706" t="str">
            <v>M A T E R I A L</v>
          </cell>
          <cell r="E2706" t="str">
            <v>UNID</v>
          </cell>
          <cell r="F2706" t="str">
            <v>CONSUMO</v>
          </cell>
          <cell r="H2706" t="str">
            <v xml:space="preserve"> PREÇO UNITÁRIO</v>
          </cell>
          <cell r="J2706" t="str">
            <v>CUSTO UNITÁRIO</v>
          </cell>
        </row>
        <row r="2707">
          <cell r="D2707" t="str">
            <v/>
          </cell>
          <cell r="E2707" t="str">
            <v/>
          </cell>
          <cell r="H2707" t="str">
            <v/>
          </cell>
          <cell r="I2707" t="str">
            <v/>
          </cell>
          <cell r="J2707" t="str">
            <v/>
          </cell>
        </row>
        <row r="2708">
          <cell r="D2708" t="str">
            <v/>
          </cell>
          <cell r="E2708" t="str">
            <v/>
          </cell>
          <cell r="H2708" t="str">
            <v/>
          </cell>
          <cell r="I2708" t="str">
            <v/>
          </cell>
          <cell r="J2708" t="str">
            <v/>
          </cell>
        </row>
        <row r="2709">
          <cell r="D2709" t="str">
            <v/>
          </cell>
          <cell r="E2709" t="str">
            <v/>
          </cell>
          <cell r="H2709" t="str">
            <v/>
          </cell>
          <cell r="I2709" t="str">
            <v/>
          </cell>
          <cell r="J2709" t="str">
            <v/>
          </cell>
        </row>
        <row r="2710">
          <cell r="D2710" t="str">
            <v/>
          </cell>
          <cell r="E2710" t="str">
            <v/>
          </cell>
          <cell r="H2710" t="str">
            <v/>
          </cell>
          <cell r="I2710" t="str">
            <v/>
          </cell>
          <cell r="J2710" t="str">
            <v/>
          </cell>
        </row>
        <row r="2711">
          <cell r="D2711" t="str">
            <v/>
          </cell>
          <cell r="E2711" t="str">
            <v/>
          </cell>
          <cell r="H2711" t="str">
            <v/>
          </cell>
          <cell r="I2711" t="str">
            <v/>
          </cell>
          <cell r="J2711" t="str">
            <v/>
          </cell>
        </row>
        <row r="2712">
          <cell r="F2712" t="str">
            <v>CUSTO TOTAL DE MATERIAL - (E)</v>
          </cell>
          <cell r="J2712">
            <v>0</v>
          </cell>
        </row>
        <row r="2713">
          <cell r="C2713" t="str">
            <v>CODIGO</v>
          </cell>
          <cell r="D2713" t="str">
            <v>ATIVIDADES AUXILIARES</v>
          </cell>
          <cell r="E2713" t="str">
            <v>UND</v>
          </cell>
          <cell r="F2713" t="str">
            <v>QUANTIDADE</v>
          </cell>
          <cell r="H2713" t="str">
            <v>CUSTO UNITÁRIO</v>
          </cell>
          <cell r="J2713" t="str">
            <v>CUSTO UNITÁRIO</v>
          </cell>
        </row>
        <row r="2714">
          <cell r="C2714" t="str">
            <v>1 A 01 512 10</v>
          </cell>
          <cell r="D2714" t="str">
            <v>Concreto ciclópico fck=12 MPa (Brita produzida e areia extraída)</v>
          </cell>
          <cell r="E2714" t="str">
            <v>m³</v>
          </cell>
          <cell r="F2714">
            <v>0.46100000000000002</v>
          </cell>
          <cell r="H2714">
            <v>197.63</v>
          </cell>
          <cell r="J2714">
            <v>91.1</v>
          </cell>
        </row>
        <row r="2715">
          <cell r="C2715" t="str">
            <v>1 A 01 580 02</v>
          </cell>
          <cell r="D2715" t="str">
            <v>Fornecimento, preparo e colocação formas aço CA 50</v>
          </cell>
          <cell r="E2715" t="str">
            <v>kg</v>
          </cell>
          <cell r="F2715">
            <v>3.024</v>
          </cell>
          <cell r="H2715">
            <v>5.72</v>
          </cell>
          <cell r="J2715">
            <v>17.29</v>
          </cell>
        </row>
        <row r="2716">
          <cell r="D2716" t="str">
            <v/>
          </cell>
          <cell r="E2716" t="str">
            <v/>
          </cell>
          <cell r="H2716" t="str">
            <v/>
          </cell>
          <cell r="J2716" t="str">
            <v/>
          </cell>
        </row>
        <row r="2717">
          <cell r="D2717" t="str">
            <v/>
          </cell>
          <cell r="E2717" t="str">
            <v/>
          </cell>
          <cell r="H2717" t="str">
            <v/>
          </cell>
          <cell r="J2717" t="str">
            <v/>
          </cell>
        </row>
        <row r="2718">
          <cell r="D2718" t="str">
            <v/>
          </cell>
          <cell r="H2718" t="str">
            <v/>
          </cell>
          <cell r="J2718" t="str">
            <v/>
          </cell>
        </row>
        <row r="2719">
          <cell r="C2719" t="str">
            <v>OBSERVAÇÕES:</v>
          </cell>
          <cell r="F2719" t="str">
            <v>CUSTO ATIVIDADES AUXILIARES - (F)</v>
          </cell>
          <cell r="J2719">
            <v>108.39</v>
          </cell>
        </row>
        <row r="2720">
          <cell r="F2720" t="str">
            <v>CUSTO UNITÁRIO DIRETO TOTAL</v>
          </cell>
          <cell r="J2720">
            <v>118.21</v>
          </cell>
        </row>
        <row r="2721">
          <cell r="F2721" t="str">
            <v xml:space="preserve">BONIFICAÇÃO </v>
          </cell>
          <cell r="H2721">
            <v>0</v>
          </cell>
          <cell r="J2721">
            <v>0</v>
          </cell>
        </row>
        <row r="2722">
          <cell r="F2722" t="str">
            <v>PREÇO UNITÁRIO  TOTAL</v>
          </cell>
          <cell r="J2722">
            <v>118.21</v>
          </cell>
        </row>
        <row r="2726">
          <cell r="A2726" t="str">
            <v>1 B 00 907 01</v>
          </cell>
          <cell r="C2726" t="str">
            <v>SERVIÇO:</v>
          </cell>
          <cell r="D2726" t="str">
            <v>Dentes para bueiros simples Ø=0,80 m</v>
          </cell>
          <cell r="F2726" t="str">
            <v>PRODUÇÃO DA EQUIPE - (C):</v>
          </cell>
          <cell r="J2726">
            <v>1</v>
          </cell>
          <cell r="K2726" t="str">
            <v>und</v>
          </cell>
          <cell r="M2726">
            <v>49.82</v>
          </cell>
        </row>
        <row r="2727">
          <cell r="F2727" t="str">
            <v>UNITÁRIO</v>
          </cell>
          <cell r="H2727" t="str">
            <v>C. OPERACIONAL</v>
          </cell>
        </row>
        <row r="2728">
          <cell r="C2728" t="str">
            <v>ÍTEM</v>
          </cell>
          <cell r="D2728" t="str">
            <v>E Q U I P A M E N T O</v>
          </cell>
          <cell r="E2728" t="str">
            <v>QUANT.</v>
          </cell>
          <cell r="F2728" t="str">
            <v>PROD</v>
          </cell>
          <cell r="G2728" t="str">
            <v>IMPROD</v>
          </cell>
          <cell r="H2728" t="str">
            <v>PROD</v>
          </cell>
          <cell r="I2728" t="str">
            <v>IMPROD</v>
          </cell>
          <cell r="J2728" t="str">
            <v>CUSTO HORÁRIO</v>
          </cell>
        </row>
        <row r="2729">
          <cell r="D2729" t="str">
            <v/>
          </cell>
          <cell r="G2729" t="str">
            <v/>
          </cell>
          <cell r="H2729" t="str">
            <v/>
          </cell>
          <cell r="I2729" t="str">
            <v/>
          </cell>
          <cell r="J2729" t="str">
            <v/>
          </cell>
        </row>
        <row r="2730">
          <cell r="D2730" t="str">
            <v/>
          </cell>
          <cell r="G2730" t="str">
            <v/>
          </cell>
          <cell r="H2730" t="str">
            <v/>
          </cell>
          <cell r="I2730" t="str">
            <v/>
          </cell>
          <cell r="J2730" t="str">
            <v/>
          </cell>
        </row>
        <row r="2731">
          <cell r="D2731" t="str">
            <v/>
          </cell>
          <cell r="G2731" t="str">
            <v/>
          </cell>
          <cell r="H2731" t="str">
            <v/>
          </cell>
          <cell r="I2731" t="str">
            <v/>
          </cell>
          <cell r="J2731" t="str">
            <v/>
          </cell>
        </row>
        <row r="2732">
          <cell r="D2732" t="str">
            <v/>
          </cell>
          <cell r="G2732" t="str">
            <v/>
          </cell>
          <cell r="H2732" t="str">
            <v/>
          </cell>
          <cell r="I2732" t="str">
            <v/>
          </cell>
          <cell r="J2732" t="str">
            <v/>
          </cell>
        </row>
        <row r="2733">
          <cell r="D2733" t="str">
            <v/>
          </cell>
          <cell r="G2733" t="str">
            <v/>
          </cell>
          <cell r="H2733" t="str">
            <v/>
          </cell>
          <cell r="I2733" t="str">
            <v/>
          </cell>
          <cell r="J2733" t="str">
            <v/>
          </cell>
        </row>
        <row r="2734">
          <cell r="D2734" t="str">
            <v/>
          </cell>
          <cell r="G2734" t="str">
            <v/>
          </cell>
          <cell r="H2734" t="str">
            <v/>
          </cell>
          <cell r="I2734" t="str">
            <v/>
          </cell>
          <cell r="J2734" t="str">
            <v/>
          </cell>
        </row>
        <row r="2735">
          <cell r="D2735" t="str">
            <v/>
          </cell>
          <cell r="G2735" t="str">
            <v/>
          </cell>
          <cell r="H2735" t="str">
            <v/>
          </cell>
          <cell r="I2735" t="str">
            <v/>
          </cell>
          <cell r="J2735" t="str">
            <v/>
          </cell>
        </row>
        <row r="2736">
          <cell r="F2736" t="str">
            <v>CUSTO HORÁRIO DO EQUIPAMENTO - (A)</v>
          </cell>
          <cell r="J2736">
            <v>0</v>
          </cell>
        </row>
        <row r="2737">
          <cell r="C2737" t="str">
            <v>ÍTEM</v>
          </cell>
          <cell r="D2737" t="str">
            <v>M Ã O    D E   O B R A</v>
          </cell>
          <cell r="E2737" t="str">
            <v>QUANT.</v>
          </cell>
          <cell r="F2737" t="str">
            <v>SALÁRIO HORA</v>
          </cell>
          <cell r="J2737" t="str">
            <v>CUSTO HORÁRIO</v>
          </cell>
        </row>
        <row r="2738">
          <cell r="C2738" t="str">
            <v>T604</v>
          </cell>
          <cell r="D2738" t="str">
            <v>Pedreiro</v>
          </cell>
          <cell r="E2738">
            <v>0.16</v>
          </cell>
          <cell r="F2738">
            <v>9.44</v>
          </cell>
          <cell r="G2738" t="e">
            <v>#N/A</v>
          </cell>
          <cell r="H2738" t="e">
            <v>#N/A</v>
          </cell>
          <cell r="I2738" t="e">
            <v>#N/A</v>
          </cell>
          <cell r="J2738">
            <v>1.51</v>
          </cell>
        </row>
        <row r="2739">
          <cell r="C2739" t="str">
            <v>T701</v>
          </cell>
          <cell r="D2739" t="str">
            <v>Servente</v>
          </cell>
          <cell r="E2739">
            <v>0.3</v>
          </cell>
          <cell r="F2739">
            <v>6.99</v>
          </cell>
          <cell r="G2739" t="e">
            <v>#N/A</v>
          </cell>
          <cell r="H2739" t="e">
            <v>#N/A</v>
          </cell>
          <cell r="I2739" t="e">
            <v>#N/A</v>
          </cell>
          <cell r="J2739">
            <v>2.09</v>
          </cell>
        </row>
        <row r="2740">
          <cell r="D2740" t="str">
            <v/>
          </cell>
          <cell r="F2740" t="str">
            <v/>
          </cell>
          <cell r="G2740" t="str">
            <v/>
          </cell>
          <cell r="H2740" t="str">
            <v/>
          </cell>
          <cell r="I2740" t="str">
            <v/>
          </cell>
          <cell r="J2740" t="str">
            <v/>
          </cell>
        </row>
        <row r="2741">
          <cell r="D2741" t="str">
            <v/>
          </cell>
          <cell r="F2741" t="str">
            <v/>
          </cell>
          <cell r="G2741" t="str">
            <v/>
          </cell>
          <cell r="H2741" t="str">
            <v/>
          </cell>
          <cell r="I2741" t="str">
            <v/>
          </cell>
          <cell r="J2741" t="str">
            <v/>
          </cell>
        </row>
        <row r="2742">
          <cell r="D2742" t="str">
            <v/>
          </cell>
          <cell r="F2742" t="str">
            <v/>
          </cell>
          <cell r="G2742" t="str">
            <v/>
          </cell>
          <cell r="H2742" t="str">
            <v/>
          </cell>
          <cell r="I2742" t="str">
            <v/>
          </cell>
          <cell r="J2742" t="str">
            <v/>
          </cell>
        </row>
        <row r="2743">
          <cell r="F2743" t="str">
            <v>CUSTO HORÁRIO DE MÃO DE OBRA - (B)</v>
          </cell>
          <cell r="J2743">
            <v>3.6</v>
          </cell>
        </row>
        <row r="2744">
          <cell r="F2744" t="str">
            <v>FERRAMENTAS</v>
          </cell>
          <cell r="H2744">
            <v>0.2051</v>
          </cell>
          <cell r="J2744">
            <v>0.73</v>
          </cell>
        </row>
        <row r="2745">
          <cell r="F2745" t="str">
            <v>CUSTO HORÁRIO TOTAL - (A + B)</v>
          </cell>
          <cell r="J2745">
            <v>4.33</v>
          </cell>
        </row>
        <row r="2746">
          <cell r="F2746" t="str">
            <v>CUSTO UNITÁRIO DE EXECUÇÃO - (D)</v>
          </cell>
          <cell r="J2746">
            <v>4.33</v>
          </cell>
        </row>
        <row r="2747">
          <cell r="C2747" t="str">
            <v>ÍTEM</v>
          </cell>
          <cell r="D2747" t="str">
            <v>M A T E R I A L</v>
          </cell>
          <cell r="E2747" t="str">
            <v>UNID</v>
          </cell>
          <cell r="F2747" t="str">
            <v>CONSUMO</v>
          </cell>
          <cell r="H2747" t="str">
            <v xml:space="preserve"> PREÇO UNITÁRIO</v>
          </cell>
          <cell r="J2747" t="str">
            <v>CUSTO UNITÁRIO</v>
          </cell>
        </row>
        <row r="2748">
          <cell r="D2748" t="str">
            <v/>
          </cell>
          <cell r="E2748" t="str">
            <v/>
          </cell>
          <cell r="H2748" t="str">
            <v/>
          </cell>
          <cell r="I2748" t="str">
            <v/>
          </cell>
        </row>
        <row r="2749">
          <cell r="D2749" t="str">
            <v/>
          </cell>
          <cell r="E2749" t="str">
            <v/>
          </cell>
          <cell r="J2749">
            <v>0</v>
          </cell>
        </row>
        <row r="2750">
          <cell r="D2750" t="str">
            <v/>
          </cell>
          <cell r="E2750" t="str">
            <v/>
          </cell>
          <cell r="J2750">
            <v>0</v>
          </cell>
        </row>
        <row r="2751">
          <cell r="D2751" t="str">
            <v/>
          </cell>
          <cell r="E2751" t="str">
            <v/>
          </cell>
          <cell r="J2751">
            <v>0</v>
          </cell>
        </row>
        <row r="2752">
          <cell r="D2752" t="str">
            <v/>
          </cell>
          <cell r="E2752" t="str">
            <v/>
          </cell>
          <cell r="J2752">
            <v>0</v>
          </cell>
        </row>
        <row r="2753">
          <cell r="F2753" t="str">
            <v>CUSTO TOTAL DE MATERIAL - (E)</v>
          </cell>
          <cell r="J2753">
            <v>0</v>
          </cell>
        </row>
        <row r="2754">
          <cell r="C2754" t="str">
            <v>CODIGO</v>
          </cell>
          <cell r="D2754" t="str">
            <v>ATIVIDADES AUXILIARES</v>
          </cell>
          <cell r="E2754" t="str">
            <v>UND</v>
          </cell>
          <cell r="F2754" t="str">
            <v>QUANTIDADE</v>
          </cell>
          <cell r="H2754" t="str">
            <v>CUSTO UNITÁRIO</v>
          </cell>
          <cell r="J2754" t="str">
            <v>CUSTO UNITÁRIO</v>
          </cell>
        </row>
        <row r="2755">
          <cell r="C2755" t="str">
            <v>1 A 01 512 10</v>
          </cell>
          <cell r="D2755" t="str">
            <v>Concreto ciclópico fck=12 MPa (Brita produzida e areia extraída)</v>
          </cell>
          <cell r="E2755" t="str">
            <v>m³</v>
          </cell>
          <cell r="F2755">
            <v>0.19</v>
          </cell>
          <cell r="H2755">
            <v>197.63</v>
          </cell>
          <cell r="J2755">
            <v>37.54</v>
          </cell>
        </row>
        <row r="2756">
          <cell r="C2756" t="str">
            <v>1 A 01 580 02</v>
          </cell>
          <cell r="D2756" t="str">
            <v>Fornecimento, preparo e colocação formas aço CA 50</v>
          </cell>
          <cell r="E2756" t="str">
            <v>kg</v>
          </cell>
          <cell r="F2756">
            <v>1.39</v>
          </cell>
          <cell r="H2756">
            <v>5.72</v>
          </cell>
          <cell r="J2756">
            <v>7.95</v>
          </cell>
        </row>
        <row r="2757">
          <cell r="D2757" t="str">
            <v/>
          </cell>
          <cell r="E2757" t="str">
            <v/>
          </cell>
          <cell r="H2757" t="str">
            <v/>
          </cell>
          <cell r="J2757" t="str">
            <v/>
          </cell>
        </row>
        <row r="2758">
          <cell r="D2758" t="str">
            <v/>
          </cell>
          <cell r="E2758" t="str">
            <v/>
          </cell>
          <cell r="H2758" t="str">
            <v/>
          </cell>
          <cell r="J2758" t="str">
            <v/>
          </cell>
        </row>
        <row r="2759">
          <cell r="D2759" t="str">
            <v/>
          </cell>
          <cell r="H2759" t="str">
            <v/>
          </cell>
          <cell r="J2759" t="str">
            <v/>
          </cell>
        </row>
        <row r="2760">
          <cell r="C2760" t="str">
            <v>OBSERVAÇÕES:</v>
          </cell>
          <cell r="F2760" t="str">
            <v>CUSTO ATIVIDADES AUXILIARES - (F)</v>
          </cell>
          <cell r="J2760">
            <v>45.49</v>
          </cell>
        </row>
        <row r="2761">
          <cell r="F2761" t="str">
            <v>CUSTO UNITÁRIO DIRETO TOTAL</v>
          </cell>
          <cell r="J2761">
            <v>49.82</v>
          </cell>
        </row>
        <row r="2762">
          <cell r="F2762" t="str">
            <v xml:space="preserve">BONIFICAÇÃO </v>
          </cell>
          <cell r="H2762">
            <v>0</v>
          </cell>
          <cell r="J2762">
            <v>0</v>
          </cell>
        </row>
        <row r="2763">
          <cell r="F2763" t="str">
            <v>PREÇO UNITÁRIO  TOTAL</v>
          </cell>
          <cell r="J2763">
            <v>49.82</v>
          </cell>
        </row>
        <row r="2767">
          <cell r="A2767" t="str">
            <v>1 B 00 908 51</v>
          </cell>
          <cell r="C2767" t="str">
            <v>SERVIÇO:</v>
          </cell>
          <cell r="D2767" t="str">
            <v>Dentes para bueiros simples Ø=1,00 m AC/BC</v>
          </cell>
          <cell r="F2767" t="str">
            <v>PRODUÇÃO DA EQUIPE - (C):</v>
          </cell>
          <cell r="J2767">
            <v>1</v>
          </cell>
          <cell r="K2767" t="str">
            <v>UD</v>
          </cell>
          <cell r="M2767" t="e">
            <v>#N/A</v>
          </cell>
        </row>
        <row r="2768">
          <cell r="F2768" t="str">
            <v>UNITÁRIO</v>
          </cell>
          <cell r="H2768" t="str">
            <v>C. OPERACIONAL</v>
          </cell>
        </row>
        <row r="2769">
          <cell r="C2769" t="str">
            <v>ÍTEM</v>
          </cell>
          <cell r="D2769" t="str">
            <v>E Q U I P A M E N T O</v>
          </cell>
          <cell r="E2769" t="str">
            <v>QUANT.</v>
          </cell>
          <cell r="F2769" t="str">
            <v>PROD</v>
          </cell>
          <cell r="G2769" t="str">
            <v>IMPROD</v>
          </cell>
          <cell r="H2769" t="str">
            <v>PROD</v>
          </cell>
          <cell r="I2769" t="str">
            <v>IMPROD</v>
          </cell>
          <cell r="J2769" t="str">
            <v>CUSTO HORÁRIO</v>
          </cell>
        </row>
        <row r="2770">
          <cell r="D2770" t="str">
            <v/>
          </cell>
          <cell r="G2770" t="str">
            <v/>
          </cell>
          <cell r="H2770" t="str">
            <v/>
          </cell>
          <cell r="I2770" t="str">
            <v/>
          </cell>
          <cell r="J2770" t="str">
            <v/>
          </cell>
        </row>
        <row r="2771">
          <cell r="D2771" t="str">
            <v/>
          </cell>
          <cell r="G2771" t="str">
            <v/>
          </cell>
          <cell r="H2771" t="str">
            <v/>
          </cell>
          <cell r="I2771" t="str">
            <v/>
          </cell>
          <cell r="J2771" t="str">
            <v/>
          </cell>
        </row>
        <row r="2772">
          <cell r="D2772" t="str">
            <v/>
          </cell>
          <cell r="G2772" t="str">
            <v/>
          </cell>
          <cell r="H2772" t="str">
            <v/>
          </cell>
          <cell r="I2772" t="str">
            <v/>
          </cell>
          <cell r="J2772" t="str">
            <v/>
          </cell>
        </row>
        <row r="2773">
          <cell r="D2773" t="str">
            <v/>
          </cell>
          <cell r="G2773" t="str">
            <v/>
          </cell>
          <cell r="H2773" t="str">
            <v/>
          </cell>
          <cell r="I2773" t="str">
            <v/>
          </cell>
          <cell r="J2773" t="str">
            <v/>
          </cell>
        </row>
        <row r="2774">
          <cell r="D2774" t="str">
            <v/>
          </cell>
          <cell r="G2774" t="str">
            <v/>
          </cell>
          <cell r="H2774" t="str">
            <v/>
          </cell>
          <cell r="I2774" t="str">
            <v/>
          </cell>
          <cell r="J2774" t="str">
            <v/>
          </cell>
        </row>
        <row r="2775">
          <cell r="F2775" t="str">
            <v>CUSTO HORÁRIO DO EQUIPAMENTO - (A)</v>
          </cell>
          <cell r="J2775">
            <v>0</v>
          </cell>
        </row>
        <row r="2776">
          <cell r="C2776" t="str">
            <v>ÍTEM</v>
          </cell>
          <cell r="D2776" t="str">
            <v>M Ã O    D E   O B R A</v>
          </cell>
          <cell r="E2776" t="str">
            <v>QUANT.</v>
          </cell>
          <cell r="F2776" t="str">
            <v>SALÁRIO HORA</v>
          </cell>
          <cell r="J2776" t="str">
            <v>CUSTO HORÁRIO</v>
          </cell>
        </row>
        <row r="2777">
          <cell r="C2777" t="str">
            <v>T604</v>
          </cell>
          <cell r="D2777" t="str">
            <v>Pedreiro</v>
          </cell>
          <cell r="E2777">
            <v>0.2</v>
          </cell>
          <cell r="F2777">
            <v>9.44</v>
          </cell>
          <cell r="G2777" t="e">
            <v>#N/A</v>
          </cell>
          <cell r="H2777" t="e">
            <v>#N/A</v>
          </cell>
          <cell r="I2777" t="e">
            <v>#N/A</v>
          </cell>
          <cell r="J2777">
            <v>1.88</v>
          </cell>
        </row>
        <row r="2778">
          <cell r="C2778" t="str">
            <v>T701</v>
          </cell>
          <cell r="D2778" t="str">
            <v>Servente</v>
          </cell>
          <cell r="E2778">
            <v>0.4</v>
          </cell>
          <cell r="F2778">
            <v>6.99</v>
          </cell>
          <cell r="G2778" t="e">
            <v>#N/A</v>
          </cell>
          <cell r="H2778" t="e">
            <v>#N/A</v>
          </cell>
          <cell r="I2778" t="e">
            <v>#N/A</v>
          </cell>
          <cell r="J2778">
            <v>2.79</v>
          </cell>
        </row>
        <row r="2779">
          <cell r="D2779" t="str">
            <v/>
          </cell>
          <cell r="F2779" t="str">
            <v/>
          </cell>
          <cell r="G2779" t="str">
            <v/>
          </cell>
          <cell r="H2779" t="str">
            <v/>
          </cell>
          <cell r="I2779" t="str">
            <v/>
          </cell>
          <cell r="J2779" t="str">
            <v/>
          </cell>
        </row>
        <row r="2780">
          <cell r="D2780" t="str">
            <v/>
          </cell>
          <cell r="F2780" t="str">
            <v/>
          </cell>
          <cell r="G2780" t="str">
            <v/>
          </cell>
          <cell r="H2780" t="str">
            <v/>
          </cell>
          <cell r="I2780" t="str">
            <v/>
          </cell>
          <cell r="J2780" t="str">
            <v/>
          </cell>
        </row>
        <row r="2781">
          <cell r="D2781" t="str">
            <v/>
          </cell>
          <cell r="F2781" t="str">
            <v/>
          </cell>
          <cell r="G2781" t="str">
            <v/>
          </cell>
          <cell r="H2781" t="str">
            <v/>
          </cell>
          <cell r="I2781" t="str">
            <v/>
          </cell>
          <cell r="J2781" t="str">
            <v/>
          </cell>
        </row>
        <row r="2782">
          <cell r="F2782" t="str">
            <v>CUSTO HORÁRIO DE MÃO DE OBRA - (B)</v>
          </cell>
          <cell r="J2782">
            <v>4.67</v>
          </cell>
        </row>
        <row r="2783">
          <cell r="F2783" t="str">
            <v>FERRAMENTAS</v>
          </cell>
          <cell r="H2783">
            <v>0.05</v>
          </cell>
          <cell r="J2783">
            <v>0.23</v>
          </cell>
        </row>
        <row r="2784">
          <cell r="F2784" t="str">
            <v>CUSTO HORÁRIO TOTAL - (A + B)</v>
          </cell>
          <cell r="J2784">
            <v>4.9000000000000004</v>
          </cell>
        </row>
        <row r="2785">
          <cell r="F2785" t="str">
            <v>CUSTO UNITÁRIO DE EXECUÇÃO - (D)</v>
          </cell>
          <cell r="J2785">
            <v>4.9000000000000004</v>
          </cell>
        </row>
        <row r="2786">
          <cell r="C2786" t="str">
            <v>ÍTEM</v>
          </cell>
          <cell r="D2786" t="str">
            <v>M A T E R I A L</v>
          </cell>
          <cell r="E2786" t="str">
            <v>UNID</v>
          </cell>
          <cell r="F2786" t="str">
            <v>CONSUMO</v>
          </cell>
          <cell r="H2786" t="str">
            <v xml:space="preserve"> PREÇO UNITÁRIO</v>
          </cell>
          <cell r="J2786" t="str">
            <v>CUSTO UNITÁRIO</v>
          </cell>
        </row>
        <row r="2787">
          <cell r="D2787" t="str">
            <v/>
          </cell>
          <cell r="E2787" t="str">
            <v/>
          </cell>
          <cell r="H2787" t="str">
            <v/>
          </cell>
          <cell r="I2787" t="str">
            <v/>
          </cell>
          <cell r="J2787" t="str">
            <v/>
          </cell>
        </row>
        <row r="2788">
          <cell r="D2788" t="str">
            <v/>
          </cell>
          <cell r="E2788" t="str">
            <v/>
          </cell>
          <cell r="H2788" t="str">
            <v/>
          </cell>
          <cell r="I2788" t="str">
            <v/>
          </cell>
          <cell r="J2788" t="str">
            <v/>
          </cell>
        </row>
        <row r="2789">
          <cell r="D2789" t="str">
            <v/>
          </cell>
          <cell r="E2789" t="str">
            <v/>
          </cell>
          <cell r="H2789" t="str">
            <v/>
          </cell>
          <cell r="I2789" t="str">
            <v/>
          </cell>
          <cell r="J2789" t="str">
            <v/>
          </cell>
        </row>
        <row r="2790">
          <cell r="D2790" t="str">
            <v/>
          </cell>
          <cell r="E2790" t="str">
            <v/>
          </cell>
          <cell r="H2790" t="str">
            <v/>
          </cell>
          <cell r="I2790" t="str">
            <v/>
          </cell>
          <cell r="J2790" t="str">
            <v/>
          </cell>
        </row>
        <row r="2791">
          <cell r="D2791" t="str">
            <v/>
          </cell>
          <cell r="E2791" t="str">
            <v/>
          </cell>
          <cell r="H2791" t="str">
            <v/>
          </cell>
          <cell r="I2791" t="str">
            <v/>
          </cell>
          <cell r="J2791" t="str">
            <v/>
          </cell>
        </row>
        <row r="2792">
          <cell r="F2792" t="str">
            <v>CUSTO TOTAL DE MATERIAL - (E)</v>
          </cell>
          <cell r="J2792">
            <v>0</v>
          </cell>
        </row>
        <row r="2793">
          <cell r="C2793" t="str">
            <v>CODIGO</v>
          </cell>
          <cell r="D2793" t="str">
            <v>ATIVIDADES AUXILIARES</v>
          </cell>
          <cell r="E2793" t="str">
            <v>UND</v>
          </cell>
          <cell r="F2793" t="str">
            <v>QUANTIDADE</v>
          </cell>
          <cell r="H2793" t="str">
            <v>CUSTO UNITÁRIO</v>
          </cell>
          <cell r="J2793" t="str">
            <v>CUSTO UNITÁRIO</v>
          </cell>
        </row>
        <row r="2794">
          <cell r="C2794" t="str">
            <v>1 A 01 580 02</v>
          </cell>
          <cell r="D2794" t="str">
            <v>Fornecimento, preparo e colocação formas aço CA 50</v>
          </cell>
          <cell r="E2794" t="str">
            <v>kg</v>
          </cell>
          <cell r="F2794">
            <v>1.512</v>
          </cell>
          <cell r="H2794">
            <v>5.72</v>
          </cell>
          <cell r="J2794">
            <v>8.64</v>
          </cell>
        </row>
        <row r="2795">
          <cell r="C2795" t="str">
            <v>1 A 01 512 60</v>
          </cell>
          <cell r="D2795" t="str">
            <v>Concreto ciclópico fck=12 MPa AC/BC/PC</v>
          </cell>
          <cell r="E2795" t="str">
            <v>m³</v>
          </cell>
          <cell r="F2795">
            <v>0.23</v>
          </cell>
          <cell r="H2795" t="e">
            <v>#N/A</v>
          </cell>
          <cell r="J2795" t="e">
            <v>#N/A</v>
          </cell>
        </row>
        <row r="2796">
          <cell r="D2796" t="str">
            <v/>
          </cell>
          <cell r="E2796" t="str">
            <v/>
          </cell>
          <cell r="H2796" t="str">
            <v/>
          </cell>
          <cell r="J2796" t="str">
            <v/>
          </cell>
        </row>
        <row r="2797">
          <cell r="D2797" t="str">
            <v/>
          </cell>
          <cell r="E2797" t="str">
            <v/>
          </cell>
          <cell r="H2797" t="str">
            <v/>
          </cell>
          <cell r="J2797" t="str">
            <v/>
          </cell>
        </row>
        <row r="2798">
          <cell r="D2798" t="str">
            <v/>
          </cell>
          <cell r="H2798" t="str">
            <v/>
          </cell>
          <cell r="J2798" t="str">
            <v/>
          </cell>
        </row>
        <row r="2799">
          <cell r="C2799" t="str">
            <v>OBSERVAÇÕES:</v>
          </cell>
          <cell r="F2799" t="str">
            <v>CUSTO ATIVIDADES AUXILIARES - (F)</v>
          </cell>
          <cell r="J2799" t="e">
            <v>#N/A</v>
          </cell>
        </row>
        <row r="2800">
          <cell r="F2800" t="str">
            <v>CUSTO UNITÁRIO DIRETO TOTAL</v>
          </cell>
          <cell r="J2800" t="e">
            <v>#N/A</v>
          </cell>
        </row>
        <row r="2801">
          <cell r="F2801" t="str">
            <v xml:space="preserve">BONIFICAÇÃO </v>
          </cell>
          <cell r="H2801">
            <v>0</v>
          </cell>
          <cell r="J2801" t="e">
            <v>#N/A</v>
          </cell>
        </row>
        <row r="2802">
          <cell r="F2802" t="str">
            <v>PREÇO UNITÁRIO  TOTAL</v>
          </cell>
          <cell r="J2802" t="e">
            <v>#N/A</v>
          </cell>
        </row>
        <row r="2806">
          <cell r="A2806" t="str">
            <v>1 B 00 999 06</v>
          </cell>
          <cell r="C2806" t="str">
            <v>SERVIÇO:</v>
          </cell>
          <cell r="D2806" t="str">
            <v>Solo local, selo de argila apiloado</v>
          </cell>
          <cell r="F2806" t="str">
            <v>PRODUÇÃO DA EQUIPE - (C):</v>
          </cell>
          <cell r="J2806">
            <v>1.5</v>
          </cell>
          <cell r="K2806" t="str">
            <v>m³</v>
          </cell>
          <cell r="M2806">
            <v>22.31</v>
          </cell>
        </row>
        <row r="2807">
          <cell r="F2807" t="str">
            <v>UNITÁRIO</v>
          </cell>
          <cell r="H2807" t="str">
            <v>C. OPERACIONAL</v>
          </cell>
        </row>
        <row r="2808">
          <cell r="C2808" t="str">
            <v>ÍTEM</v>
          </cell>
          <cell r="D2808" t="str">
            <v>E Q U I P A M E N T O</v>
          </cell>
          <cell r="E2808" t="str">
            <v>QUANT.</v>
          </cell>
          <cell r="F2808" t="str">
            <v>PROD</v>
          </cell>
          <cell r="G2808" t="str">
            <v>IMPROD</v>
          </cell>
          <cell r="H2808" t="str">
            <v>PROD</v>
          </cell>
          <cell r="I2808" t="str">
            <v>IMPROD</v>
          </cell>
          <cell r="J2808" t="str">
            <v>CUSTO HORÁRIO</v>
          </cell>
        </row>
        <row r="2809">
          <cell r="D2809" t="str">
            <v/>
          </cell>
          <cell r="G2809" t="str">
            <v/>
          </cell>
          <cell r="H2809" t="str">
            <v/>
          </cell>
          <cell r="I2809" t="str">
            <v/>
          </cell>
          <cell r="J2809" t="str">
            <v/>
          </cell>
        </row>
        <row r="2810">
          <cell r="D2810" t="str">
            <v/>
          </cell>
          <cell r="G2810" t="str">
            <v/>
          </cell>
          <cell r="H2810" t="str">
            <v/>
          </cell>
          <cell r="I2810" t="str">
            <v/>
          </cell>
          <cell r="J2810" t="str">
            <v/>
          </cell>
        </row>
        <row r="2811">
          <cell r="D2811" t="str">
            <v/>
          </cell>
          <cell r="G2811" t="str">
            <v/>
          </cell>
          <cell r="H2811" t="str">
            <v/>
          </cell>
          <cell r="I2811" t="str">
            <v/>
          </cell>
          <cell r="J2811" t="str">
            <v/>
          </cell>
        </row>
        <row r="2812">
          <cell r="D2812" t="str">
            <v/>
          </cell>
          <cell r="G2812" t="str">
            <v/>
          </cell>
          <cell r="H2812" t="str">
            <v/>
          </cell>
          <cell r="I2812" t="str">
            <v/>
          </cell>
          <cell r="J2812" t="str">
            <v/>
          </cell>
        </row>
        <row r="2813">
          <cell r="D2813" t="str">
            <v/>
          </cell>
          <cell r="G2813" t="str">
            <v/>
          </cell>
          <cell r="H2813" t="str">
            <v/>
          </cell>
          <cell r="I2813" t="str">
            <v/>
          </cell>
          <cell r="J2813" t="str">
            <v/>
          </cell>
        </row>
        <row r="2814">
          <cell r="D2814" t="str">
            <v/>
          </cell>
          <cell r="G2814" t="str">
            <v/>
          </cell>
          <cell r="H2814" t="str">
            <v/>
          </cell>
          <cell r="I2814" t="str">
            <v/>
          </cell>
          <cell r="J2814" t="str">
            <v/>
          </cell>
        </row>
        <row r="2815">
          <cell r="D2815" t="str">
            <v/>
          </cell>
          <cell r="G2815" t="str">
            <v/>
          </cell>
          <cell r="H2815" t="str">
            <v/>
          </cell>
          <cell r="I2815" t="str">
            <v/>
          </cell>
          <cell r="J2815" t="str">
            <v/>
          </cell>
        </row>
        <row r="2816">
          <cell r="F2816" t="str">
            <v>CUSTO HORÁRIO DO EQUIPAMENTO - (A)</v>
          </cell>
          <cell r="J2816">
            <v>0</v>
          </cell>
        </row>
        <row r="2817">
          <cell r="C2817" t="str">
            <v>ÍTEM</v>
          </cell>
          <cell r="D2817" t="str">
            <v>M Ã O    D E   O B R A</v>
          </cell>
          <cell r="E2817" t="str">
            <v>QUANT.</v>
          </cell>
          <cell r="F2817" t="str">
            <v>SALÁRIO HORA</v>
          </cell>
          <cell r="J2817" t="str">
            <v>CUSTO HORÁRIO</v>
          </cell>
        </row>
        <row r="2818">
          <cell r="C2818" t="str">
            <v>T501</v>
          </cell>
          <cell r="D2818" t="str">
            <v>Encarregado de turma</v>
          </cell>
          <cell r="E2818">
            <v>0.05</v>
          </cell>
          <cell r="F2818">
            <v>21.11</v>
          </cell>
          <cell r="G2818" t="e">
            <v>#N/A</v>
          </cell>
          <cell r="H2818" t="e">
            <v>#N/A</v>
          </cell>
          <cell r="I2818" t="e">
            <v>#N/A</v>
          </cell>
          <cell r="J2818">
            <v>1.05</v>
          </cell>
        </row>
        <row r="2819">
          <cell r="C2819" t="str">
            <v>T701</v>
          </cell>
          <cell r="D2819" t="str">
            <v>Servente</v>
          </cell>
          <cell r="E2819">
            <v>2.5</v>
          </cell>
          <cell r="F2819">
            <v>6.99</v>
          </cell>
          <cell r="G2819" t="e">
            <v>#N/A</v>
          </cell>
          <cell r="H2819" t="e">
            <v>#N/A</v>
          </cell>
          <cell r="I2819" t="e">
            <v>#N/A</v>
          </cell>
          <cell r="J2819">
            <v>17.47</v>
          </cell>
        </row>
        <row r="2820">
          <cell r="D2820" t="str">
            <v/>
          </cell>
          <cell r="F2820" t="str">
            <v/>
          </cell>
          <cell r="G2820" t="str">
            <v/>
          </cell>
          <cell r="H2820" t="str">
            <v/>
          </cell>
          <cell r="I2820" t="str">
            <v/>
          </cell>
          <cell r="J2820" t="str">
            <v/>
          </cell>
        </row>
        <row r="2821">
          <cell r="D2821" t="str">
            <v/>
          </cell>
          <cell r="F2821" t="str">
            <v/>
          </cell>
          <cell r="G2821" t="str">
            <v/>
          </cell>
          <cell r="H2821" t="str">
            <v/>
          </cell>
          <cell r="I2821" t="str">
            <v/>
          </cell>
          <cell r="J2821" t="str">
            <v/>
          </cell>
        </row>
        <row r="2822">
          <cell r="D2822" t="str">
            <v/>
          </cell>
          <cell r="F2822" t="str">
            <v/>
          </cell>
          <cell r="G2822" t="str">
            <v/>
          </cell>
          <cell r="H2822" t="str">
            <v/>
          </cell>
          <cell r="I2822" t="str">
            <v/>
          </cell>
          <cell r="J2822" t="str">
            <v/>
          </cell>
        </row>
        <row r="2823">
          <cell r="F2823" t="str">
            <v>CUSTO HORÁRIO DE MÃO DE OBRA - (B)</v>
          </cell>
          <cell r="J2823">
            <v>18.52</v>
          </cell>
        </row>
        <row r="2824">
          <cell r="F2824" t="str">
            <v>FERRAMENTAS</v>
          </cell>
          <cell r="H2824">
            <v>0.2051</v>
          </cell>
          <cell r="J2824">
            <v>3.79</v>
          </cell>
        </row>
        <row r="2825">
          <cell r="F2825" t="str">
            <v>CUSTO HORÁRIO TOTAL - (A + B)</v>
          </cell>
          <cell r="J2825">
            <v>22.31</v>
          </cell>
        </row>
        <row r="2826">
          <cell r="F2826" t="str">
            <v>CUSTO UNITÁRIO DE EXECUÇÃO - (D)</v>
          </cell>
          <cell r="J2826">
            <v>14.87</v>
          </cell>
        </row>
        <row r="2827">
          <cell r="C2827" t="str">
            <v>ÍTEM</v>
          </cell>
          <cell r="D2827" t="str">
            <v>M A T E R I A L</v>
          </cell>
          <cell r="E2827" t="str">
            <v>UNID</v>
          </cell>
          <cell r="F2827" t="str">
            <v>CONSUMO</v>
          </cell>
          <cell r="H2827" t="str">
            <v xml:space="preserve"> PREÇO UNITÁRIO</v>
          </cell>
          <cell r="J2827" t="str">
            <v>CUSTO UNITÁRIO</v>
          </cell>
        </row>
        <row r="2828">
          <cell r="D2828" t="str">
            <v/>
          </cell>
          <cell r="E2828" t="str">
            <v/>
          </cell>
          <cell r="J2828">
            <v>0</v>
          </cell>
        </row>
        <row r="2829">
          <cell r="D2829" t="str">
            <v/>
          </cell>
          <cell r="J2829">
            <v>0</v>
          </cell>
        </row>
        <row r="2830">
          <cell r="D2830" t="str">
            <v/>
          </cell>
          <cell r="E2830" t="str">
            <v/>
          </cell>
          <cell r="J2830">
            <v>0</v>
          </cell>
        </row>
        <row r="2831">
          <cell r="D2831" t="str">
            <v/>
          </cell>
          <cell r="E2831" t="str">
            <v/>
          </cell>
          <cell r="J2831">
            <v>0</v>
          </cell>
        </row>
        <row r="2832">
          <cell r="D2832" t="str">
            <v/>
          </cell>
          <cell r="E2832" t="str">
            <v/>
          </cell>
          <cell r="J2832">
            <v>0</v>
          </cell>
        </row>
        <row r="2833">
          <cell r="F2833" t="str">
            <v>CUSTO TOTAL DE MATERIAL - (E)</v>
          </cell>
          <cell r="J2833">
            <v>0</v>
          </cell>
        </row>
        <row r="2834">
          <cell r="C2834" t="str">
            <v>CODIGO</v>
          </cell>
          <cell r="D2834" t="str">
            <v>ATIVIDADES AUXILIARES</v>
          </cell>
          <cell r="E2834" t="str">
            <v>UND</v>
          </cell>
          <cell r="F2834" t="str">
            <v>QUANTIDADE</v>
          </cell>
          <cell r="H2834" t="str">
            <v>CUSTO UNITÁRIO</v>
          </cell>
          <cell r="J2834" t="str">
            <v>CUSTO UNITÁRIO</v>
          </cell>
        </row>
        <row r="2835">
          <cell r="D2835" t="str">
            <v/>
          </cell>
          <cell r="E2835" t="str">
            <v/>
          </cell>
          <cell r="H2835" t="str">
            <v/>
          </cell>
          <cell r="J2835" t="str">
            <v/>
          </cell>
        </row>
        <row r="2836">
          <cell r="D2836" t="str">
            <v/>
          </cell>
          <cell r="E2836" t="str">
            <v/>
          </cell>
          <cell r="H2836" t="str">
            <v/>
          </cell>
          <cell r="J2836" t="str">
            <v/>
          </cell>
        </row>
        <row r="2837">
          <cell r="D2837" t="str">
            <v/>
          </cell>
          <cell r="E2837" t="str">
            <v/>
          </cell>
          <cell r="H2837" t="str">
            <v/>
          </cell>
          <cell r="J2837" t="str">
            <v/>
          </cell>
        </row>
        <row r="2838">
          <cell r="D2838" t="str">
            <v/>
          </cell>
          <cell r="E2838" t="str">
            <v/>
          </cell>
          <cell r="H2838" t="str">
            <v/>
          </cell>
          <cell r="J2838" t="str">
            <v/>
          </cell>
        </row>
        <row r="2839">
          <cell r="D2839" t="str">
            <v/>
          </cell>
          <cell r="H2839" t="str">
            <v/>
          </cell>
          <cell r="J2839" t="str">
            <v/>
          </cell>
        </row>
        <row r="2840">
          <cell r="C2840" t="str">
            <v>OBSERVAÇÕES:</v>
          </cell>
          <cell r="F2840" t="str">
            <v>CUSTO ATIVIDADES AUXILIARES - (F)</v>
          </cell>
          <cell r="J2840">
            <v>0</v>
          </cell>
        </row>
        <row r="2841">
          <cell r="F2841" t="str">
            <v>CUSTO UNITÁRIO DIRETO TOTAL</v>
          </cell>
          <cell r="J2841">
            <v>22.31</v>
          </cell>
        </row>
        <row r="2842">
          <cell r="F2842" t="str">
            <v xml:space="preserve">BONIFICAÇÃO </v>
          </cell>
          <cell r="H2842">
            <v>0</v>
          </cell>
          <cell r="J2842">
            <v>0</v>
          </cell>
        </row>
        <row r="2843">
          <cell r="F2843" t="str">
            <v>PREÇO UNITÁRIO  TOTAL</v>
          </cell>
          <cell r="J2843">
            <v>22.31</v>
          </cell>
        </row>
        <row r="2847">
          <cell r="A2847" t="str">
            <v>2 S 05 301 50</v>
          </cell>
          <cell r="C2847" t="str">
            <v>SERVIÇO:</v>
          </cell>
          <cell r="D2847" t="str">
            <v>Alvenaria de pedra argamassada 1:3 AC/PC</v>
          </cell>
          <cell r="F2847" t="str">
            <v>PRODUÇÃO DA EQUIPE - (C):</v>
          </cell>
          <cell r="J2847">
            <v>1</v>
          </cell>
          <cell r="K2847" t="str">
            <v>m³</v>
          </cell>
          <cell r="M2847">
            <v>212.12</v>
          </cell>
        </row>
        <row r="2848">
          <cell r="F2848" t="str">
            <v>UNITÁRIO</v>
          </cell>
          <cell r="H2848" t="str">
            <v>C. OPERACIONAL</v>
          </cell>
        </row>
        <row r="2849">
          <cell r="C2849" t="str">
            <v>ÍTEM</v>
          </cell>
          <cell r="D2849" t="str">
            <v>E Q U I P A M E N T O</v>
          </cell>
          <cell r="E2849" t="str">
            <v>QUANT.</v>
          </cell>
          <cell r="F2849" t="str">
            <v>PROD</v>
          </cell>
          <cell r="G2849" t="str">
            <v>IMPROD</v>
          </cell>
          <cell r="H2849" t="str">
            <v>PROD</v>
          </cell>
          <cell r="I2849" t="str">
            <v>IMPROD</v>
          </cell>
          <cell r="J2849" t="str">
            <v>CUSTO HORÁRIO</v>
          </cell>
        </row>
        <row r="2850">
          <cell r="C2850" t="str">
            <v>E404</v>
          </cell>
          <cell r="D2850" t="str">
            <v>(*) Caminhão Basculante : Mercedes Benz : 2423K -  10 m3 - 15 t</v>
          </cell>
          <cell r="E2850">
            <v>0.01</v>
          </cell>
          <cell r="F2850">
            <v>1</v>
          </cell>
          <cell r="G2850">
            <v>0</v>
          </cell>
          <cell r="H2850">
            <v>121.69</v>
          </cell>
          <cell r="I2850">
            <v>20.47</v>
          </cell>
          <cell r="J2850">
            <v>1.21</v>
          </cell>
        </row>
        <row r="2851">
          <cell r="D2851" t="str">
            <v/>
          </cell>
          <cell r="G2851" t="str">
            <v/>
          </cell>
          <cell r="H2851" t="str">
            <v/>
          </cell>
          <cell r="I2851" t="str">
            <v/>
          </cell>
          <cell r="J2851" t="str">
            <v/>
          </cell>
        </row>
        <row r="2852">
          <cell r="D2852" t="str">
            <v/>
          </cell>
          <cell r="G2852" t="str">
            <v/>
          </cell>
          <cell r="H2852" t="str">
            <v/>
          </cell>
          <cell r="I2852" t="str">
            <v/>
          </cell>
          <cell r="J2852" t="str">
            <v/>
          </cell>
        </row>
        <row r="2853">
          <cell r="D2853" t="str">
            <v/>
          </cell>
          <cell r="G2853" t="str">
            <v/>
          </cell>
          <cell r="H2853" t="str">
            <v/>
          </cell>
          <cell r="I2853" t="str">
            <v/>
          </cell>
          <cell r="J2853" t="str">
            <v/>
          </cell>
        </row>
        <row r="2854">
          <cell r="D2854" t="str">
            <v/>
          </cell>
          <cell r="G2854" t="str">
            <v/>
          </cell>
          <cell r="H2854" t="str">
            <v/>
          </cell>
          <cell r="I2854" t="str">
            <v/>
          </cell>
          <cell r="J2854" t="str">
            <v/>
          </cell>
        </row>
        <row r="2855">
          <cell r="F2855" t="str">
            <v>CUSTO HORÁRIO DO EQUIPAMENTO - (A)</v>
          </cell>
          <cell r="J2855">
            <v>1.21</v>
          </cell>
        </row>
        <row r="2856">
          <cell r="C2856" t="str">
            <v>ÍTEM</v>
          </cell>
          <cell r="D2856" t="str">
            <v>M Ã O    D E   O B R A</v>
          </cell>
          <cell r="E2856" t="str">
            <v>QUANT.</v>
          </cell>
          <cell r="F2856" t="str">
            <v>SALÁRIO HORA</v>
          </cell>
          <cell r="J2856" t="str">
            <v>CUSTO HORÁRIO</v>
          </cell>
        </row>
        <row r="2857">
          <cell r="C2857" t="str">
            <v>T604</v>
          </cell>
          <cell r="D2857" t="str">
            <v>Pedreiro</v>
          </cell>
          <cell r="E2857">
            <v>1</v>
          </cell>
          <cell r="F2857">
            <v>9.44</v>
          </cell>
          <cell r="G2857" t="e">
            <v>#N/A</v>
          </cell>
          <cell r="H2857" t="e">
            <v>#N/A</v>
          </cell>
          <cell r="I2857" t="e">
            <v>#N/A</v>
          </cell>
          <cell r="J2857">
            <v>9.44</v>
          </cell>
        </row>
        <row r="2858">
          <cell r="C2858" t="str">
            <v>T701</v>
          </cell>
          <cell r="D2858" t="str">
            <v>Servente</v>
          </cell>
          <cell r="E2858">
            <v>4</v>
          </cell>
          <cell r="F2858">
            <v>6.99</v>
          </cell>
          <cell r="G2858" t="e">
            <v>#N/A</v>
          </cell>
          <cell r="H2858" t="e">
            <v>#N/A</v>
          </cell>
          <cell r="I2858" t="e">
            <v>#N/A</v>
          </cell>
          <cell r="J2858">
            <v>27.96</v>
          </cell>
        </row>
        <row r="2859">
          <cell r="D2859" t="str">
            <v/>
          </cell>
          <cell r="F2859" t="str">
            <v/>
          </cell>
          <cell r="G2859" t="str">
            <v/>
          </cell>
          <cell r="H2859" t="str">
            <v/>
          </cell>
          <cell r="I2859" t="str">
            <v/>
          </cell>
          <cell r="J2859" t="str">
            <v/>
          </cell>
        </row>
        <row r="2860">
          <cell r="D2860" t="str">
            <v/>
          </cell>
          <cell r="F2860" t="str">
            <v/>
          </cell>
          <cell r="G2860" t="str">
            <v/>
          </cell>
          <cell r="H2860" t="str">
            <v/>
          </cell>
          <cell r="I2860" t="str">
            <v/>
          </cell>
          <cell r="J2860" t="str">
            <v/>
          </cell>
        </row>
        <row r="2861">
          <cell r="D2861" t="str">
            <v/>
          </cell>
          <cell r="F2861" t="str">
            <v/>
          </cell>
          <cell r="G2861" t="str">
            <v/>
          </cell>
          <cell r="H2861" t="str">
            <v/>
          </cell>
          <cell r="I2861" t="str">
            <v/>
          </cell>
          <cell r="J2861" t="str">
            <v/>
          </cell>
        </row>
        <row r="2862">
          <cell r="F2862" t="str">
            <v>CUSTO HORÁRIO DE MÃO DE OBRA - (B)</v>
          </cell>
          <cell r="J2862">
            <v>37.4</v>
          </cell>
        </row>
        <row r="2863">
          <cell r="F2863" t="str">
            <v>FERRAMENTAS</v>
          </cell>
          <cell r="H2863">
            <v>0.05</v>
          </cell>
          <cell r="J2863">
            <v>1.87</v>
          </cell>
        </row>
        <row r="2864">
          <cell r="F2864" t="str">
            <v>CUSTO HORÁRIO TOTAL - (A + B)</v>
          </cell>
          <cell r="J2864">
            <v>40.479999999999997</v>
          </cell>
        </row>
        <row r="2865">
          <cell r="F2865" t="str">
            <v>CUSTO UNITÁRIO DE EXECUÇÃO - (D)</v>
          </cell>
          <cell r="J2865">
            <v>40.479999999999997</v>
          </cell>
        </row>
        <row r="2866">
          <cell r="C2866" t="str">
            <v>ÍTEM</v>
          </cell>
          <cell r="D2866" t="str">
            <v>M A T E R I A L</v>
          </cell>
          <cell r="E2866" t="str">
            <v>UNID</v>
          </cell>
          <cell r="F2866" t="str">
            <v>CONSUMO</v>
          </cell>
          <cell r="H2866" t="str">
            <v xml:space="preserve"> PREÇO UNITÁRIO</v>
          </cell>
          <cell r="J2866" t="str">
            <v>CUSTO UNITÁRIO</v>
          </cell>
        </row>
        <row r="2867">
          <cell r="C2867" t="str">
            <v>M711</v>
          </cell>
          <cell r="D2867" t="str">
            <v>Pedra rachão comercial DMTaté 50 km</v>
          </cell>
          <cell r="E2867" t="str">
            <v>m³</v>
          </cell>
          <cell r="F2867">
            <v>0.8</v>
          </cell>
          <cell r="H2867">
            <v>65</v>
          </cell>
          <cell r="I2867" t="str">
            <v/>
          </cell>
          <cell r="J2867">
            <v>52</v>
          </cell>
        </row>
        <row r="2868">
          <cell r="D2868" t="str">
            <v/>
          </cell>
          <cell r="E2868" t="str">
            <v/>
          </cell>
          <cell r="H2868" t="str">
            <v/>
          </cell>
          <cell r="I2868" t="str">
            <v/>
          </cell>
          <cell r="J2868" t="str">
            <v/>
          </cell>
        </row>
        <row r="2869">
          <cell r="D2869" t="str">
            <v/>
          </cell>
          <cell r="E2869" t="str">
            <v/>
          </cell>
          <cell r="H2869" t="str">
            <v/>
          </cell>
          <cell r="I2869" t="str">
            <v/>
          </cell>
          <cell r="J2869" t="str">
            <v/>
          </cell>
        </row>
        <row r="2870">
          <cell r="D2870" t="str">
            <v/>
          </cell>
          <cell r="E2870" t="str">
            <v/>
          </cell>
          <cell r="H2870" t="str">
            <v/>
          </cell>
          <cell r="I2870" t="str">
            <v/>
          </cell>
          <cell r="J2870" t="str">
            <v/>
          </cell>
        </row>
        <row r="2871">
          <cell r="D2871" t="str">
            <v/>
          </cell>
          <cell r="E2871" t="str">
            <v/>
          </cell>
          <cell r="H2871" t="str">
            <v/>
          </cell>
          <cell r="I2871" t="str">
            <v/>
          </cell>
          <cell r="J2871" t="str">
            <v/>
          </cell>
        </row>
        <row r="2872">
          <cell r="F2872" t="str">
            <v>CUSTO TOTAL DE MATERIAL - (E)</v>
          </cell>
          <cell r="J2872">
            <v>52</v>
          </cell>
        </row>
        <row r="2873">
          <cell r="C2873" t="str">
            <v>CODIGO</v>
          </cell>
          <cell r="D2873" t="str">
            <v>ATIVIDADES AUXILIARES</v>
          </cell>
          <cell r="E2873" t="str">
            <v>UND</v>
          </cell>
          <cell r="F2873" t="str">
            <v>QUANTIDADE</v>
          </cell>
          <cell r="H2873" t="str">
            <v>CUSTO UNITÁRIO</v>
          </cell>
          <cell r="J2873" t="str">
            <v>CUSTO UNITÁRIO</v>
          </cell>
        </row>
        <row r="2874">
          <cell r="C2874" t="str">
            <v>1 A 01 603 51</v>
          </cell>
          <cell r="D2874" t="str">
            <v>Argamassa cimento-areia 1:3 A</v>
          </cell>
          <cell r="E2874" t="str">
            <v>m³</v>
          </cell>
          <cell r="F2874">
            <v>0.32</v>
          </cell>
          <cell r="H2874">
            <v>373.89</v>
          </cell>
          <cell r="J2874">
            <v>119.64</v>
          </cell>
        </row>
        <row r="2875">
          <cell r="D2875" t="str">
            <v/>
          </cell>
          <cell r="E2875" t="str">
            <v/>
          </cell>
          <cell r="H2875" t="str">
            <v/>
          </cell>
          <cell r="J2875" t="str">
            <v/>
          </cell>
        </row>
        <row r="2876">
          <cell r="D2876" t="str">
            <v/>
          </cell>
          <cell r="E2876" t="str">
            <v/>
          </cell>
          <cell r="H2876" t="str">
            <v/>
          </cell>
          <cell r="J2876" t="str">
            <v/>
          </cell>
        </row>
        <row r="2877">
          <cell r="D2877" t="str">
            <v/>
          </cell>
          <cell r="E2877" t="str">
            <v/>
          </cell>
          <cell r="H2877" t="str">
            <v/>
          </cell>
          <cell r="J2877" t="str">
            <v/>
          </cell>
        </row>
        <row r="2878">
          <cell r="D2878" t="str">
            <v/>
          </cell>
          <cell r="H2878" t="str">
            <v/>
          </cell>
          <cell r="J2878" t="str">
            <v/>
          </cell>
        </row>
        <row r="2879">
          <cell r="C2879" t="str">
            <v>OBSERVAÇÕES:</v>
          </cell>
          <cell r="F2879" t="str">
            <v>CUSTO ATIVIDADES AUXILIARES - (F)</v>
          </cell>
          <cell r="J2879">
            <v>119.64</v>
          </cell>
        </row>
        <row r="2880">
          <cell r="F2880" t="str">
            <v>CUSTO UNITÁRIO DIRETO TOTAL</v>
          </cell>
          <cell r="J2880">
            <v>212.12</v>
          </cell>
        </row>
        <row r="2881">
          <cell r="F2881" t="str">
            <v xml:space="preserve">BONIFICAÇÃO </v>
          </cell>
          <cell r="H2881">
            <v>0</v>
          </cell>
          <cell r="J2881">
            <v>0</v>
          </cell>
        </row>
        <row r="2882">
          <cell r="F2882" t="str">
            <v>PREÇO UNITÁRIO  TOTAL</v>
          </cell>
          <cell r="J2882">
            <v>212.12</v>
          </cell>
        </row>
        <row r="2886">
          <cell r="A2886">
            <v>49101</v>
          </cell>
          <cell r="C2886" t="str">
            <v>SERVIÇO:</v>
          </cell>
          <cell r="D2886" t="str">
            <v>Usinagem com 70% de solo e de 30% de brita.</v>
          </cell>
          <cell r="F2886" t="str">
            <v>PRODUÇÃO DA EQUIPE - (C):</v>
          </cell>
          <cell r="J2886">
            <v>121</v>
          </cell>
          <cell r="K2886" t="str">
            <v>M3</v>
          </cell>
          <cell r="M2886">
            <v>35.549999999999997</v>
          </cell>
        </row>
        <row r="2887">
          <cell r="F2887" t="str">
            <v>UNITÁRIO</v>
          </cell>
          <cell r="H2887" t="str">
            <v>C. OPERACIONAL</v>
          </cell>
        </row>
        <row r="2888">
          <cell r="C2888" t="str">
            <v>ÍTEM</v>
          </cell>
          <cell r="D2888" t="str">
            <v>E Q U I P A M E N T O</v>
          </cell>
          <cell r="E2888" t="str">
            <v>QUANT.</v>
          </cell>
          <cell r="F2888" t="str">
            <v>PROD</v>
          </cell>
          <cell r="G2888" t="str">
            <v>IMPROD</v>
          </cell>
          <cell r="H2888" t="str">
            <v>PROD</v>
          </cell>
          <cell r="I2888" t="str">
            <v>IMPROD</v>
          </cell>
          <cell r="J2888" t="str">
            <v>CUSTO HORÁRIO</v>
          </cell>
        </row>
        <row r="2889">
          <cell r="C2889" t="str">
            <v>E010</v>
          </cell>
          <cell r="D2889" t="str">
            <v>Carregadeira de Pneus : Caterpillar : 950H -  3,3 m3</v>
          </cell>
          <cell r="E2889">
            <v>1</v>
          </cell>
          <cell r="F2889">
            <v>1</v>
          </cell>
          <cell r="G2889">
            <v>0</v>
          </cell>
          <cell r="H2889">
            <v>180.79</v>
          </cell>
          <cell r="I2889">
            <v>22.39</v>
          </cell>
          <cell r="J2889">
            <v>180.79</v>
          </cell>
        </row>
        <row r="2890">
          <cell r="C2890" t="str">
            <v>E106</v>
          </cell>
          <cell r="D2890" t="str">
            <v>Usina Misturadora : Cifali : - de solos 350 / 600 t/h</v>
          </cell>
          <cell r="E2890">
            <v>1</v>
          </cell>
          <cell r="F2890">
            <v>1</v>
          </cell>
          <cell r="G2890">
            <v>0</v>
          </cell>
          <cell r="H2890">
            <v>93.96</v>
          </cell>
          <cell r="I2890">
            <v>23.67</v>
          </cell>
          <cell r="J2890">
            <v>93.96</v>
          </cell>
        </row>
        <row r="2891">
          <cell r="C2891" t="str">
            <v>E503</v>
          </cell>
          <cell r="D2891" t="str">
            <v>Grupo Gerador : Heimer : GEHM-180 - 164 / 180 KVA</v>
          </cell>
          <cell r="E2891">
            <v>1</v>
          </cell>
          <cell r="F2891">
            <v>1</v>
          </cell>
          <cell r="G2891">
            <v>0</v>
          </cell>
          <cell r="H2891">
            <v>87.13</v>
          </cell>
          <cell r="I2891">
            <v>17.27</v>
          </cell>
          <cell r="J2891">
            <v>87.13</v>
          </cell>
        </row>
        <row r="2892">
          <cell r="D2892" t="str">
            <v/>
          </cell>
          <cell r="G2892" t="str">
            <v/>
          </cell>
          <cell r="H2892" t="str">
            <v/>
          </cell>
          <cell r="I2892" t="str">
            <v/>
          </cell>
          <cell r="J2892" t="str">
            <v/>
          </cell>
        </row>
        <row r="2893">
          <cell r="D2893" t="str">
            <v/>
          </cell>
          <cell r="G2893" t="str">
            <v/>
          </cell>
          <cell r="H2893" t="str">
            <v/>
          </cell>
          <cell r="I2893" t="str">
            <v/>
          </cell>
          <cell r="J2893" t="str">
            <v/>
          </cell>
        </row>
        <row r="2894">
          <cell r="D2894" t="str">
            <v/>
          </cell>
          <cell r="G2894" t="str">
            <v/>
          </cell>
          <cell r="H2894" t="str">
            <v/>
          </cell>
          <cell r="I2894" t="str">
            <v/>
          </cell>
          <cell r="J2894" t="str">
            <v/>
          </cell>
        </row>
        <row r="2895">
          <cell r="D2895" t="str">
            <v/>
          </cell>
          <cell r="G2895" t="str">
            <v/>
          </cell>
          <cell r="H2895" t="str">
            <v/>
          </cell>
          <cell r="I2895" t="str">
            <v/>
          </cell>
          <cell r="J2895" t="str">
            <v/>
          </cell>
        </row>
        <row r="2896">
          <cell r="F2896" t="str">
            <v>CUSTO HORÁRIO DO EQUIPAMENTO - (A)</v>
          </cell>
          <cell r="J2896">
            <v>361.88</v>
          </cell>
        </row>
        <row r="2897">
          <cell r="C2897" t="str">
            <v>ÍTEM</v>
          </cell>
          <cell r="D2897" t="str">
            <v>M Ã O    D E   O B R A</v>
          </cell>
          <cell r="E2897" t="str">
            <v>QUANT.</v>
          </cell>
          <cell r="F2897" t="str">
            <v>SALÁRIO HORA</v>
          </cell>
          <cell r="J2897" t="str">
            <v>CUSTO HORÁRIO</v>
          </cell>
        </row>
        <row r="2898">
          <cell r="C2898" t="str">
            <v>T501</v>
          </cell>
          <cell r="D2898" t="str">
            <v>Encarregado de turma</v>
          </cell>
          <cell r="E2898">
            <v>1</v>
          </cell>
          <cell r="F2898">
            <v>21.11</v>
          </cell>
          <cell r="G2898" t="e">
            <v>#N/A</v>
          </cell>
          <cell r="H2898" t="e">
            <v>#N/A</v>
          </cell>
          <cell r="I2898" t="e">
            <v>#N/A</v>
          </cell>
          <cell r="J2898">
            <v>21.11</v>
          </cell>
        </row>
        <row r="2899">
          <cell r="C2899" t="str">
            <v>T701</v>
          </cell>
          <cell r="D2899" t="str">
            <v>Servente</v>
          </cell>
          <cell r="E2899">
            <v>5</v>
          </cell>
          <cell r="F2899">
            <v>6.99</v>
          </cell>
          <cell r="G2899" t="e">
            <v>#N/A</v>
          </cell>
          <cell r="H2899" t="e">
            <v>#N/A</v>
          </cell>
          <cell r="I2899" t="e">
            <v>#N/A</v>
          </cell>
          <cell r="J2899">
            <v>34.950000000000003</v>
          </cell>
        </row>
        <row r="2900">
          <cell r="D2900" t="str">
            <v/>
          </cell>
          <cell r="F2900" t="str">
            <v/>
          </cell>
          <cell r="G2900" t="str">
            <v/>
          </cell>
          <cell r="H2900" t="str">
            <v/>
          </cell>
          <cell r="I2900" t="str">
            <v/>
          </cell>
          <cell r="J2900" t="str">
            <v/>
          </cell>
        </row>
        <row r="2901">
          <cell r="D2901" t="str">
            <v/>
          </cell>
          <cell r="F2901" t="str">
            <v/>
          </cell>
          <cell r="G2901" t="str">
            <v/>
          </cell>
          <cell r="H2901" t="str">
            <v/>
          </cell>
          <cell r="I2901" t="str">
            <v/>
          </cell>
          <cell r="J2901" t="str">
            <v/>
          </cell>
        </row>
        <row r="2902">
          <cell r="D2902" t="str">
            <v/>
          </cell>
          <cell r="F2902" t="str">
            <v/>
          </cell>
          <cell r="G2902" t="str">
            <v/>
          </cell>
          <cell r="H2902" t="str">
            <v/>
          </cell>
          <cell r="I2902" t="str">
            <v/>
          </cell>
          <cell r="J2902" t="str">
            <v/>
          </cell>
        </row>
        <row r="2903">
          <cell r="F2903" t="str">
            <v>CUSTO HORÁRIO DE MÃO DE OBRA - (B)</v>
          </cell>
          <cell r="J2903">
            <v>56.06</v>
          </cell>
        </row>
        <row r="2904">
          <cell r="F2904" t="str">
            <v>FERRAMENTAS</v>
          </cell>
          <cell r="H2904">
            <v>0.15509999999999999</v>
          </cell>
          <cell r="J2904">
            <v>8.69</v>
          </cell>
        </row>
        <row r="2905">
          <cell r="F2905" t="str">
            <v>CUSTO HORÁRIO TOTAL - (A + B)</v>
          </cell>
          <cell r="J2905">
            <v>426.63</v>
          </cell>
        </row>
        <row r="2906">
          <cell r="F2906" t="str">
            <v>CUSTO UNITÁRIO DE EXECUÇÃO - (D)</v>
          </cell>
          <cell r="J2906">
            <v>3.52</v>
          </cell>
        </row>
        <row r="2907">
          <cell r="C2907" t="str">
            <v>ÍTEM</v>
          </cell>
          <cell r="D2907" t="str">
            <v>M A T E R I A L</v>
          </cell>
          <cell r="E2907" t="str">
            <v>UNID</v>
          </cell>
          <cell r="F2907" t="str">
            <v>CONSUMO</v>
          </cell>
          <cell r="H2907" t="str">
            <v xml:space="preserve"> PREÇO UNITÁRIO</v>
          </cell>
          <cell r="J2907" t="str">
            <v>CUSTO UNITÁRIO</v>
          </cell>
        </row>
        <row r="2908">
          <cell r="C2908">
            <v>10323</v>
          </cell>
          <cell r="D2908" t="str">
            <v>Brita Comercial DMT até 50 km</v>
          </cell>
          <cell r="E2908" t="str">
            <v>m³</v>
          </cell>
          <cell r="F2908">
            <v>0.44</v>
          </cell>
          <cell r="H2908">
            <v>72.8</v>
          </cell>
          <cell r="J2908">
            <v>32.03</v>
          </cell>
        </row>
        <row r="2909">
          <cell r="D2909" t="str">
            <v/>
          </cell>
          <cell r="J2909">
            <v>0</v>
          </cell>
        </row>
        <row r="2910">
          <cell r="D2910" t="str">
            <v/>
          </cell>
          <cell r="E2910" t="str">
            <v/>
          </cell>
          <cell r="J2910">
            <v>0</v>
          </cell>
        </row>
        <row r="2911">
          <cell r="D2911" t="str">
            <v/>
          </cell>
          <cell r="E2911" t="str">
            <v/>
          </cell>
          <cell r="J2911">
            <v>0</v>
          </cell>
        </row>
        <row r="2912">
          <cell r="D2912" t="str">
            <v/>
          </cell>
          <cell r="E2912" t="str">
            <v/>
          </cell>
          <cell r="J2912">
            <v>0</v>
          </cell>
        </row>
        <row r="2913">
          <cell r="F2913" t="str">
            <v>CUSTO TOTAL DE MATERIAL - (E)</v>
          </cell>
          <cell r="J2913">
            <v>32.03</v>
          </cell>
        </row>
        <row r="2914">
          <cell r="C2914" t="str">
            <v>CODIGO</v>
          </cell>
          <cell r="D2914" t="str">
            <v>ATIVIDADES AUXILIARES</v>
          </cell>
          <cell r="E2914" t="str">
            <v>UND</v>
          </cell>
          <cell r="F2914" t="str">
            <v>QUANTIDADE</v>
          </cell>
          <cell r="H2914" t="str">
            <v>CUSTO UNITÁRIO</v>
          </cell>
          <cell r="J2914" t="str">
            <v>CUSTO UNITÁRIO</v>
          </cell>
        </row>
        <row r="2915">
          <cell r="D2915" t="str">
            <v/>
          </cell>
          <cell r="E2915" t="str">
            <v/>
          </cell>
          <cell r="H2915" t="str">
            <v/>
          </cell>
          <cell r="J2915" t="str">
            <v/>
          </cell>
        </row>
        <row r="2916">
          <cell r="D2916" t="str">
            <v/>
          </cell>
          <cell r="E2916" t="str">
            <v/>
          </cell>
          <cell r="H2916" t="str">
            <v/>
          </cell>
          <cell r="J2916" t="str">
            <v/>
          </cell>
        </row>
        <row r="2917">
          <cell r="D2917" t="str">
            <v/>
          </cell>
          <cell r="E2917" t="str">
            <v/>
          </cell>
          <cell r="H2917" t="str">
            <v/>
          </cell>
          <cell r="J2917" t="str">
            <v/>
          </cell>
        </row>
        <row r="2918">
          <cell r="D2918" t="str">
            <v/>
          </cell>
          <cell r="E2918" t="str">
            <v/>
          </cell>
          <cell r="H2918" t="str">
            <v/>
          </cell>
          <cell r="J2918" t="str">
            <v/>
          </cell>
        </row>
        <row r="2919">
          <cell r="D2919" t="str">
            <v/>
          </cell>
          <cell r="H2919" t="str">
            <v/>
          </cell>
          <cell r="J2919" t="str">
            <v/>
          </cell>
        </row>
        <row r="2920">
          <cell r="C2920" t="str">
            <v>OBSERVAÇÕES:</v>
          </cell>
          <cell r="F2920" t="str">
            <v>CUSTO ATIVIDADES AUXILIARES - (F)</v>
          </cell>
          <cell r="J2920">
            <v>0</v>
          </cell>
        </row>
        <row r="2921">
          <cell r="F2921" t="str">
            <v>CUSTO UNITÁRIO DIRETO TOTAL</v>
          </cell>
          <cell r="J2921">
            <v>35.549999999999997</v>
          </cell>
        </row>
        <row r="2922">
          <cell r="F2922" t="str">
            <v xml:space="preserve">BONIFICAÇÃO </v>
          </cell>
          <cell r="H2922">
            <v>0</v>
          </cell>
          <cell r="J2922">
            <v>0</v>
          </cell>
        </row>
        <row r="2923">
          <cell r="F2923" t="str">
            <v>PREÇO UNITÁRIO  TOTAL</v>
          </cell>
          <cell r="J2923">
            <v>35.549999999999997</v>
          </cell>
        </row>
        <row r="2926">
          <cell r="A2926">
            <v>45010</v>
          </cell>
          <cell r="C2926" t="str">
            <v>SERVIÇO:</v>
          </cell>
          <cell r="D2926" t="str">
            <v>Mistura Betuminosa CBUQ Massa Fina AC/BC</v>
          </cell>
          <cell r="F2926" t="str">
            <v>PRODUÇÃO DA EQUIPE - (C):</v>
          </cell>
          <cell r="J2926">
            <v>50</v>
          </cell>
          <cell r="K2926" t="str">
            <v>t</v>
          </cell>
          <cell r="M2926">
            <v>78.52</v>
          </cell>
        </row>
        <row r="2927">
          <cell r="F2927" t="str">
            <v>UNITÁRIO</v>
          </cell>
          <cell r="H2927" t="str">
            <v>C. OPERACIONAL</v>
          </cell>
        </row>
        <row r="2928">
          <cell r="C2928" t="str">
            <v>ÍTEM</v>
          </cell>
          <cell r="D2928" t="str">
            <v>E Q U I P A M E N T O</v>
          </cell>
          <cell r="E2928" t="str">
            <v>QUANT.</v>
          </cell>
          <cell r="F2928" t="str">
            <v>PROD</v>
          </cell>
          <cell r="G2928" t="str">
            <v>IMPROD</v>
          </cell>
          <cell r="H2928" t="str">
            <v>PROD</v>
          </cell>
          <cell r="I2928" t="str">
            <v>IMPROD</v>
          </cell>
          <cell r="J2928" t="str">
            <v>CUSTO HORÁRIO</v>
          </cell>
        </row>
        <row r="2929">
          <cell r="C2929" t="str">
            <v>E010</v>
          </cell>
          <cell r="D2929" t="str">
            <v>Carregadeira de Pneus : Caterpillar : 950H -  3,3 m3</v>
          </cell>
          <cell r="E2929">
            <v>1</v>
          </cell>
          <cell r="F2929">
            <v>0.26</v>
          </cell>
          <cell r="G2929">
            <v>0.74</v>
          </cell>
          <cell r="H2929">
            <v>180.79</v>
          </cell>
          <cell r="I2929">
            <v>22.39</v>
          </cell>
          <cell r="J2929">
            <v>63.57</v>
          </cell>
        </row>
        <row r="2930">
          <cell r="C2930" t="str">
            <v>E110</v>
          </cell>
          <cell r="D2930" t="str">
            <v>Tanque de Estocagem de Asfalto : Cifali :  -  20.000 l</v>
          </cell>
          <cell r="E2930">
            <v>2</v>
          </cell>
          <cell r="F2930">
            <v>1</v>
          </cell>
          <cell r="G2930">
            <v>0</v>
          </cell>
          <cell r="H2930">
            <v>5.1100000000000003</v>
          </cell>
          <cell r="I2930">
            <v>0</v>
          </cell>
          <cell r="J2930">
            <v>10.220000000000001</v>
          </cell>
        </row>
        <row r="2931">
          <cell r="C2931" t="str">
            <v>E112</v>
          </cell>
          <cell r="D2931" t="str">
            <v xml:space="preserve">Aquecedor de Fluido Térmico : Tenge : TH III - </v>
          </cell>
          <cell r="E2931">
            <v>1</v>
          </cell>
          <cell r="F2931">
            <v>1</v>
          </cell>
          <cell r="G2931">
            <v>0</v>
          </cell>
          <cell r="H2931">
            <v>26.31</v>
          </cell>
          <cell r="I2931">
            <v>0</v>
          </cell>
          <cell r="J2931">
            <v>26.31</v>
          </cell>
        </row>
        <row r="2932">
          <cell r="C2932" t="str">
            <v>E147</v>
          </cell>
          <cell r="D2932" t="str">
            <v>Usina de Asfalto a Quente : Cifali : DMC-2 - 90/120 t/h com filtro de manga</v>
          </cell>
          <cell r="E2932">
            <v>1</v>
          </cell>
          <cell r="F2932">
            <v>1</v>
          </cell>
          <cell r="G2932">
            <v>0</v>
          </cell>
          <cell r="H2932">
            <v>309.3</v>
          </cell>
          <cell r="I2932">
            <v>23.67</v>
          </cell>
          <cell r="J2932">
            <v>309.3</v>
          </cell>
        </row>
        <row r="2933">
          <cell r="C2933" t="str">
            <v>E501</v>
          </cell>
          <cell r="D2933" t="str">
            <v>Grupo Gerador : Heimer : GEHM-40 - 36/40 KVA</v>
          </cell>
          <cell r="E2933">
            <v>1</v>
          </cell>
          <cell r="F2933">
            <v>1</v>
          </cell>
          <cell r="G2933">
            <v>0</v>
          </cell>
          <cell r="H2933">
            <v>34.1</v>
          </cell>
          <cell r="I2933">
            <v>17.27</v>
          </cell>
          <cell r="J2933">
            <v>34.1</v>
          </cell>
        </row>
        <row r="2934">
          <cell r="C2934" t="str">
            <v>E503</v>
          </cell>
          <cell r="D2934" t="str">
            <v>Grupo Gerador : Heimer : GEHM-180 - 164 / 180 KVA</v>
          </cell>
          <cell r="E2934">
            <v>1</v>
          </cell>
          <cell r="F2934">
            <v>1</v>
          </cell>
          <cell r="G2934">
            <v>0</v>
          </cell>
          <cell r="H2934">
            <v>87.13</v>
          </cell>
          <cell r="I2934">
            <v>17.27</v>
          </cell>
          <cell r="J2934">
            <v>87.13</v>
          </cell>
        </row>
        <row r="2935">
          <cell r="D2935" t="str">
            <v/>
          </cell>
          <cell r="G2935" t="str">
            <v/>
          </cell>
          <cell r="H2935" t="str">
            <v/>
          </cell>
          <cell r="I2935" t="str">
            <v/>
          </cell>
          <cell r="J2935" t="str">
            <v/>
          </cell>
        </row>
        <row r="2936">
          <cell r="F2936" t="str">
            <v>CUSTO HORÁRIO DO EQUIPAMENTO - (A)</v>
          </cell>
          <cell r="J2936">
            <v>530.63</v>
          </cell>
        </row>
        <row r="2937">
          <cell r="C2937" t="str">
            <v>ÍTEM</v>
          </cell>
          <cell r="D2937" t="str">
            <v>M Ã O    D E   O B R A</v>
          </cell>
          <cell r="E2937" t="str">
            <v>QUANT.</v>
          </cell>
          <cell r="F2937" t="str">
            <v>SALÁRIO HORA</v>
          </cell>
          <cell r="J2937" t="str">
            <v>CUSTO HORÁRIO</v>
          </cell>
        </row>
        <row r="2938">
          <cell r="C2938" t="str">
            <v>T501</v>
          </cell>
          <cell r="D2938" t="str">
            <v>Encarregado de turma</v>
          </cell>
          <cell r="E2938">
            <v>1</v>
          </cell>
          <cell r="F2938">
            <v>21.11</v>
          </cell>
          <cell r="G2938" t="e">
            <v>#N/A</v>
          </cell>
          <cell r="H2938" t="e">
            <v>#N/A</v>
          </cell>
          <cell r="I2938" t="e">
            <v>#N/A</v>
          </cell>
          <cell r="J2938">
            <v>21.11</v>
          </cell>
        </row>
        <row r="2939">
          <cell r="C2939" t="str">
            <v>T701</v>
          </cell>
          <cell r="D2939" t="str">
            <v>Servente</v>
          </cell>
          <cell r="E2939">
            <v>8</v>
          </cell>
          <cell r="F2939">
            <v>6.99</v>
          </cell>
          <cell r="G2939" t="e">
            <v>#N/A</v>
          </cell>
          <cell r="H2939" t="e">
            <v>#N/A</v>
          </cell>
          <cell r="I2939" t="e">
            <v>#N/A</v>
          </cell>
          <cell r="J2939">
            <v>55.92</v>
          </cell>
        </row>
        <row r="2940">
          <cell r="D2940" t="str">
            <v/>
          </cell>
          <cell r="F2940" t="str">
            <v/>
          </cell>
          <cell r="G2940" t="str">
            <v/>
          </cell>
          <cell r="H2940" t="str">
            <v/>
          </cell>
          <cell r="I2940" t="str">
            <v/>
          </cell>
          <cell r="J2940" t="str">
            <v/>
          </cell>
        </row>
        <row r="2941">
          <cell r="D2941" t="str">
            <v/>
          </cell>
          <cell r="F2941" t="str">
            <v/>
          </cell>
          <cell r="G2941" t="str">
            <v/>
          </cell>
          <cell r="H2941" t="str">
            <v/>
          </cell>
          <cell r="I2941" t="str">
            <v/>
          </cell>
          <cell r="J2941" t="str">
            <v/>
          </cell>
        </row>
        <row r="2942">
          <cell r="D2942" t="str">
            <v/>
          </cell>
          <cell r="F2942" t="str">
            <v/>
          </cell>
          <cell r="G2942" t="str">
            <v/>
          </cell>
          <cell r="H2942" t="str">
            <v/>
          </cell>
          <cell r="I2942" t="str">
            <v/>
          </cell>
          <cell r="J2942" t="str">
            <v/>
          </cell>
        </row>
        <row r="2943">
          <cell r="F2943" t="str">
            <v>CUSTO HORÁRIO DE MÃO DE OBRA - (B)</v>
          </cell>
          <cell r="J2943">
            <v>77.03</v>
          </cell>
        </row>
        <row r="2944">
          <cell r="F2944" t="str">
            <v>FERRAMENTAS</v>
          </cell>
          <cell r="H2944">
            <v>0.15509999999999999</v>
          </cell>
          <cell r="J2944">
            <v>11.94</v>
          </cell>
        </row>
        <row r="2945">
          <cell r="F2945" t="str">
            <v>CUSTO HORÁRIO TOTAL - (A + B)</v>
          </cell>
          <cell r="J2945">
            <v>619.6</v>
          </cell>
        </row>
        <row r="2946">
          <cell r="F2946" t="str">
            <v>CUSTO UNITÁRIO DE EXECUÇÃO - (D)</v>
          </cell>
          <cell r="J2946">
            <v>12.39</v>
          </cell>
        </row>
        <row r="2947">
          <cell r="C2947" t="str">
            <v>ÍTEM</v>
          </cell>
          <cell r="D2947" t="str">
            <v>M A T E R I A L</v>
          </cell>
          <cell r="E2947" t="str">
            <v>UNID</v>
          </cell>
          <cell r="F2947" t="str">
            <v>CONSUMO</v>
          </cell>
          <cell r="H2947" t="str">
            <v xml:space="preserve"> PREÇO UNITÁRIO</v>
          </cell>
          <cell r="J2947" t="str">
            <v>CUSTO UNITÁRIO</v>
          </cell>
        </row>
        <row r="2948">
          <cell r="C2948">
            <v>10322</v>
          </cell>
          <cell r="D2948" t="str">
            <v xml:space="preserve">Areia comercial  DMT ate 50 km </v>
          </cell>
          <cell r="E2948" t="str">
            <v>m³</v>
          </cell>
          <cell r="F2948">
            <v>0.23</v>
          </cell>
          <cell r="H2948">
            <v>52.5</v>
          </cell>
          <cell r="J2948">
            <v>12.07</v>
          </cell>
        </row>
        <row r="2949">
          <cell r="C2949" t="str">
            <v>M003</v>
          </cell>
          <cell r="D2949" t="str">
            <v>Óleo combustível 1A</v>
          </cell>
          <cell r="E2949" t="str">
            <v>L</v>
          </cell>
          <cell r="F2949">
            <v>8</v>
          </cell>
          <cell r="H2949">
            <v>1.64</v>
          </cell>
          <cell r="J2949">
            <v>13.12</v>
          </cell>
        </row>
        <row r="2950">
          <cell r="C2950" t="str">
            <v>M101</v>
          </cell>
          <cell r="D2950" t="str">
            <v>Cimento asfáltico CAP 50/70</v>
          </cell>
          <cell r="E2950" t="str">
            <v>t</v>
          </cell>
          <cell r="F2950">
            <v>0.06</v>
          </cell>
          <cell r="J2950">
            <v>0</v>
          </cell>
        </row>
        <row r="2951">
          <cell r="C2951" t="str">
            <v>M202</v>
          </cell>
          <cell r="D2951" t="str">
            <v>Cimento portland CP II-32</v>
          </cell>
          <cell r="E2951" t="str">
            <v>kg</v>
          </cell>
          <cell r="F2951">
            <v>30</v>
          </cell>
          <cell r="H2951">
            <v>0.45</v>
          </cell>
          <cell r="J2951">
            <v>13.5</v>
          </cell>
        </row>
        <row r="2952">
          <cell r="C2952">
            <v>10323</v>
          </cell>
          <cell r="D2952" t="str">
            <v>Brita Comercial DMT até 50 km</v>
          </cell>
          <cell r="E2952" t="str">
            <v>m³</v>
          </cell>
          <cell r="F2952">
            <v>0.377</v>
          </cell>
          <cell r="H2952">
            <v>72.8</v>
          </cell>
          <cell r="J2952">
            <v>27.44</v>
          </cell>
        </row>
        <row r="2953">
          <cell r="F2953" t="str">
            <v>CUSTO TOTAL DE MATERIAL - (E)</v>
          </cell>
          <cell r="J2953">
            <v>66.13</v>
          </cell>
        </row>
        <row r="2954">
          <cell r="C2954" t="str">
            <v>CODIGO</v>
          </cell>
          <cell r="D2954" t="str">
            <v>ATIVIDADES AUXILIARES</v>
          </cell>
          <cell r="E2954" t="str">
            <v>UND</v>
          </cell>
          <cell r="F2954" t="str">
            <v>QUANTIDADE</v>
          </cell>
          <cell r="H2954" t="str">
            <v>CUSTO UNITÁRIO</v>
          </cell>
          <cell r="J2954" t="str">
            <v>CUSTO UNITÁRIO</v>
          </cell>
        </row>
        <row r="2955">
          <cell r="D2955" t="str">
            <v/>
          </cell>
          <cell r="E2955" t="str">
            <v/>
          </cell>
          <cell r="H2955" t="str">
            <v/>
          </cell>
          <cell r="J2955" t="str">
            <v/>
          </cell>
        </row>
        <row r="2956">
          <cell r="D2956" t="str">
            <v/>
          </cell>
          <cell r="E2956" t="str">
            <v/>
          </cell>
          <cell r="H2956" t="str">
            <v/>
          </cell>
          <cell r="J2956" t="str">
            <v/>
          </cell>
        </row>
        <row r="2957">
          <cell r="D2957" t="str">
            <v/>
          </cell>
          <cell r="E2957" t="str">
            <v/>
          </cell>
          <cell r="H2957" t="str">
            <v/>
          </cell>
          <cell r="J2957" t="str">
            <v/>
          </cell>
        </row>
        <row r="2958">
          <cell r="D2958" t="str">
            <v/>
          </cell>
          <cell r="E2958" t="str">
            <v/>
          </cell>
          <cell r="H2958" t="str">
            <v/>
          </cell>
          <cell r="J2958" t="str">
            <v/>
          </cell>
        </row>
        <row r="2959">
          <cell r="D2959" t="str">
            <v/>
          </cell>
          <cell r="H2959" t="str">
            <v/>
          </cell>
          <cell r="J2959" t="str">
            <v/>
          </cell>
        </row>
        <row r="2960">
          <cell r="C2960" t="str">
            <v>OBSERVAÇÕES:</v>
          </cell>
          <cell r="F2960" t="str">
            <v>CUSTO ATIVIDADES AUXILIARES - (F)</v>
          </cell>
          <cell r="J2960">
            <v>0</v>
          </cell>
        </row>
        <row r="2961">
          <cell r="F2961" t="str">
            <v>CUSTO UNITÁRIO DIRETO TOTAL</v>
          </cell>
          <cell r="J2961">
            <v>78.52</v>
          </cell>
        </row>
        <row r="2962">
          <cell r="F2962" t="str">
            <v xml:space="preserve">BONIFICAÇÃO </v>
          </cell>
          <cell r="H2962">
            <v>0</v>
          </cell>
          <cell r="J2962">
            <v>0</v>
          </cell>
        </row>
        <row r="2963">
          <cell r="F2963" t="str">
            <v>PREÇO UNITÁRIO  TOTAL</v>
          </cell>
          <cell r="J2963">
            <v>78.52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CPU"/>
      <sheetName val="Insumos"/>
      <sheetName val="Veiculo"/>
      <sheetName val="Veículo Fiscalização"/>
    </sheetNames>
    <sheetDataSet>
      <sheetData sheetId="0" refreshError="1"/>
      <sheetData sheetId="1"/>
      <sheetData sheetId="2" refreshError="1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rgb="FFFFFF00"/>
    <pageSetUpPr fitToPage="1"/>
  </sheetPr>
  <dimension ref="A1:DK163"/>
  <sheetViews>
    <sheetView tabSelected="1" view="pageBreakPreview" zoomScale="80" zoomScaleNormal="100" zoomScaleSheetLayoutView="80" workbookViewId="0"/>
  </sheetViews>
  <sheetFormatPr defaultColWidth="11.140625" defaultRowHeight="12.75"/>
  <cols>
    <col min="1" max="1" width="2.7109375" style="9" customWidth="1"/>
    <col min="2" max="2" width="7.7109375" style="10" bestFit="1" customWidth="1"/>
    <col min="3" max="3" width="17.28515625" style="10" bestFit="1" customWidth="1"/>
    <col min="4" max="4" width="52.140625" style="11" customWidth="1"/>
    <col min="5" max="5" width="7.28515625" style="11" customWidth="1"/>
    <col min="6" max="6" width="8.140625" style="12" bestFit="1" customWidth="1"/>
    <col min="7" max="7" width="10.28515625" style="13" customWidth="1"/>
    <col min="8" max="8" width="10.7109375" style="13" customWidth="1"/>
    <col min="9" max="9" width="17.42578125" style="14" customWidth="1"/>
    <col min="10" max="10" width="8.7109375" style="200" customWidth="1"/>
    <col min="11" max="11" width="15.140625" style="9" customWidth="1"/>
    <col min="12" max="16384" width="11.140625" style="9"/>
  </cols>
  <sheetData>
    <row r="1" spans="1:115" s="2" customFormat="1">
      <c r="A1" s="1"/>
      <c r="B1" s="629"/>
      <c r="C1" s="629"/>
      <c r="D1" s="629"/>
      <c r="E1" s="629"/>
      <c r="F1" s="629"/>
      <c r="G1" s="629"/>
      <c r="H1" s="629"/>
      <c r="I1" s="629"/>
      <c r="J1" s="20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</row>
    <row r="2" spans="1:115" s="2" customFormat="1">
      <c r="A2" s="1"/>
      <c r="B2" s="629"/>
      <c r="C2" s="629"/>
      <c r="D2" s="629"/>
      <c r="E2" s="629"/>
      <c r="F2" s="629"/>
      <c r="G2" s="629"/>
      <c r="H2" s="629"/>
      <c r="I2" s="629"/>
      <c r="J2" s="20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</row>
    <row r="3" spans="1:115" s="2" customFormat="1">
      <c r="A3" s="1"/>
      <c r="B3" s="629"/>
      <c r="C3" s="629"/>
      <c r="D3" s="629"/>
      <c r="E3" s="629"/>
      <c r="F3" s="629"/>
      <c r="G3" s="629"/>
      <c r="H3" s="629"/>
      <c r="I3" s="629"/>
      <c r="J3" s="20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</row>
    <row r="4" spans="1:115" s="2" customFormat="1">
      <c r="A4" s="1"/>
      <c r="B4" s="629"/>
      <c r="C4" s="629"/>
      <c r="D4" s="629"/>
      <c r="E4" s="629"/>
      <c r="F4" s="629"/>
      <c r="G4" s="629"/>
      <c r="H4" s="629"/>
      <c r="I4" s="629"/>
      <c r="J4" s="20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</row>
    <row r="5" spans="1:115" s="4" customFormat="1" ht="9" customHeight="1">
      <c r="A5" s="3"/>
      <c r="B5" s="629"/>
      <c r="C5" s="629"/>
      <c r="D5" s="629"/>
      <c r="E5" s="629"/>
      <c r="F5" s="629"/>
      <c r="G5" s="629"/>
      <c r="H5" s="629"/>
      <c r="I5" s="629"/>
      <c r="J5" s="202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</row>
    <row r="6" spans="1:115" s="6" customFormat="1" ht="69.75" customHeight="1">
      <c r="A6" s="5"/>
      <c r="B6" s="630" t="s">
        <v>837</v>
      </c>
      <c r="C6" s="630"/>
      <c r="D6" s="630"/>
      <c r="E6" s="630"/>
      <c r="F6" s="630"/>
      <c r="G6" s="630"/>
      <c r="H6" s="630"/>
      <c r="I6" s="630"/>
      <c r="J6" s="201"/>
      <c r="K6" s="3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</row>
    <row r="7" spans="1:115" s="8" customFormat="1" ht="20.100000000000001" customHeight="1">
      <c r="A7" s="7"/>
      <c r="B7" s="634" t="s">
        <v>692</v>
      </c>
      <c r="C7" s="635"/>
      <c r="D7" s="635"/>
      <c r="E7" s="635"/>
      <c r="F7" s="635"/>
      <c r="G7" s="636"/>
      <c r="H7" s="635" t="s">
        <v>565</v>
      </c>
      <c r="I7" s="636"/>
      <c r="J7" s="203"/>
      <c r="K7" s="155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</row>
    <row r="8" spans="1:115" s="157" customFormat="1" ht="20.100000000000001" customHeight="1">
      <c r="A8" s="156"/>
      <c r="B8" s="637" t="s">
        <v>544</v>
      </c>
      <c r="C8" s="635"/>
      <c r="D8" s="635"/>
      <c r="E8" s="635"/>
      <c r="F8" s="635"/>
      <c r="G8" s="636"/>
      <c r="H8" s="635">
        <f>I137</f>
        <v>218751.96</v>
      </c>
      <c r="I8" s="636"/>
      <c r="J8" s="204"/>
      <c r="K8" s="155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  <c r="AJ8" s="156"/>
      <c r="AK8" s="156"/>
      <c r="AL8" s="156"/>
      <c r="AM8" s="156"/>
      <c r="AN8" s="156"/>
      <c r="AO8" s="156"/>
      <c r="AP8" s="156"/>
      <c r="AQ8" s="156"/>
      <c r="AR8" s="156"/>
      <c r="AS8" s="156"/>
      <c r="AT8" s="156"/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156"/>
      <c r="BF8" s="156"/>
      <c r="BG8" s="156"/>
      <c r="BH8" s="156"/>
      <c r="BI8" s="156"/>
      <c r="BJ8" s="156"/>
      <c r="BK8" s="156"/>
      <c r="BL8" s="156"/>
      <c r="BM8" s="156"/>
      <c r="BN8" s="156"/>
      <c r="BO8" s="156"/>
      <c r="BP8" s="156"/>
      <c r="BQ8" s="156"/>
      <c r="BR8" s="156"/>
      <c r="BS8" s="156"/>
      <c r="BT8" s="156"/>
      <c r="BU8" s="156"/>
      <c r="BV8" s="156"/>
      <c r="BW8" s="156"/>
      <c r="BX8" s="156"/>
      <c r="BY8" s="156"/>
      <c r="BZ8" s="156"/>
      <c r="CA8" s="156"/>
      <c r="CB8" s="156"/>
      <c r="CC8" s="156"/>
      <c r="CD8" s="156"/>
      <c r="CE8" s="156"/>
      <c r="CF8" s="156"/>
      <c r="CG8" s="156"/>
      <c r="CH8" s="156"/>
      <c r="CI8" s="156"/>
      <c r="CJ8" s="156"/>
      <c r="CK8" s="156"/>
      <c r="CL8" s="156"/>
      <c r="CM8" s="156"/>
      <c r="CN8" s="156"/>
      <c r="CO8" s="156"/>
      <c r="CP8" s="156"/>
      <c r="CQ8" s="156"/>
      <c r="CR8" s="156"/>
      <c r="CS8" s="156"/>
      <c r="CT8" s="156"/>
      <c r="CU8" s="156"/>
      <c r="CV8" s="156"/>
      <c r="CW8" s="156"/>
      <c r="CX8" s="156"/>
      <c r="CY8" s="156"/>
      <c r="CZ8" s="156"/>
      <c r="DA8" s="156"/>
      <c r="DB8" s="156"/>
      <c r="DC8" s="156"/>
      <c r="DD8" s="156"/>
      <c r="DE8" s="156"/>
      <c r="DF8" s="156"/>
      <c r="DG8" s="156"/>
      <c r="DH8" s="156"/>
      <c r="DI8" s="156"/>
      <c r="DJ8" s="156"/>
      <c r="DK8" s="156"/>
    </row>
    <row r="9" spans="1:115" s="156" customFormat="1" ht="20.100000000000001" customHeight="1">
      <c r="B9" s="631" t="s">
        <v>442</v>
      </c>
      <c r="C9" s="631" t="s">
        <v>443</v>
      </c>
      <c r="D9" s="642" t="s">
        <v>444</v>
      </c>
      <c r="E9" s="643"/>
      <c r="F9" s="638" t="s">
        <v>7</v>
      </c>
      <c r="G9" s="639" t="s">
        <v>3</v>
      </c>
      <c r="H9" s="633" t="s">
        <v>445</v>
      </c>
      <c r="I9" s="633"/>
      <c r="J9" s="204"/>
      <c r="K9" s="155"/>
    </row>
    <row r="10" spans="1:115" s="156" customFormat="1" ht="20.100000000000001" customHeight="1">
      <c r="B10" s="632"/>
      <c r="C10" s="641"/>
      <c r="D10" s="644"/>
      <c r="E10" s="645"/>
      <c r="F10" s="631"/>
      <c r="G10" s="640"/>
      <c r="H10" s="198" t="s">
        <v>446</v>
      </c>
      <c r="I10" s="197" t="s">
        <v>447</v>
      </c>
      <c r="J10" s="204"/>
      <c r="K10" s="155"/>
    </row>
    <row r="11" spans="1:115" s="158" customFormat="1" ht="30" customHeight="1">
      <c r="B11" s="159">
        <v>1</v>
      </c>
      <c r="C11" s="622" t="s">
        <v>269</v>
      </c>
      <c r="D11" s="623"/>
      <c r="E11" s="623"/>
      <c r="F11" s="624"/>
      <c r="G11" s="625" t="s">
        <v>261</v>
      </c>
      <c r="H11" s="626"/>
      <c r="I11" s="493">
        <f>SUM(I12:I16)</f>
        <v>11968.41</v>
      </c>
      <c r="J11" s="200"/>
    </row>
    <row r="12" spans="1:115" ht="42" customHeight="1">
      <c r="B12" s="160" t="s">
        <v>256</v>
      </c>
      <c r="C12" s="312" t="s">
        <v>334</v>
      </c>
      <c r="D12" s="610" t="s">
        <v>349</v>
      </c>
      <c r="E12" s="611"/>
      <c r="F12" s="161" t="s">
        <v>343</v>
      </c>
      <c r="G12" s="194">
        <v>6</v>
      </c>
      <c r="H12" s="494">
        <f>K12*(1+'BDI''s'!$C$33/100)</f>
        <v>378.7</v>
      </c>
      <c r="I12" s="494">
        <f>H12*G12</f>
        <v>2272.1999999999998</v>
      </c>
      <c r="J12" s="200">
        <v>2</v>
      </c>
      <c r="K12" s="9">
        <v>304.95999999999998</v>
      </c>
    </row>
    <row r="13" spans="1:115" ht="30" customHeight="1">
      <c r="B13" s="160" t="s">
        <v>257</v>
      </c>
      <c r="C13" s="310" t="s">
        <v>8</v>
      </c>
      <c r="D13" s="610" t="str">
        <f>COMPOSIÇÕES!D4</f>
        <v>MOBILIZAÇÃO DE EQUIPAMENTOS, MATERIAIS E PESSOAL.</v>
      </c>
      <c r="E13" s="611"/>
      <c r="F13" s="162" t="s">
        <v>7</v>
      </c>
      <c r="G13" s="194">
        <v>1</v>
      </c>
      <c r="H13" s="494">
        <f>COMPOSIÇÕES!$K$28</f>
        <v>683.98</v>
      </c>
      <c r="I13" s="494">
        <f>H13*G13</f>
        <v>683.98</v>
      </c>
      <c r="J13" s="200">
        <v>6</v>
      </c>
    </row>
    <row r="14" spans="1:115" ht="30" customHeight="1">
      <c r="B14" s="160" t="s">
        <v>263</v>
      </c>
      <c r="C14" s="310" t="s">
        <v>8</v>
      </c>
      <c r="D14" s="610" t="str">
        <f>COMPOSIÇÕES!D33</f>
        <v>DESMOBILIZAÇÃO DE EQUIPAMENTOS, MATERIAIS E PESSOAL.</v>
      </c>
      <c r="E14" s="611"/>
      <c r="F14" s="162" t="s">
        <v>7</v>
      </c>
      <c r="G14" s="194">
        <v>1</v>
      </c>
      <c r="H14" s="494">
        <f>COMPOSIÇÕES!$K$57</f>
        <v>683.98</v>
      </c>
      <c r="I14" s="494">
        <f>H14*G14</f>
        <v>683.98</v>
      </c>
      <c r="J14" s="200">
        <v>6</v>
      </c>
    </row>
    <row r="15" spans="1:115" ht="44.25" customHeight="1">
      <c r="B15" s="160" t="s">
        <v>264</v>
      </c>
      <c r="C15" s="310" t="s">
        <v>8</v>
      </c>
      <c r="D15" s="610" t="str">
        <f>COMPOSIÇÕES!D62</f>
        <v>INSTALAÇÃO DE PONTO DE APOIO À OBRA, CONFORME LAYOUT APRESENTADO PELA CONTRATADA E ACEITO PELA FISCALIZAÇÃO.</v>
      </c>
      <c r="E15" s="611"/>
      <c r="F15" s="162" t="s">
        <v>7</v>
      </c>
      <c r="G15" s="194">
        <v>1</v>
      </c>
      <c r="H15" s="494">
        <f>COMPOSIÇÕES!$K$99</f>
        <v>2827.75</v>
      </c>
      <c r="I15" s="494">
        <f>H15*G15</f>
        <v>2827.75</v>
      </c>
      <c r="J15" s="200">
        <v>2</v>
      </c>
    </row>
    <row r="16" spans="1:115" ht="30" customHeight="1">
      <c r="B16" s="160" t="s">
        <v>265</v>
      </c>
      <c r="C16" s="310" t="s">
        <v>8</v>
      </c>
      <c r="D16" s="610" t="str">
        <f>COMPOSIÇÕES!D104</f>
        <v>ADMINISTRAÇÃO LOCAL E MANUTENÇÃO DO CANTEIRO DE OBRAS.</v>
      </c>
      <c r="E16" s="611"/>
      <c r="F16" s="185" t="s">
        <v>7</v>
      </c>
      <c r="G16" s="425">
        <v>1</v>
      </c>
      <c r="H16" s="494">
        <f>COMPOSIÇÕES!K127</f>
        <v>5500.5</v>
      </c>
      <c r="I16" s="494">
        <f>H16*G16</f>
        <v>5500.5</v>
      </c>
      <c r="J16" s="200">
        <v>6</v>
      </c>
    </row>
    <row r="17" spans="2:10" ht="30" customHeight="1">
      <c r="B17" s="159">
        <v>2</v>
      </c>
      <c r="C17" s="622" t="s">
        <v>694</v>
      </c>
      <c r="D17" s="623"/>
      <c r="E17" s="623"/>
      <c r="F17" s="624"/>
      <c r="G17" s="625" t="s">
        <v>261</v>
      </c>
      <c r="H17" s="626"/>
      <c r="I17" s="493">
        <f>I18+I34</f>
        <v>28789.42</v>
      </c>
      <c r="J17" s="9"/>
    </row>
    <row r="18" spans="2:10" ht="30" customHeight="1">
      <c r="B18" s="163" t="s">
        <v>253</v>
      </c>
      <c r="C18" s="613" t="s">
        <v>693</v>
      </c>
      <c r="D18" s="614"/>
      <c r="E18" s="614"/>
      <c r="F18" s="614"/>
      <c r="G18" s="614"/>
      <c r="H18" s="615"/>
      <c r="I18" s="495">
        <f>SUM(I19:I33)</f>
        <v>15803.06</v>
      </c>
      <c r="J18" s="9"/>
    </row>
    <row r="19" spans="2:10" ht="41.25" customHeight="1">
      <c r="B19" s="318" t="s">
        <v>271</v>
      </c>
      <c r="C19" s="315" t="s">
        <v>8</v>
      </c>
      <c r="D19" s="610" t="s">
        <v>822</v>
      </c>
      <c r="E19" s="611"/>
      <c r="F19" s="511" t="s">
        <v>567</v>
      </c>
      <c r="G19" s="513">
        <v>1</v>
      </c>
      <c r="H19" s="494">
        <f>'CPU Poços'!I27</f>
        <v>649.80999999999995</v>
      </c>
      <c r="I19" s="494">
        <f t="shared" ref="I19:I33" si="0">H19*G19</f>
        <v>649.80999999999995</v>
      </c>
      <c r="J19" s="200">
        <v>6</v>
      </c>
    </row>
    <row r="20" spans="2:10" ht="41.25" customHeight="1">
      <c r="B20" s="318" t="s">
        <v>695</v>
      </c>
      <c r="C20" s="315" t="s">
        <v>8</v>
      </c>
      <c r="D20" s="610" t="s">
        <v>823</v>
      </c>
      <c r="E20" s="611"/>
      <c r="F20" s="512" t="s">
        <v>5</v>
      </c>
      <c r="G20" s="513">
        <f>2*2</f>
        <v>4</v>
      </c>
      <c r="H20" s="494">
        <f>'CPU Poços'!I52</f>
        <v>1.43</v>
      </c>
      <c r="I20" s="494">
        <f t="shared" si="0"/>
        <v>5.72</v>
      </c>
      <c r="J20" s="200">
        <v>2</v>
      </c>
    </row>
    <row r="21" spans="2:10" ht="41.25" customHeight="1">
      <c r="B21" s="318" t="s">
        <v>696</v>
      </c>
      <c r="C21" s="315" t="s">
        <v>8</v>
      </c>
      <c r="D21" s="610" t="s">
        <v>824</v>
      </c>
      <c r="E21" s="611"/>
      <c r="F21" s="511" t="s">
        <v>567</v>
      </c>
      <c r="G21" s="513">
        <v>2</v>
      </c>
      <c r="H21" s="494">
        <f>'CPU Poços'!I80</f>
        <v>303.70999999999998</v>
      </c>
      <c r="I21" s="494">
        <f t="shared" si="0"/>
        <v>607.41999999999996</v>
      </c>
      <c r="J21" s="200">
        <v>6</v>
      </c>
    </row>
    <row r="22" spans="2:10" ht="41.25" customHeight="1">
      <c r="B22" s="318" t="s">
        <v>697</v>
      </c>
      <c r="C22" s="315" t="s">
        <v>8</v>
      </c>
      <c r="D22" s="610" t="s">
        <v>825</v>
      </c>
      <c r="E22" s="611"/>
      <c r="F22" s="512" t="s">
        <v>4</v>
      </c>
      <c r="G22" s="513">
        <f>6*2</f>
        <v>12</v>
      </c>
      <c r="H22" s="494">
        <f>'CPU Poços'!I110</f>
        <v>112.01</v>
      </c>
      <c r="I22" s="494">
        <f t="shared" si="0"/>
        <v>1344.12</v>
      </c>
      <c r="J22" s="200">
        <v>6</v>
      </c>
    </row>
    <row r="23" spans="2:10" ht="41.25" customHeight="1">
      <c r="B23" s="318" t="s">
        <v>698</v>
      </c>
      <c r="C23" s="315" t="s">
        <v>8</v>
      </c>
      <c r="D23" s="610" t="s">
        <v>826</v>
      </c>
      <c r="E23" s="611"/>
      <c r="F23" s="512" t="s">
        <v>4</v>
      </c>
      <c r="G23" s="513">
        <f>54*2</f>
        <v>108</v>
      </c>
      <c r="H23" s="494">
        <f>'CPU Poços'!I140</f>
        <v>95.8</v>
      </c>
      <c r="I23" s="494">
        <f t="shared" si="0"/>
        <v>10346.4</v>
      </c>
      <c r="J23" s="200">
        <v>6</v>
      </c>
    </row>
    <row r="24" spans="2:10" ht="60" customHeight="1">
      <c r="B24" s="318" t="s">
        <v>699</v>
      </c>
      <c r="C24" s="315" t="s">
        <v>8</v>
      </c>
      <c r="D24" s="610" t="s">
        <v>827</v>
      </c>
      <c r="E24" s="611"/>
      <c r="F24" s="512" t="s">
        <v>4</v>
      </c>
      <c r="G24" s="513">
        <v>6</v>
      </c>
      <c r="H24" s="494">
        <f>'CPU Poços'!I168</f>
        <v>118.95</v>
      </c>
      <c r="I24" s="494">
        <f t="shared" si="0"/>
        <v>713.7</v>
      </c>
      <c r="J24" s="200">
        <v>6</v>
      </c>
    </row>
    <row r="25" spans="2:10" ht="41.25" customHeight="1">
      <c r="B25" s="318" t="s">
        <v>700</v>
      </c>
      <c r="C25" s="315" t="s">
        <v>8</v>
      </c>
      <c r="D25" s="610" t="s">
        <v>828</v>
      </c>
      <c r="E25" s="611"/>
      <c r="F25" s="511" t="s">
        <v>6</v>
      </c>
      <c r="G25" s="513">
        <f>PI()*(1/4)*((8*2.54/100)^2-(6*2.54/100)^2)*6</f>
        <v>0.09</v>
      </c>
      <c r="H25" s="494">
        <f>'CPU Poços'!I195</f>
        <v>438.34</v>
      </c>
      <c r="I25" s="494">
        <f t="shared" si="0"/>
        <v>39.450000000000003</v>
      </c>
      <c r="J25" s="200">
        <v>2</v>
      </c>
    </row>
    <row r="26" spans="2:10" ht="69.75" customHeight="1">
      <c r="B26" s="318" t="s">
        <v>701</v>
      </c>
      <c r="C26" s="315" t="s">
        <v>8</v>
      </c>
      <c r="D26" s="610" t="s">
        <v>829</v>
      </c>
      <c r="E26" s="611"/>
      <c r="F26" s="511" t="s">
        <v>567</v>
      </c>
      <c r="G26" s="513">
        <v>1</v>
      </c>
      <c r="H26" s="494">
        <f>'CPU Poços'!I222</f>
        <v>125.01</v>
      </c>
      <c r="I26" s="494">
        <f t="shared" si="0"/>
        <v>125.01</v>
      </c>
      <c r="J26" s="200">
        <v>6</v>
      </c>
    </row>
    <row r="27" spans="2:10" ht="70.5" customHeight="1">
      <c r="B27" s="318" t="s">
        <v>702</v>
      </c>
      <c r="C27" s="315" t="s">
        <v>8</v>
      </c>
      <c r="D27" s="610" t="s">
        <v>830</v>
      </c>
      <c r="E27" s="611"/>
      <c r="F27" s="511" t="s">
        <v>567</v>
      </c>
      <c r="G27" s="513">
        <v>1</v>
      </c>
      <c r="H27" s="494">
        <f>'CPU Poços'!I249</f>
        <v>243.5</v>
      </c>
      <c r="I27" s="494">
        <f t="shared" si="0"/>
        <v>243.5</v>
      </c>
      <c r="J27" s="200">
        <v>6</v>
      </c>
    </row>
    <row r="28" spans="2:10" ht="45" customHeight="1">
      <c r="B28" s="318" t="s">
        <v>703</v>
      </c>
      <c r="C28" s="315" t="s">
        <v>8</v>
      </c>
      <c r="D28" s="610" t="s">
        <v>831</v>
      </c>
      <c r="E28" s="611"/>
      <c r="F28" s="511" t="s">
        <v>567</v>
      </c>
      <c r="G28" s="513">
        <v>1</v>
      </c>
      <c r="H28" s="494">
        <f>'CPU Poços'!I277</f>
        <v>73.92</v>
      </c>
      <c r="I28" s="494">
        <f t="shared" si="0"/>
        <v>73.92</v>
      </c>
      <c r="J28" s="200">
        <v>6</v>
      </c>
    </row>
    <row r="29" spans="2:10" ht="51" customHeight="1">
      <c r="B29" s="318" t="s">
        <v>704</v>
      </c>
      <c r="C29" s="315" t="s">
        <v>8</v>
      </c>
      <c r="D29" s="610" t="s">
        <v>832</v>
      </c>
      <c r="E29" s="611"/>
      <c r="F29" s="511" t="s">
        <v>567</v>
      </c>
      <c r="G29" s="513">
        <v>1</v>
      </c>
      <c r="H29" s="494">
        <f>'CPU Poços'!I305</f>
        <v>90.75</v>
      </c>
      <c r="I29" s="494">
        <f t="shared" si="0"/>
        <v>90.75</v>
      </c>
      <c r="J29" s="200">
        <v>6</v>
      </c>
    </row>
    <row r="30" spans="2:10" ht="51.75" customHeight="1">
      <c r="B30" s="318" t="s">
        <v>705</v>
      </c>
      <c r="C30" s="315" t="s">
        <v>8</v>
      </c>
      <c r="D30" s="610" t="s">
        <v>833</v>
      </c>
      <c r="E30" s="611"/>
      <c r="F30" s="511" t="s">
        <v>567</v>
      </c>
      <c r="G30" s="513">
        <v>1</v>
      </c>
      <c r="H30" s="494">
        <f>'CPU Poços'!I331</f>
        <v>359.9</v>
      </c>
      <c r="I30" s="494">
        <f t="shared" si="0"/>
        <v>359.9</v>
      </c>
      <c r="J30" s="200">
        <v>6</v>
      </c>
    </row>
    <row r="31" spans="2:10" ht="54.75" customHeight="1">
      <c r="B31" s="318" t="s">
        <v>706</v>
      </c>
      <c r="C31" s="315" t="s">
        <v>8</v>
      </c>
      <c r="D31" s="610" t="s">
        <v>834</v>
      </c>
      <c r="E31" s="611"/>
      <c r="F31" s="511" t="s">
        <v>567</v>
      </c>
      <c r="G31" s="513">
        <v>1</v>
      </c>
      <c r="H31" s="494">
        <f>'CPU Poços'!I358</f>
        <v>146.66</v>
      </c>
      <c r="I31" s="494">
        <f t="shared" si="0"/>
        <v>146.66</v>
      </c>
      <c r="J31" s="200">
        <v>6</v>
      </c>
    </row>
    <row r="32" spans="2:10" ht="41.25" customHeight="1">
      <c r="B32" s="318" t="s">
        <v>707</v>
      </c>
      <c r="C32" s="315" t="s">
        <v>8</v>
      </c>
      <c r="D32" s="610" t="s">
        <v>835</v>
      </c>
      <c r="E32" s="611"/>
      <c r="F32" s="511" t="s">
        <v>567</v>
      </c>
      <c r="G32" s="513">
        <v>1</v>
      </c>
      <c r="H32" s="494">
        <f>'CPU Poços'!I383</f>
        <v>925.14</v>
      </c>
      <c r="I32" s="494">
        <f t="shared" si="0"/>
        <v>925.14</v>
      </c>
      <c r="J32" s="200">
        <v>6</v>
      </c>
    </row>
    <row r="33" spans="2:13" ht="76.5" customHeight="1">
      <c r="B33" s="318" t="s">
        <v>708</v>
      </c>
      <c r="C33" s="315" t="s">
        <v>8</v>
      </c>
      <c r="D33" s="610" t="s">
        <v>836</v>
      </c>
      <c r="E33" s="611"/>
      <c r="F33" s="512" t="s">
        <v>6</v>
      </c>
      <c r="G33" s="513">
        <f>((1*1*0.15)+((3.1416/4)*(0.3062*0.3062-0.15*0.15)))</f>
        <v>0.21</v>
      </c>
      <c r="H33" s="494">
        <f>'CPU Poços'!I416</f>
        <v>626.49</v>
      </c>
      <c r="I33" s="494">
        <f t="shared" si="0"/>
        <v>131.56</v>
      </c>
      <c r="J33" s="200">
        <v>2</v>
      </c>
    </row>
    <row r="34" spans="2:13" ht="30" customHeight="1">
      <c r="B34" s="163" t="s">
        <v>254</v>
      </c>
      <c r="C34" s="613" t="s">
        <v>673</v>
      </c>
      <c r="D34" s="614"/>
      <c r="E34" s="614"/>
      <c r="F34" s="614"/>
      <c r="G34" s="614"/>
      <c r="H34" s="615"/>
      <c r="I34" s="495">
        <f>SUM(I35:I38)</f>
        <v>12986.36</v>
      </c>
    </row>
    <row r="35" spans="2:13" ht="96.75" customHeight="1">
      <c r="B35" s="326" t="s">
        <v>272</v>
      </c>
      <c r="C35" s="423" t="s">
        <v>8</v>
      </c>
      <c r="D35" s="616" t="s">
        <v>674</v>
      </c>
      <c r="E35" s="611"/>
      <c r="F35" s="162" t="s">
        <v>7</v>
      </c>
      <c r="G35" s="307">
        <v>1</v>
      </c>
      <c r="H35" s="494">
        <f>'CPU Poços'!I459</f>
        <v>5443.28</v>
      </c>
      <c r="I35" s="494">
        <f>H35*G35</f>
        <v>5443.28</v>
      </c>
      <c r="J35" s="200">
        <v>6</v>
      </c>
    </row>
    <row r="36" spans="2:13" ht="48" customHeight="1">
      <c r="B36" s="326" t="s">
        <v>553</v>
      </c>
      <c r="C36" s="423" t="s">
        <v>8</v>
      </c>
      <c r="D36" s="616" t="s">
        <v>676</v>
      </c>
      <c r="E36" s="611"/>
      <c r="F36" s="162" t="s">
        <v>7</v>
      </c>
      <c r="G36" s="307">
        <v>1</v>
      </c>
      <c r="H36" s="494">
        <f>'CPU Poços'!I495</f>
        <v>6640.51</v>
      </c>
      <c r="I36" s="494">
        <f>H36*G36</f>
        <v>6640.51</v>
      </c>
      <c r="J36" s="200">
        <v>6</v>
      </c>
    </row>
    <row r="37" spans="2:13" ht="51.75" customHeight="1">
      <c r="B37" s="326" t="s">
        <v>554</v>
      </c>
      <c r="C37" s="423" t="s">
        <v>8</v>
      </c>
      <c r="D37" s="616" t="s">
        <v>675</v>
      </c>
      <c r="E37" s="611"/>
      <c r="F37" s="162" t="s">
        <v>7</v>
      </c>
      <c r="G37" s="307">
        <v>1</v>
      </c>
      <c r="H37" s="494">
        <f>'CPU Poços'!I521</f>
        <v>253.23</v>
      </c>
      <c r="I37" s="494">
        <f t="shared" ref="I37" si="1">H37*G37</f>
        <v>253.23</v>
      </c>
      <c r="J37" s="200">
        <v>2</v>
      </c>
    </row>
    <row r="38" spans="2:13" ht="34.5" customHeight="1">
      <c r="B38" s="326" t="s">
        <v>555</v>
      </c>
      <c r="C38" s="423" t="s">
        <v>8</v>
      </c>
      <c r="D38" s="616" t="s">
        <v>677</v>
      </c>
      <c r="E38" s="611"/>
      <c r="F38" s="162" t="s">
        <v>7</v>
      </c>
      <c r="G38" s="307">
        <v>1</v>
      </c>
      <c r="H38" s="494">
        <f>'CPU Poços'!I559</f>
        <v>649.34</v>
      </c>
      <c r="I38" s="494">
        <f t="shared" ref="I38" si="2">H38*G38</f>
        <v>649.34</v>
      </c>
      <c r="J38" s="200">
        <v>2</v>
      </c>
    </row>
    <row r="39" spans="2:13" ht="30" customHeight="1">
      <c r="B39" s="159">
        <v>3</v>
      </c>
      <c r="C39" s="622" t="s">
        <v>428</v>
      </c>
      <c r="D39" s="623"/>
      <c r="E39" s="623"/>
      <c r="F39" s="624"/>
      <c r="G39" s="625" t="s">
        <v>261</v>
      </c>
      <c r="H39" s="626"/>
      <c r="I39" s="493">
        <f>I40+I42+I51+I54+I58</f>
        <v>47973.49</v>
      </c>
    </row>
    <row r="40" spans="2:13" ht="30" customHeight="1">
      <c r="B40" s="163" t="s">
        <v>0</v>
      </c>
      <c r="C40" s="613" t="s">
        <v>20</v>
      </c>
      <c r="D40" s="614"/>
      <c r="E40" s="614"/>
      <c r="F40" s="614"/>
      <c r="G40" s="614"/>
      <c r="H40" s="615"/>
      <c r="I40" s="495">
        <f>SUM(I41)</f>
        <v>562.4</v>
      </c>
    </row>
    <row r="41" spans="2:13" ht="30" customHeight="1">
      <c r="B41" s="326" t="s">
        <v>270</v>
      </c>
      <c r="C41" s="310">
        <v>73610</v>
      </c>
      <c r="D41" s="610" t="s">
        <v>379</v>
      </c>
      <c r="E41" s="611"/>
      <c r="F41" s="162" t="s">
        <v>344</v>
      </c>
      <c r="G41" s="194">
        <f>'Mem. Cálc. Escavações'!E8</f>
        <v>740</v>
      </c>
      <c r="H41" s="494">
        <f>K41*(1+'BDI''s'!$C$33/100)</f>
        <v>0.76</v>
      </c>
      <c r="I41" s="494">
        <f>H41*G41</f>
        <v>562.4</v>
      </c>
      <c r="J41" s="200">
        <v>6</v>
      </c>
      <c r="K41" s="9">
        <v>0.61</v>
      </c>
    </row>
    <row r="42" spans="2:13" ht="30" customHeight="1">
      <c r="B42" s="163" t="s">
        <v>1</v>
      </c>
      <c r="C42" s="613" t="s">
        <v>429</v>
      </c>
      <c r="D42" s="614"/>
      <c r="E42" s="614"/>
      <c r="F42" s="614"/>
      <c r="G42" s="614"/>
      <c r="H42" s="615"/>
      <c r="I42" s="495">
        <f>SUM(I43:I50)</f>
        <v>20152.490000000002</v>
      </c>
    </row>
    <row r="43" spans="2:13" ht="30" customHeight="1">
      <c r="B43" s="326" t="s">
        <v>528</v>
      </c>
      <c r="C43" s="319" t="s">
        <v>430</v>
      </c>
      <c r="D43" s="610" t="s">
        <v>441</v>
      </c>
      <c r="E43" s="611"/>
      <c r="F43" s="162" t="s">
        <v>343</v>
      </c>
      <c r="G43" s="194">
        <f>G41*1</f>
        <v>740</v>
      </c>
      <c r="H43" s="494">
        <f>K43*(1+'BDI''s'!$C$33/100)</f>
        <v>4.0999999999999996</v>
      </c>
      <c r="I43" s="494">
        <f>H43*G43</f>
        <v>3034</v>
      </c>
      <c r="J43" s="200">
        <v>1</v>
      </c>
      <c r="K43" s="9">
        <v>3.3</v>
      </c>
    </row>
    <row r="44" spans="2:13" ht="30" customHeight="1">
      <c r="B44" s="326" t="s">
        <v>529</v>
      </c>
      <c r="C44" s="321" t="s">
        <v>527</v>
      </c>
      <c r="D44" s="620" t="s">
        <v>380</v>
      </c>
      <c r="E44" s="621"/>
      <c r="F44" s="164" t="s">
        <v>347</v>
      </c>
      <c r="G44" s="194">
        <f>('Mem. Cálc. Escavações'!E15+'Mem. Cálc. Escavações'!E16)*0.1</f>
        <v>37.01</v>
      </c>
      <c r="H44" s="494">
        <f>K44*(1+'BDI''s'!$C$33/100)</f>
        <v>27.37</v>
      </c>
      <c r="I44" s="494">
        <f>H44*G44</f>
        <v>1012.96</v>
      </c>
      <c r="J44" s="200">
        <v>2</v>
      </c>
      <c r="K44" s="308">
        <v>22.04</v>
      </c>
    </row>
    <row r="45" spans="2:13" ht="30" customHeight="1">
      <c r="B45" s="326" t="s">
        <v>709</v>
      </c>
      <c r="C45" s="321" t="s">
        <v>335</v>
      </c>
      <c r="D45" s="646" t="s">
        <v>384</v>
      </c>
      <c r="E45" s="619"/>
      <c r="F45" s="164" t="s">
        <v>347</v>
      </c>
      <c r="G45" s="194">
        <f>'Mem. Cálc. Escavações'!E17</f>
        <v>19.48</v>
      </c>
      <c r="H45" s="494">
        <f>K45*(1+'BDI''s'!$C$33/100)</f>
        <v>195.97</v>
      </c>
      <c r="I45" s="494">
        <f t="shared" ref="I45:I57" si="3">H45*G45</f>
        <v>3817.5</v>
      </c>
      <c r="J45" s="200">
        <v>6</v>
      </c>
      <c r="K45" s="9">
        <v>157.81</v>
      </c>
    </row>
    <row r="46" spans="2:13" ht="30" customHeight="1">
      <c r="B46" s="326" t="s">
        <v>710</v>
      </c>
      <c r="C46" s="319">
        <v>73599</v>
      </c>
      <c r="D46" s="610" t="s">
        <v>383</v>
      </c>
      <c r="E46" s="611"/>
      <c r="F46" s="162" t="s">
        <v>347</v>
      </c>
      <c r="G46" s="194">
        <f>('Mem. Cálc. Escavações'!E15+'Mem. Cálc. Escavações'!E16)*0.9</f>
        <v>333.12</v>
      </c>
      <c r="H46" s="494">
        <f>K46*(1+'BDI''s'!$C$33/100)</f>
        <v>10.130000000000001</v>
      </c>
      <c r="I46" s="494">
        <f t="shared" si="3"/>
        <v>3374.51</v>
      </c>
      <c r="J46" s="200">
        <v>1</v>
      </c>
      <c r="K46" s="9">
        <v>8.16</v>
      </c>
    </row>
    <row r="47" spans="2:13" ht="41.25" customHeight="1">
      <c r="B47" s="326" t="s">
        <v>711</v>
      </c>
      <c r="C47" s="319">
        <v>73692</v>
      </c>
      <c r="D47" s="610" t="s">
        <v>386</v>
      </c>
      <c r="E47" s="611"/>
      <c r="F47" s="162" t="s">
        <v>347</v>
      </c>
      <c r="G47" s="194">
        <f>'Mem. Cálc. Escavações'!E12</f>
        <v>48.1</v>
      </c>
      <c r="H47" s="494">
        <f>K47*(1+'BDI''s'!$C$33/100)</f>
        <v>141.61000000000001</v>
      </c>
      <c r="I47" s="494">
        <f t="shared" si="3"/>
        <v>6811.44</v>
      </c>
      <c r="J47" s="200">
        <v>1</v>
      </c>
      <c r="K47" s="9">
        <v>114.04</v>
      </c>
      <c r="M47" s="308"/>
    </row>
    <row r="48" spans="2:13" ht="54" customHeight="1">
      <c r="B48" s="326" t="s">
        <v>712</v>
      </c>
      <c r="C48" s="319" t="s">
        <v>456</v>
      </c>
      <c r="D48" s="610" t="s">
        <v>457</v>
      </c>
      <c r="E48" s="611"/>
      <c r="F48" s="185" t="s">
        <v>7</v>
      </c>
      <c r="G48" s="194">
        <v>8</v>
      </c>
      <c r="H48" s="494">
        <f>K48*(1+'BDI''s'!$C$33/100)</f>
        <v>204.74</v>
      </c>
      <c r="I48" s="494">
        <f>H48*G48</f>
        <v>1637.92</v>
      </c>
      <c r="J48" s="200">
        <v>3</v>
      </c>
      <c r="K48" s="308">
        <v>164.87</v>
      </c>
    </row>
    <row r="49" spans="2:11" ht="30" customHeight="1">
      <c r="B49" s="326" t="s">
        <v>713</v>
      </c>
      <c r="C49" s="319">
        <v>6045</v>
      </c>
      <c r="D49" s="187" t="s">
        <v>387</v>
      </c>
      <c r="E49" s="188"/>
      <c r="F49" s="162" t="s">
        <v>347</v>
      </c>
      <c r="G49" s="194">
        <f>3*0.5*1*0.5</f>
        <v>0.75</v>
      </c>
      <c r="H49" s="494">
        <f>K49*(1+'BDI''s'!$C$33/100)</f>
        <v>437.06</v>
      </c>
      <c r="I49" s="494">
        <f t="shared" si="3"/>
        <v>327.8</v>
      </c>
      <c r="J49" s="200">
        <v>3</v>
      </c>
      <c r="K49" s="9">
        <v>351.96</v>
      </c>
    </row>
    <row r="50" spans="2:11" ht="27" customHeight="1">
      <c r="B50" s="326" t="s">
        <v>714</v>
      </c>
      <c r="C50" s="319">
        <v>72208</v>
      </c>
      <c r="D50" s="610" t="s">
        <v>519</v>
      </c>
      <c r="E50" s="611"/>
      <c r="F50" s="162" t="s">
        <v>347</v>
      </c>
      <c r="G50" s="194">
        <f>G45</f>
        <v>19.48</v>
      </c>
      <c r="H50" s="494">
        <f>K50*(1+'BDI''s'!$C$33/100)</f>
        <v>7</v>
      </c>
      <c r="I50" s="494">
        <f t="shared" si="3"/>
        <v>136.36000000000001</v>
      </c>
      <c r="J50" s="200">
        <v>1</v>
      </c>
      <c r="K50" s="9">
        <v>5.64</v>
      </c>
    </row>
    <row r="51" spans="2:11" ht="30" customHeight="1">
      <c r="B51" s="163" t="s">
        <v>2</v>
      </c>
      <c r="C51" s="613" t="s">
        <v>22</v>
      </c>
      <c r="D51" s="614"/>
      <c r="E51" s="614"/>
      <c r="F51" s="614"/>
      <c r="G51" s="614"/>
      <c r="H51" s="615"/>
      <c r="I51" s="495">
        <f>SUM(I52:I53)</f>
        <v>4007.25</v>
      </c>
    </row>
    <row r="52" spans="2:11" ht="56.25" customHeight="1">
      <c r="B52" s="326" t="s">
        <v>530</v>
      </c>
      <c r="C52" s="315" t="str">
        <f>COMPOSIÇÕES!$E$133</f>
        <v>CODEVASF</v>
      </c>
      <c r="D52" s="610" t="str">
        <f>COMPOSIÇÕES!$D$132</f>
        <v>ATERRO DE VALAS E CAVAS COM AVALIAÇÃO VISUAL DA COMPACTAÇÃO REALIZADA MEDIANTE UTILIZAÇÃO DE COMPACTADOR MANUAL TIPO SAPO, INCLUINDO CARRO PIPA E ÁGUA.</v>
      </c>
      <c r="E52" s="611"/>
      <c r="F52" s="162" t="s">
        <v>347</v>
      </c>
      <c r="G52" s="194">
        <f>'Mem. Cálc. Escavações'!E21</f>
        <v>322.02999999999997</v>
      </c>
      <c r="H52" s="494">
        <f>COMPOSIÇÕES!$K$155</f>
        <v>7.7</v>
      </c>
      <c r="I52" s="494">
        <f t="shared" si="3"/>
        <v>2479.63</v>
      </c>
      <c r="J52" s="200">
        <v>1</v>
      </c>
    </row>
    <row r="53" spans="2:11" ht="39" customHeight="1">
      <c r="B53" s="326" t="s">
        <v>531</v>
      </c>
      <c r="C53" s="319">
        <v>72921</v>
      </c>
      <c r="D53" s="610" t="s">
        <v>393</v>
      </c>
      <c r="E53" s="611"/>
      <c r="F53" s="162" t="s">
        <v>347</v>
      </c>
      <c r="G53" s="194">
        <f>'Mem. Cálc. Escavações'!E20</f>
        <v>19.48</v>
      </c>
      <c r="H53" s="494">
        <f>K53*(1+'BDI''s'!$C$33/100)</f>
        <v>78.42</v>
      </c>
      <c r="I53" s="494">
        <f t="shared" si="3"/>
        <v>1527.62</v>
      </c>
      <c r="J53" s="200">
        <v>1</v>
      </c>
      <c r="K53" s="9">
        <v>63.15</v>
      </c>
    </row>
    <row r="54" spans="2:11" ht="30" customHeight="1">
      <c r="B54" s="163" t="s">
        <v>532</v>
      </c>
      <c r="C54" s="613" t="s">
        <v>545</v>
      </c>
      <c r="D54" s="614"/>
      <c r="E54" s="614"/>
      <c r="F54" s="614"/>
      <c r="G54" s="614"/>
      <c r="H54" s="615"/>
      <c r="I54" s="495">
        <f>SUM(I55:I57)</f>
        <v>2937.8</v>
      </c>
    </row>
    <row r="55" spans="2:11" ht="30" customHeight="1">
      <c r="B55" s="326" t="s">
        <v>533</v>
      </c>
      <c r="C55" s="323" t="s">
        <v>546</v>
      </c>
      <c r="D55" s="651" t="s">
        <v>547</v>
      </c>
      <c r="E55" s="652"/>
      <c r="F55" s="162" t="s">
        <v>344</v>
      </c>
      <c r="G55" s="194">
        <f>G43</f>
        <v>740</v>
      </c>
      <c r="H55" s="494">
        <f>K55*(1+'BDI''s'!$C$33/100)</f>
        <v>2.38</v>
      </c>
      <c r="I55" s="494">
        <f t="shared" si="3"/>
        <v>1761.2</v>
      </c>
      <c r="J55" s="200">
        <v>6</v>
      </c>
      <c r="K55" s="9">
        <v>1.92</v>
      </c>
    </row>
    <row r="56" spans="2:11" ht="30" customHeight="1">
      <c r="B56" s="326" t="s">
        <v>534</v>
      </c>
      <c r="C56" s="319">
        <v>73682</v>
      </c>
      <c r="D56" s="610" t="s">
        <v>390</v>
      </c>
      <c r="E56" s="611"/>
      <c r="F56" s="162" t="s">
        <v>344</v>
      </c>
      <c r="G56" s="194">
        <f>G55</f>
        <v>740</v>
      </c>
      <c r="H56" s="494">
        <f>K56*(1+'BDI''s'!$C$33/100)</f>
        <v>1.1299999999999999</v>
      </c>
      <c r="I56" s="494">
        <f t="shared" si="3"/>
        <v>836.2</v>
      </c>
      <c r="J56" s="200">
        <v>6</v>
      </c>
      <c r="K56" s="9">
        <v>0.91</v>
      </c>
    </row>
    <row r="57" spans="2:11" ht="41.25" customHeight="1">
      <c r="B57" s="326" t="s">
        <v>535</v>
      </c>
      <c r="C57" s="311" t="str">
        <f>COMPOSIÇÕES!$E$161</f>
        <v>CODEVASF</v>
      </c>
      <c r="D57" s="610" t="str">
        <f>COMPOSIÇÕES!$D$160</f>
        <v>TESTE DE ESTANQUEIDADE PARA ADUTORA E REDE DE DISTRIBUIÇÃO DE ÁGUA, INCLUSIVE CAMINHÃO PIPA, BOMBA PRESSURIZADA E ÁGUA.</v>
      </c>
      <c r="E57" s="611"/>
      <c r="F57" s="162" t="s">
        <v>344</v>
      </c>
      <c r="G57" s="194">
        <f>G55</f>
        <v>740</v>
      </c>
      <c r="H57" s="494">
        <f>COMPOSIÇÕES!$K$183</f>
        <v>0.46</v>
      </c>
      <c r="I57" s="494">
        <f t="shared" si="3"/>
        <v>340.4</v>
      </c>
      <c r="J57" s="200">
        <v>6</v>
      </c>
    </row>
    <row r="58" spans="2:11" ht="30" customHeight="1">
      <c r="B58" s="160"/>
      <c r="C58" s="613" t="s">
        <v>433</v>
      </c>
      <c r="D58" s="614"/>
      <c r="E58" s="614"/>
      <c r="F58" s="614"/>
      <c r="G58" s="614"/>
      <c r="H58" s="615"/>
      <c r="I58" s="495">
        <f>I59+I62+I64</f>
        <v>20313.55</v>
      </c>
    </row>
    <row r="59" spans="2:11" ht="30" customHeight="1">
      <c r="B59" s="163" t="s">
        <v>536</v>
      </c>
      <c r="C59" s="647" t="s">
        <v>432</v>
      </c>
      <c r="D59" s="648"/>
      <c r="E59" s="649"/>
      <c r="F59" s="179"/>
      <c r="G59" s="195"/>
      <c r="H59" s="199"/>
      <c r="I59" s="495">
        <f>SUM(I60:I61)</f>
        <v>17757</v>
      </c>
    </row>
    <row r="60" spans="2:11" ht="30" customHeight="1">
      <c r="B60" s="326" t="s">
        <v>558</v>
      </c>
      <c r="C60" s="320">
        <v>9847</v>
      </c>
      <c r="D60" s="618" t="s">
        <v>548</v>
      </c>
      <c r="E60" s="619"/>
      <c r="F60" s="162" t="s">
        <v>344</v>
      </c>
      <c r="G60" s="194">
        <f>G41</f>
        <v>740</v>
      </c>
      <c r="H60" s="494">
        <f>K60*(1+'BDI''s'!$C$81/100)</f>
        <v>23.61</v>
      </c>
      <c r="I60" s="494">
        <f>H60*G60</f>
        <v>17471.400000000001</v>
      </c>
      <c r="J60" s="200">
        <v>4</v>
      </c>
      <c r="K60" s="9">
        <v>20.71</v>
      </c>
    </row>
    <row r="61" spans="2:11" ht="30" customHeight="1">
      <c r="B61" s="326" t="s">
        <v>559</v>
      </c>
      <c r="C61" s="312">
        <v>1828</v>
      </c>
      <c r="D61" s="618" t="s">
        <v>549</v>
      </c>
      <c r="E61" s="619"/>
      <c r="F61" s="162" t="s">
        <v>7</v>
      </c>
      <c r="G61" s="194">
        <v>5</v>
      </c>
      <c r="H61" s="494">
        <f>K61*(1+'BDI''s'!$C$81/100)</f>
        <v>57.12</v>
      </c>
      <c r="I61" s="494">
        <f>H61*G61</f>
        <v>285.60000000000002</v>
      </c>
      <c r="J61" s="200">
        <v>4</v>
      </c>
      <c r="K61" s="9">
        <v>50.1</v>
      </c>
    </row>
    <row r="62" spans="2:11" ht="30" customHeight="1">
      <c r="B62" s="163" t="s">
        <v>715</v>
      </c>
      <c r="C62" s="647" t="s">
        <v>449</v>
      </c>
      <c r="D62" s="648"/>
      <c r="E62" s="649"/>
      <c r="F62" s="186"/>
      <c r="G62" s="195"/>
      <c r="H62" s="199"/>
      <c r="I62" s="495">
        <f>SUM(I63)</f>
        <v>649.76</v>
      </c>
    </row>
    <row r="63" spans="2:11" ht="30" customHeight="1">
      <c r="B63" s="326" t="s">
        <v>716</v>
      </c>
      <c r="C63" s="312">
        <v>328</v>
      </c>
      <c r="D63" s="618" t="s">
        <v>550</v>
      </c>
      <c r="E63" s="619"/>
      <c r="F63" s="162" t="s">
        <v>7</v>
      </c>
      <c r="G63" s="194">
        <f>ROUNDUP(G60/6,0)</f>
        <v>124</v>
      </c>
      <c r="H63" s="494">
        <f>K63*(1+'BDI''s'!$C$81/100)</f>
        <v>5.24</v>
      </c>
      <c r="I63" s="494">
        <f>H63*G63</f>
        <v>649.76</v>
      </c>
      <c r="J63" s="200">
        <v>4</v>
      </c>
      <c r="K63" s="9">
        <v>4.5999999999999996</v>
      </c>
    </row>
    <row r="64" spans="2:11" ht="30" customHeight="1">
      <c r="B64" s="163" t="s">
        <v>717</v>
      </c>
      <c r="C64" s="647" t="s">
        <v>434</v>
      </c>
      <c r="D64" s="648"/>
      <c r="E64" s="649"/>
      <c r="F64" s="182"/>
      <c r="G64" s="195"/>
      <c r="H64" s="199"/>
      <c r="I64" s="495">
        <f>SUM(I65:I68)</f>
        <v>1906.79</v>
      </c>
    </row>
    <row r="65" spans="2:11" ht="30" customHeight="1">
      <c r="B65" s="326" t="s">
        <v>718</v>
      </c>
      <c r="C65" s="312">
        <v>6027</v>
      </c>
      <c r="D65" s="616" t="s">
        <v>513</v>
      </c>
      <c r="E65" s="611"/>
      <c r="F65" s="162" t="s">
        <v>7</v>
      </c>
      <c r="G65" s="194">
        <v>2</v>
      </c>
      <c r="H65" s="494">
        <f>K65*(1+'BDI''s'!$C$81/100)</f>
        <v>716.57</v>
      </c>
      <c r="I65" s="494">
        <f>H65*G65</f>
        <v>1433.14</v>
      </c>
      <c r="J65" s="200">
        <v>5</v>
      </c>
      <c r="K65" s="9">
        <v>628.46</v>
      </c>
    </row>
    <row r="66" spans="2:11" ht="30" customHeight="1">
      <c r="B66" s="326" t="s">
        <v>719</v>
      </c>
      <c r="C66" s="320">
        <v>10407</v>
      </c>
      <c r="D66" s="618" t="s">
        <v>557</v>
      </c>
      <c r="E66" s="619"/>
      <c r="F66" s="162" t="s">
        <v>7</v>
      </c>
      <c r="G66" s="194">
        <v>1</v>
      </c>
      <c r="H66" s="494">
        <f>K66*(1+'BDI''s'!$C$81/100)</f>
        <v>289.35000000000002</v>
      </c>
      <c r="I66" s="494">
        <f>H66*G66</f>
        <v>289.35000000000002</v>
      </c>
      <c r="J66" s="200">
        <v>5</v>
      </c>
      <c r="K66" s="9">
        <v>253.77</v>
      </c>
    </row>
    <row r="67" spans="2:11" ht="30" customHeight="1">
      <c r="B67" s="326" t="s">
        <v>720</v>
      </c>
      <c r="C67" s="312" t="s">
        <v>337</v>
      </c>
      <c r="D67" s="610" t="s">
        <v>407</v>
      </c>
      <c r="E67" s="611"/>
      <c r="F67" s="162" t="s">
        <v>7</v>
      </c>
      <c r="G67" s="194">
        <v>2</v>
      </c>
      <c r="H67" s="494">
        <f>K67*(1+'BDI''s'!$C$81/100)</f>
        <v>17.63</v>
      </c>
      <c r="I67" s="494">
        <f>H67*G67</f>
        <v>35.26</v>
      </c>
      <c r="J67" s="200">
        <v>4</v>
      </c>
      <c r="K67" s="9">
        <f>(10.8+14.92+16.85+19.27)/4</f>
        <v>15.46</v>
      </c>
    </row>
    <row r="68" spans="2:11" ht="30" customHeight="1">
      <c r="B68" s="326" t="s">
        <v>721</v>
      </c>
      <c r="C68" s="320">
        <v>47</v>
      </c>
      <c r="D68" s="616" t="s">
        <v>551</v>
      </c>
      <c r="E68" s="611"/>
      <c r="F68" s="162" t="s">
        <v>7</v>
      </c>
      <c r="G68" s="194">
        <v>4</v>
      </c>
      <c r="H68" s="494">
        <f>K68*(1+'BDI''s'!$C$81/100)</f>
        <v>37.26</v>
      </c>
      <c r="I68" s="494">
        <f>H68*G68</f>
        <v>149.04</v>
      </c>
      <c r="J68" s="200">
        <v>4</v>
      </c>
      <c r="K68" s="9">
        <v>32.68</v>
      </c>
    </row>
    <row r="69" spans="2:11" ht="30" customHeight="1">
      <c r="B69" s="159">
        <v>4</v>
      </c>
      <c r="C69" s="622" t="s">
        <v>435</v>
      </c>
      <c r="D69" s="623"/>
      <c r="E69" s="623"/>
      <c r="F69" s="624"/>
      <c r="G69" s="625" t="s">
        <v>261</v>
      </c>
      <c r="H69" s="626"/>
      <c r="I69" s="493">
        <f>I70+I74+I77+I80+I84</f>
        <v>26526.720000000001</v>
      </c>
    </row>
    <row r="70" spans="2:11" ht="30" customHeight="1">
      <c r="B70" s="163" t="s">
        <v>408</v>
      </c>
      <c r="C70" s="613" t="s">
        <v>425</v>
      </c>
      <c r="D70" s="614"/>
      <c r="E70" s="614"/>
      <c r="F70" s="614"/>
      <c r="G70" s="614"/>
      <c r="H70" s="615"/>
      <c r="I70" s="495">
        <f>SUM(I71:I73)</f>
        <v>1357.16</v>
      </c>
    </row>
    <row r="71" spans="2:11" ht="30" customHeight="1">
      <c r="B71" s="326" t="s">
        <v>409</v>
      </c>
      <c r="C71" s="319" t="s">
        <v>430</v>
      </c>
      <c r="D71" s="610" t="s">
        <v>441</v>
      </c>
      <c r="E71" s="611"/>
      <c r="F71" s="162" t="s">
        <v>343</v>
      </c>
      <c r="G71" s="194">
        <f>6*6</f>
        <v>36</v>
      </c>
      <c r="H71" s="494">
        <f>K71*(1+'BDI''s'!$C$33/100)</f>
        <v>4.0999999999999996</v>
      </c>
      <c r="I71" s="494">
        <f>H71*G71</f>
        <v>147.6</v>
      </c>
      <c r="J71" s="200">
        <v>1</v>
      </c>
      <c r="K71" s="9">
        <f>K43</f>
        <v>3.3</v>
      </c>
    </row>
    <row r="72" spans="2:11" ht="42" customHeight="1">
      <c r="B72" s="326" t="s">
        <v>722</v>
      </c>
      <c r="C72" s="319">
        <v>72733</v>
      </c>
      <c r="D72" s="610" t="s">
        <v>463</v>
      </c>
      <c r="E72" s="611"/>
      <c r="F72" s="185" t="s">
        <v>7</v>
      </c>
      <c r="G72" s="194">
        <v>1</v>
      </c>
      <c r="H72" s="494">
        <f>K72*(1+'BDI''s'!$C$33/100)</f>
        <v>648.28</v>
      </c>
      <c r="I72" s="494">
        <f>H72*G72</f>
        <v>648.28</v>
      </c>
      <c r="J72" s="200">
        <v>6</v>
      </c>
      <c r="K72" s="9">
        <v>522.04999999999995</v>
      </c>
    </row>
    <row r="73" spans="2:11" ht="94.5" customHeight="1">
      <c r="B73" s="318" t="s">
        <v>723</v>
      </c>
      <c r="C73" s="315" t="s">
        <v>8</v>
      </c>
      <c r="D73" s="610" t="s">
        <v>464</v>
      </c>
      <c r="E73" s="611"/>
      <c r="F73" s="162" t="s">
        <v>344</v>
      </c>
      <c r="G73" s="307">
        <v>8</v>
      </c>
      <c r="H73" s="494">
        <f>K73*(1+'BDI''s'!$C$33/100)</f>
        <v>70.16</v>
      </c>
      <c r="I73" s="494">
        <f>H73*G73</f>
        <v>561.28</v>
      </c>
      <c r="J73" s="608">
        <v>6</v>
      </c>
      <c r="K73" s="9">
        <v>56.5</v>
      </c>
    </row>
    <row r="74" spans="2:11" ht="30" customHeight="1">
      <c r="B74" s="163" t="s">
        <v>410</v>
      </c>
      <c r="C74" s="613" t="s">
        <v>426</v>
      </c>
      <c r="D74" s="614"/>
      <c r="E74" s="614"/>
      <c r="F74" s="614"/>
      <c r="G74" s="614"/>
      <c r="H74" s="615"/>
      <c r="I74" s="495">
        <f>SUM(I75:I76)</f>
        <v>792.02</v>
      </c>
    </row>
    <row r="75" spans="2:11" ht="30" customHeight="1">
      <c r="B75" s="326" t="s">
        <v>450</v>
      </c>
      <c r="C75" s="321" t="s">
        <v>527</v>
      </c>
      <c r="D75" s="620" t="s">
        <v>380</v>
      </c>
      <c r="E75" s="621"/>
      <c r="F75" s="164" t="s">
        <v>347</v>
      </c>
      <c r="G75" s="194">
        <f>PI()*2.5^2/4*1.6</f>
        <v>7.85</v>
      </c>
      <c r="H75" s="494">
        <f>K75*(1+'BDI''s'!$C$33/100)</f>
        <v>27.37</v>
      </c>
      <c r="I75" s="494">
        <f>H75*G75</f>
        <v>214.85</v>
      </c>
      <c r="J75" s="200">
        <v>2</v>
      </c>
      <c r="K75" s="308">
        <f>K44</f>
        <v>22.04</v>
      </c>
    </row>
    <row r="76" spans="2:11" ht="36.75" customHeight="1">
      <c r="B76" s="326" t="s">
        <v>450</v>
      </c>
      <c r="C76" s="319">
        <v>72921</v>
      </c>
      <c r="D76" s="610" t="s">
        <v>489</v>
      </c>
      <c r="E76" s="611"/>
      <c r="F76" s="162" t="s">
        <v>347</v>
      </c>
      <c r="G76" s="194">
        <f>G75-G82</f>
        <v>7.36</v>
      </c>
      <c r="H76" s="494">
        <f>K76*(1+'BDI''s'!$C$33/100)</f>
        <v>78.42</v>
      </c>
      <c r="I76" s="494">
        <f t="shared" ref="I76" si="4">H76*G76</f>
        <v>577.16999999999996</v>
      </c>
      <c r="J76" s="200">
        <v>1</v>
      </c>
      <c r="K76" s="9">
        <f>K53</f>
        <v>63.15</v>
      </c>
    </row>
    <row r="77" spans="2:11" ht="30" customHeight="1">
      <c r="B77" s="163" t="s">
        <v>411</v>
      </c>
      <c r="C77" s="613" t="s">
        <v>436</v>
      </c>
      <c r="D77" s="614"/>
      <c r="E77" s="614"/>
      <c r="F77" s="614"/>
      <c r="G77" s="614"/>
      <c r="H77" s="615"/>
      <c r="I77" s="495">
        <f>SUM(I78:I79)</f>
        <v>2000.84</v>
      </c>
    </row>
    <row r="78" spans="2:11" ht="39.75" customHeight="1">
      <c r="B78" s="326" t="s">
        <v>412</v>
      </c>
      <c r="C78" s="319" t="s">
        <v>427</v>
      </c>
      <c r="D78" s="610" t="s">
        <v>448</v>
      </c>
      <c r="E78" s="611"/>
      <c r="F78" s="185" t="s">
        <v>344</v>
      </c>
      <c r="G78" s="194">
        <f>6*6</f>
        <v>36</v>
      </c>
      <c r="H78" s="494">
        <f>K78*(1+'BDI''s'!$C$33/100)</f>
        <v>42.33</v>
      </c>
      <c r="I78" s="494">
        <f>H78*G78</f>
        <v>1523.88</v>
      </c>
      <c r="J78" s="200">
        <v>2</v>
      </c>
      <c r="K78" s="308">
        <v>34.090000000000003</v>
      </c>
    </row>
    <row r="79" spans="2:11" ht="30" customHeight="1">
      <c r="B79" s="326" t="s">
        <v>413</v>
      </c>
      <c r="C79" s="319">
        <v>85188</v>
      </c>
      <c r="D79" s="610" t="s">
        <v>455</v>
      </c>
      <c r="E79" s="611"/>
      <c r="F79" s="185" t="s">
        <v>7</v>
      </c>
      <c r="G79" s="194">
        <v>1</v>
      </c>
      <c r="H79" s="494">
        <f>K79*(1+'BDI''s'!$C$33/100)</f>
        <v>476.96</v>
      </c>
      <c r="I79" s="494">
        <f>H79*G79</f>
        <v>476.96</v>
      </c>
      <c r="J79" s="200">
        <v>2</v>
      </c>
      <c r="K79" s="308">
        <v>384.09</v>
      </c>
    </row>
    <row r="80" spans="2:11" ht="30" customHeight="1">
      <c r="B80" s="163" t="s">
        <v>451</v>
      </c>
      <c r="C80" s="613" t="s">
        <v>462</v>
      </c>
      <c r="D80" s="614"/>
      <c r="E80" s="614"/>
      <c r="F80" s="614"/>
      <c r="G80" s="614"/>
      <c r="H80" s="615"/>
      <c r="I80" s="495">
        <f>SUM(I81:I83)</f>
        <v>14408.42</v>
      </c>
    </row>
    <row r="81" spans="2:11" ht="51" customHeight="1">
      <c r="B81" s="326" t="s">
        <v>452</v>
      </c>
      <c r="C81" s="319" t="s">
        <v>456</v>
      </c>
      <c r="D81" s="610" t="s">
        <v>457</v>
      </c>
      <c r="E81" s="611"/>
      <c r="F81" s="185" t="s">
        <v>7</v>
      </c>
      <c r="G81" s="194">
        <v>2</v>
      </c>
      <c r="H81" s="494">
        <f>K81*(1+'BDI''s'!$C$33/100)</f>
        <v>204.74</v>
      </c>
      <c r="I81" s="494">
        <f t="shared" ref="I81" si="5">H81*G81</f>
        <v>409.48</v>
      </c>
      <c r="J81" s="200">
        <v>3</v>
      </c>
      <c r="K81" s="308">
        <f>K48</f>
        <v>164.87</v>
      </c>
    </row>
    <row r="82" spans="2:11" ht="38.25" customHeight="1">
      <c r="B82" s="326" t="s">
        <v>688</v>
      </c>
      <c r="C82" s="322">
        <v>5652</v>
      </c>
      <c r="D82" s="610" t="s">
        <v>351</v>
      </c>
      <c r="E82" s="611"/>
      <c r="F82" s="162" t="s">
        <v>347</v>
      </c>
      <c r="G82" s="307">
        <f>PI()*2.5^2/4*0.1</f>
        <v>0.49</v>
      </c>
      <c r="H82" s="494">
        <f>K82*(1+'BDI''s'!$C$33/100)</f>
        <v>311.98</v>
      </c>
      <c r="I82" s="494">
        <f t="shared" ref="I82:I83" si="6">H82*G82</f>
        <v>152.87</v>
      </c>
      <c r="J82" s="200">
        <v>3</v>
      </c>
      <c r="K82" s="9">
        <v>251.23</v>
      </c>
    </row>
    <row r="83" spans="2:11" ht="38.25" customHeight="1">
      <c r="B83" s="326" t="s">
        <v>556</v>
      </c>
      <c r="C83" s="328" t="s">
        <v>337</v>
      </c>
      <c r="D83" s="616" t="s">
        <v>564</v>
      </c>
      <c r="E83" s="611"/>
      <c r="F83" s="185" t="s">
        <v>7</v>
      </c>
      <c r="G83" s="307">
        <v>1</v>
      </c>
      <c r="H83" s="494">
        <f>K83*(1+'BDI''s'!$C$33/100)</f>
        <v>13846.07</v>
      </c>
      <c r="I83" s="494">
        <f t="shared" si="6"/>
        <v>13846.07</v>
      </c>
      <c r="J83" s="200">
        <v>6</v>
      </c>
      <c r="K83" s="9">
        <f xml:space="preserve"> (9500+12800)/2</f>
        <v>11150</v>
      </c>
    </row>
    <row r="84" spans="2:11" ht="30" customHeight="1">
      <c r="B84" s="163" t="s">
        <v>459</v>
      </c>
      <c r="C84" s="613" t="s">
        <v>437</v>
      </c>
      <c r="D84" s="614"/>
      <c r="E84" s="614"/>
      <c r="F84" s="614"/>
      <c r="G84" s="614"/>
      <c r="H84" s="615"/>
      <c r="I84" s="495">
        <f>SUM(I85:I89)</f>
        <v>7968.28</v>
      </c>
    </row>
    <row r="85" spans="2:11" ht="30" customHeight="1">
      <c r="B85" s="326" t="s">
        <v>460</v>
      </c>
      <c r="C85" s="320">
        <v>3253</v>
      </c>
      <c r="D85" s="616" t="s">
        <v>552</v>
      </c>
      <c r="E85" s="611"/>
      <c r="F85" s="185" t="s">
        <v>7</v>
      </c>
      <c r="G85" s="194">
        <v>1</v>
      </c>
      <c r="H85" s="494">
        <f>K85*(1+'BDI''s'!$C$81/100)</f>
        <v>110.61</v>
      </c>
      <c r="I85" s="494">
        <f t="shared" ref="I85:I89" si="7">H85*G85</f>
        <v>110.61</v>
      </c>
      <c r="J85" s="200">
        <v>4</v>
      </c>
      <c r="K85" s="9">
        <v>97.01</v>
      </c>
    </row>
    <row r="86" spans="2:11" ht="30" customHeight="1">
      <c r="B86" s="326" t="s">
        <v>537</v>
      </c>
      <c r="C86" s="320">
        <v>3260</v>
      </c>
      <c r="D86" s="610" t="s">
        <v>458</v>
      </c>
      <c r="E86" s="611"/>
      <c r="F86" s="185" t="s">
        <v>7</v>
      </c>
      <c r="G86" s="194">
        <v>2</v>
      </c>
      <c r="H86" s="494">
        <f>K86*(1+'BDI''s'!$C$81/100)</f>
        <v>12.36</v>
      </c>
      <c r="I86" s="494">
        <f t="shared" si="7"/>
        <v>24.72</v>
      </c>
      <c r="J86" s="200">
        <v>4</v>
      </c>
      <c r="K86" s="9">
        <v>10.84</v>
      </c>
    </row>
    <row r="87" spans="2:11" ht="30" customHeight="1">
      <c r="B87" s="326" t="s">
        <v>724</v>
      </c>
      <c r="C87" s="320" t="s">
        <v>337</v>
      </c>
      <c r="D87" s="610" t="s">
        <v>561</v>
      </c>
      <c r="E87" s="611"/>
      <c r="F87" s="185" t="s">
        <v>7</v>
      </c>
      <c r="G87" s="307">
        <v>1</v>
      </c>
      <c r="H87" s="494">
        <f>K87*(1+'BDI''s'!$C$81/100)</f>
        <v>189.22</v>
      </c>
      <c r="I87" s="494">
        <f t="shared" si="7"/>
        <v>189.22</v>
      </c>
      <c r="J87" s="200">
        <v>4</v>
      </c>
      <c r="K87" s="308">
        <f>(146.9+185)/2</f>
        <v>165.95</v>
      </c>
    </row>
    <row r="88" spans="2:11" ht="25.5">
      <c r="B88" s="326" t="s">
        <v>725</v>
      </c>
      <c r="C88" s="325" t="s">
        <v>562</v>
      </c>
      <c r="D88" s="616" t="s">
        <v>563</v>
      </c>
      <c r="E88" s="611"/>
      <c r="F88" s="185" t="s">
        <v>345</v>
      </c>
      <c r="G88" s="307">
        <v>1</v>
      </c>
      <c r="H88" s="494">
        <f>K88*(1+'BDI''s'!$C$81/100)</f>
        <v>34.21</v>
      </c>
      <c r="I88" s="494">
        <f t="shared" si="7"/>
        <v>34.21</v>
      </c>
      <c r="J88" s="200">
        <v>6</v>
      </c>
      <c r="K88" s="9">
        <v>30</v>
      </c>
    </row>
    <row r="89" spans="2:11" ht="30" customHeight="1">
      <c r="B89" s="326" t="s">
        <v>726</v>
      </c>
      <c r="C89" s="324" t="s">
        <v>337</v>
      </c>
      <c r="D89" s="616" t="s">
        <v>560</v>
      </c>
      <c r="E89" s="611"/>
      <c r="F89" s="164" t="s">
        <v>7</v>
      </c>
      <c r="G89" s="307">
        <v>1</v>
      </c>
      <c r="H89" s="494">
        <f>K89*(1+'BDI''s'!$C$81/100)</f>
        <v>7609.52</v>
      </c>
      <c r="I89" s="494">
        <f t="shared" si="7"/>
        <v>7609.52</v>
      </c>
      <c r="J89" s="200">
        <v>4</v>
      </c>
      <c r="K89" s="9">
        <f>(6600+6999+6859.9+6236.49)/4</f>
        <v>6673.85</v>
      </c>
    </row>
    <row r="90" spans="2:11" ht="30" customHeight="1">
      <c r="B90" s="159">
        <v>5</v>
      </c>
      <c r="C90" s="622" t="s">
        <v>438</v>
      </c>
      <c r="D90" s="623"/>
      <c r="E90" s="623"/>
      <c r="F90" s="624"/>
      <c r="G90" s="625" t="s">
        <v>261</v>
      </c>
      <c r="H90" s="626"/>
      <c r="I90" s="493">
        <f>I91+I93+I99+I102+I107+I110</f>
        <v>103493.92</v>
      </c>
    </row>
    <row r="91" spans="2:11" ht="30" customHeight="1">
      <c r="B91" s="163" t="s">
        <v>727</v>
      </c>
      <c r="C91" s="613" t="s">
        <v>20</v>
      </c>
      <c r="D91" s="614"/>
      <c r="E91" s="614"/>
      <c r="F91" s="614"/>
      <c r="G91" s="614"/>
      <c r="H91" s="615"/>
      <c r="I91" s="495">
        <f>SUM(I92)</f>
        <v>902.88</v>
      </c>
    </row>
    <row r="92" spans="2:11" ht="30" customHeight="1">
      <c r="B92" s="326" t="s">
        <v>729</v>
      </c>
      <c r="C92" s="319">
        <v>73610</v>
      </c>
      <c r="D92" s="610" t="s">
        <v>379</v>
      </c>
      <c r="E92" s="611"/>
      <c r="F92" s="162" t="s">
        <v>344</v>
      </c>
      <c r="G92" s="194">
        <f>'Mem. Cálc. Escavações'!E24</f>
        <v>1188</v>
      </c>
      <c r="H92" s="494">
        <f>K92*(1+'BDI''s'!$C$33/100)</f>
        <v>0.76</v>
      </c>
      <c r="I92" s="494">
        <f>H92*G92</f>
        <v>902.88</v>
      </c>
      <c r="J92" s="200">
        <v>6</v>
      </c>
      <c r="K92" s="9">
        <f>K41</f>
        <v>0.61</v>
      </c>
    </row>
    <row r="93" spans="2:11" ht="30" customHeight="1">
      <c r="B93" s="163" t="s">
        <v>728</v>
      </c>
      <c r="C93" s="613" t="s">
        <v>21</v>
      </c>
      <c r="D93" s="614"/>
      <c r="E93" s="614"/>
      <c r="F93" s="614"/>
      <c r="G93" s="614"/>
      <c r="H93" s="615"/>
      <c r="I93" s="495">
        <f>SUM(I94:I98)</f>
        <v>23499.17</v>
      </c>
    </row>
    <row r="94" spans="2:11" ht="30" customHeight="1">
      <c r="B94" s="326" t="s">
        <v>730</v>
      </c>
      <c r="C94" s="321" t="s">
        <v>527</v>
      </c>
      <c r="D94" s="620" t="s">
        <v>380</v>
      </c>
      <c r="E94" s="621"/>
      <c r="F94" s="164" t="s">
        <v>347</v>
      </c>
      <c r="G94" s="194">
        <f>('Mem. Cálc. Escavações'!E31+'Mem. Cálc. Escavações'!E32)*0.1</f>
        <v>55.75</v>
      </c>
      <c r="H94" s="494">
        <f>K94*(1+'BDI''s'!$C$33/100)</f>
        <v>27.37</v>
      </c>
      <c r="I94" s="494">
        <f>H94*G94</f>
        <v>1525.88</v>
      </c>
      <c r="J94" s="200">
        <v>2</v>
      </c>
      <c r="K94" s="308">
        <f>K44</f>
        <v>22.04</v>
      </c>
    </row>
    <row r="95" spans="2:11" ht="30" customHeight="1">
      <c r="B95" s="326" t="s">
        <v>731</v>
      </c>
      <c r="C95" s="311" t="s">
        <v>335</v>
      </c>
      <c r="D95" s="610" t="s">
        <v>384</v>
      </c>
      <c r="E95" s="611"/>
      <c r="F95" s="164" t="s">
        <v>347</v>
      </c>
      <c r="G95" s="194">
        <f>'Mem. Cálc. Escavações'!E33</f>
        <v>29.34</v>
      </c>
      <c r="H95" s="494">
        <f>K95*(1+'BDI''s'!$C$33/100)</f>
        <v>195.97</v>
      </c>
      <c r="I95" s="494">
        <f>H95*G95</f>
        <v>5749.76</v>
      </c>
      <c r="J95" s="200">
        <v>6</v>
      </c>
      <c r="K95" s="9">
        <v>157.81</v>
      </c>
    </row>
    <row r="96" spans="2:11" ht="30" customHeight="1">
      <c r="B96" s="326" t="s">
        <v>732</v>
      </c>
      <c r="C96" s="319">
        <v>73599</v>
      </c>
      <c r="D96" s="610" t="s">
        <v>383</v>
      </c>
      <c r="E96" s="611"/>
      <c r="F96" s="162" t="s">
        <v>347</v>
      </c>
      <c r="G96" s="194">
        <f>('Mem. Cálc. Escavações'!E31+'Mem. Cálc. Escavações'!E32)*0.9</f>
        <v>501.78</v>
      </c>
      <c r="H96" s="494">
        <f>K96*(1+'BDI''s'!$C$33/100)</f>
        <v>10.130000000000001</v>
      </c>
      <c r="I96" s="494">
        <f t="shared" ref="I96:I97" si="8">H96*G96</f>
        <v>5083.03</v>
      </c>
      <c r="J96" s="200">
        <v>1</v>
      </c>
      <c r="K96" s="9">
        <f>K46</f>
        <v>8.16</v>
      </c>
    </row>
    <row r="97" spans="2:11" ht="39.75" customHeight="1">
      <c r="B97" s="326" t="s">
        <v>733</v>
      </c>
      <c r="C97" s="319">
        <v>73692</v>
      </c>
      <c r="D97" s="610" t="s">
        <v>386</v>
      </c>
      <c r="E97" s="611"/>
      <c r="F97" s="162" t="s">
        <v>347</v>
      </c>
      <c r="G97" s="194">
        <f>'Mem. Cálc. Escavações'!E28</f>
        <v>77.22</v>
      </c>
      <c r="H97" s="494">
        <f>K97*(1+'BDI''s'!$C$33/100)</f>
        <v>141.61000000000001</v>
      </c>
      <c r="I97" s="494">
        <f t="shared" si="8"/>
        <v>10935.12</v>
      </c>
      <c r="J97" s="200">
        <v>1</v>
      </c>
      <c r="K97" s="9">
        <f>K47</f>
        <v>114.04</v>
      </c>
    </row>
    <row r="98" spans="2:11" ht="30" customHeight="1">
      <c r="B98" s="326" t="s">
        <v>734</v>
      </c>
      <c r="C98" s="319">
        <v>72208</v>
      </c>
      <c r="D98" s="610" t="s">
        <v>519</v>
      </c>
      <c r="E98" s="611"/>
      <c r="F98" s="162" t="s">
        <v>347</v>
      </c>
      <c r="G98" s="194">
        <f>G95</f>
        <v>29.34</v>
      </c>
      <c r="H98" s="494">
        <f>K98*(1+'BDI''s'!$C$33/100)</f>
        <v>7</v>
      </c>
      <c r="I98" s="494">
        <f>H98*G98</f>
        <v>205.38</v>
      </c>
      <c r="J98" s="200">
        <v>3</v>
      </c>
      <c r="K98" s="9">
        <f>K50</f>
        <v>5.64</v>
      </c>
    </row>
    <row r="99" spans="2:11" ht="30" customHeight="1">
      <c r="B99" s="163" t="s">
        <v>735</v>
      </c>
      <c r="C99" s="613" t="s">
        <v>22</v>
      </c>
      <c r="D99" s="614"/>
      <c r="E99" s="614"/>
      <c r="F99" s="614"/>
      <c r="G99" s="614"/>
      <c r="H99" s="615"/>
      <c r="I99" s="495">
        <f>SUM(I100:I101)</f>
        <v>5999.23</v>
      </c>
    </row>
    <row r="100" spans="2:11" ht="54.75" customHeight="1">
      <c r="B100" s="326" t="s">
        <v>736</v>
      </c>
      <c r="C100" s="315" t="str">
        <f>COMPOSIÇÕES!$E$133</f>
        <v>CODEVASF</v>
      </c>
      <c r="D100" s="610" t="str">
        <f>COMPOSIÇÕES!$D$132</f>
        <v>ATERRO DE VALAS E CAVAS COM AVALIAÇÃO VISUAL DA COMPACTAÇÃO REALIZADA MEDIANTE UTILIZAÇÃO DE COMPACTADOR MANUAL TIPO SAPO, INCLUINDO CARRO PIPA E ÁGUA.</v>
      </c>
      <c r="E100" s="611"/>
      <c r="F100" s="162" t="s">
        <v>347</v>
      </c>
      <c r="G100" s="194">
        <f>'Mem. Cálc. Escavações'!E36</f>
        <v>480.31</v>
      </c>
      <c r="H100" s="494">
        <f>COMPOSIÇÕES!$K$155</f>
        <v>7.7</v>
      </c>
      <c r="I100" s="494">
        <f>H100*G100</f>
        <v>3698.39</v>
      </c>
      <c r="J100" s="200">
        <v>1</v>
      </c>
    </row>
    <row r="101" spans="2:11" ht="30" customHeight="1">
      <c r="B101" s="326" t="s">
        <v>737</v>
      </c>
      <c r="C101" s="319">
        <v>72921</v>
      </c>
      <c r="D101" s="610" t="s">
        <v>393</v>
      </c>
      <c r="E101" s="611"/>
      <c r="F101" s="162" t="s">
        <v>347</v>
      </c>
      <c r="G101" s="194">
        <f>'Mem. Cálc. Escavações'!E35</f>
        <v>29.34</v>
      </c>
      <c r="H101" s="494">
        <f>K101*(1+'BDI''s'!$C$33/100)</f>
        <v>78.42</v>
      </c>
      <c r="I101" s="494">
        <f>H101*G101</f>
        <v>2300.84</v>
      </c>
      <c r="J101" s="200">
        <v>1</v>
      </c>
      <c r="K101" s="9">
        <f>K76</f>
        <v>63.15</v>
      </c>
    </row>
    <row r="102" spans="2:11" ht="30" customHeight="1">
      <c r="B102" s="163" t="s">
        <v>738</v>
      </c>
      <c r="C102" s="613" t="s">
        <v>431</v>
      </c>
      <c r="D102" s="614"/>
      <c r="E102" s="614"/>
      <c r="F102" s="614"/>
      <c r="G102" s="614"/>
      <c r="H102" s="615"/>
      <c r="I102" s="495">
        <f>SUM(I103:I106)</f>
        <v>3663.9</v>
      </c>
    </row>
    <row r="103" spans="2:11" ht="30" customHeight="1">
      <c r="B103" s="326" t="s">
        <v>739</v>
      </c>
      <c r="C103" s="311" t="s">
        <v>267</v>
      </c>
      <c r="D103" s="610" t="s">
        <v>389</v>
      </c>
      <c r="E103" s="611"/>
      <c r="F103" s="162" t="s">
        <v>344</v>
      </c>
      <c r="G103" s="194">
        <f>G92-G104</f>
        <v>1026</v>
      </c>
      <c r="H103" s="494">
        <f>K103*(1+'BDI''s'!$C$33/100)</f>
        <v>1.43</v>
      </c>
      <c r="I103" s="494">
        <f>H103*G103</f>
        <v>1467.18</v>
      </c>
      <c r="J103" s="200">
        <v>6</v>
      </c>
      <c r="K103" s="9">
        <v>1.1499999999999999</v>
      </c>
    </row>
    <row r="104" spans="2:11" ht="30" customHeight="1">
      <c r="B104" s="326" t="s">
        <v>740</v>
      </c>
      <c r="C104" s="324" t="s">
        <v>539</v>
      </c>
      <c r="D104" s="627" t="s">
        <v>538</v>
      </c>
      <c r="E104" s="628"/>
      <c r="F104" s="185" t="s">
        <v>344</v>
      </c>
      <c r="G104" s="307">
        <v>162</v>
      </c>
      <c r="H104" s="494">
        <f>K104*(1+'BDI''s'!$C$33/100)</f>
        <v>1.9</v>
      </c>
      <c r="I104" s="494">
        <f>H104*G104</f>
        <v>307.8</v>
      </c>
      <c r="J104" s="200">
        <v>6</v>
      </c>
      <c r="K104" s="9">
        <v>1.53</v>
      </c>
    </row>
    <row r="105" spans="2:11" ht="30" customHeight="1">
      <c r="B105" s="326" t="s">
        <v>741</v>
      </c>
      <c r="C105" s="311">
        <v>73682</v>
      </c>
      <c r="D105" s="610" t="s">
        <v>390</v>
      </c>
      <c r="E105" s="611"/>
      <c r="F105" s="162" t="s">
        <v>344</v>
      </c>
      <c r="G105" s="194">
        <f>G92</f>
        <v>1188</v>
      </c>
      <c r="H105" s="494">
        <f>K105*(1+'BDI''s'!$C$33/100)</f>
        <v>1.1299999999999999</v>
      </c>
      <c r="I105" s="494">
        <f>H105*G105</f>
        <v>1342.44</v>
      </c>
      <c r="J105" s="200">
        <v>6</v>
      </c>
      <c r="K105" s="9">
        <f>K56</f>
        <v>0.91</v>
      </c>
    </row>
    <row r="106" spans="2:11" ht="39.75" customHeight="1">
      <c r="B106" s="326" t="s">
        <v>742</v>
      </c>
      <c r="C106" s="311" t="str">
        <f>COMPOSIÇÕES!$E$161</f>
        <v>CODEVASF</v>
      </c>
      <c r="D106" s="610" t="str">
        <f>COMPOSIÇÕES!$D$160</f>
        <v>TESTE DE ESTANQUEIDADE PARA ADUTORA E REDE DE DISTRIBUIÇÃO DE ÁGUA, INCLUSIVE CAMINHÃO PIPA, BOMBA PRESSURIZADA E ÁGUA.</v>
      </c>
      <c r="E106" s="611"/>
      <c r="F106" s="162" t="s">
        <v>344</v>
      </c>
      <c r="G106" s="194">
        <f>G105</f>
        <v>1188</v>
      </c>
      <c r="H106" s="494">
        <f>COMPOSIÇÕES!$K$183</f>
        <v>0.46</v>
      </c>
      <c r="I106" s="494">
        <f>H106*G106</f>
        <v>546.48</v>
      </c>
      <c r="J106" s="200">
        <v>6</v>
      </c>
    </row>
    <row r="107" spans="2:11" ht="30" customHeight="1">
      <c r="B107" s="163" t="s">
        <v>743</v>
      </c>
      <c r="C107" s="613" t="s">
        <v>518</v>
      </c>
      <c r="D107" s="614"/>
      <c r="E107" s="614"/>
      <c r="F107" s="614"/>
      <c r="G107" s="614"/>
      <c r="H107" s="615"/>
      <c r="I107" s="495">
        <f>SUM(I108:I109)</f>
        <v>35766</v>
      </c>
    </row>
    <row r="108" spans="2:11" ht="30" customHeight="1">
      <c r="B108" s="326" t="s">
        <v>744</v>
      </c>
      <c r="C108" s="311" t="s">
        <v>268</v>
      </c>
      <c r="D108" s="610" t="s">
        <v>392</v>
      </c>
      <c r="E108" s="611"/>
      <c r="F108" s="162" t="s">
        <v>344</v>
      </c>
      <c r="G108" s="194">
        <f>15*120</f>
        <v>1800</v>
      </c>
      <c r="H108" s="494">
        <f>K108*(1+'BDI''s'!$C$33/100)</f>
        <v>19.11</v>
      </c>
      <c r="I108" s="494">
        <f>H108*G108</f>
        <v>34398</v>
      </c>
      <c r="J108" s="200">
        <v>2</v>
      </c>
      <c r="K108" s="9">
        <v>15.39</v>
      </c>
    </row>
    <row r="109" spans="2:11" ht="30" customHeight="1">
      <c r="B109" s="326" t="s">
        <v>745</v>
      </c>
      <c r="C109" s="311">
        <v>73610</v>
      </c>
      <c r="D109" s="610" t="s">
        <v>379</v>
      </c>
      <c r="E109" s="611"/>
      <c r="F109" s="162" t="s">
        <v>344</v>
      </c>
      <c r="G109" s="194">
        <f>G108</f>
        <v>1800</v>
      </c>
      <c r="H109" s="494">
        <f>K109*(1+'BDI''s'!$C$33/100)</f>
        <v>0.76</v>
      </c>
      <c r="I109" s="494">
        <f>H109*G109</f>
        <v>1368</v>
      </c>
      <c r="J109" s="200">
        <v>6</v>
      </c>
      <c r="K109" s="9">
        <f>K92</f>
        <v>0.61</v>
      </c>
    </row>
    <row r="110" spans="2:11" ht="30" customHeight="1">
      <c r="B110" s="160"/>
      <c r="C110" s="613" t="s">
        <v>18</v>
      </c>
      <c r="D110" s="614"/>
      <c r="E110" s="614"/>
      <c r="F110" s="614"/>
      <c r="G110" s="614"/>
      <c r="H110" s="615"/>
      <c r="I110" s="495">
        <f>I111+I125</f>
        <v>33662.74</v>
      </c>
    </row>
    <row r="111" spans="2:11" ht="30" customHeight="1">
      <c r="B111" s="163" t="s">
        <v>746</v>
      </c>
      <c r="C111" s="613" t="s">
        <v>439</v>
      </c>
      <c r="D111" s="614"/>
      <c r="E111" s="614"/>
      <c r="F111" s="614"/>
      <c r="G111" s="614"/>
      <c r="H111" s="615"/>
      <c r="I111" s="495">
        <f>SUM(I112:I124)</f>
        <v>11200.64</v>
      </c>
    </row>
    <row r="112" spans="2:11" ht="30" customHeight="1">
      <c r="B112" s="326" t="s">
        <v>747</v>
      </c>
      <c r="C112" s="312">
        <v>9844</v>
      </c>
      <c r="D112" s="610" t="s">
        <v>394</v>
      </c>
      <c r="E112" s="611"/>
      <c r="F112" s="162" t="s">
        <v>344</v>
      </c>
      <c r="G112" s="194">
        <f>G103</f>
        <v>1026</v>
      </c>
      <c r="H112" s="494">
        <f>K112*(1+'BDI''s'!$C$81/100)</f>
        <v>7.16</v>
      </c>
      <c r="I112" s="494">
        <f t="shared" ref="I112:I124" si="9">H112*G112</f>
        <v>7346.16</v>
      </c>
      <c r="J112" s="200">
        <v>4</v>
      </c>
      <c r="K112" s="9">
        <v>6.28</v>
      </c>
    </row>
    <row r="113" spans="2:11" ht="30" customHeight="1">
      <c r="B113" s="326" t="s">
        <v>748</v>
      </c>
      <c r="C113" s="312">
        <v>9846</v>
      </c>
      <c r="D113" s="627" t="s">
        <v>689</v>
      </c>
      <c r="E113" s="650"/>
      <c r="F113" s="185" t="s">
        <v>344</v>
      </c>
      <c r="G113" s="307">
        <f>G104</f>
        <v>162</v>
      </c>
      <c r="H113" s="494">
        <f>K113*(1+'BDI''s'!$C$81/100)</f>
        <v>14.62</v>
      </c>
      <c r="I113" s="494">
        <f t="shared" ref="I113" si="10">H113*G113</f>
        <v>2368.44</v>
      </c>
      <c r="J113" s="200">
        <v>4</v>
      </c>
      <c r="K113" s="9">
        <v>12.82</v>
      </c>
    </row>
    <row r="114" spans="2:11" ht="30" customHeight="1">
      <c r="B114" s="326" t="s">
        <v>749</v>
      </c>
      <c r="C114" s="312">
        <v>1206</v>
      </c>
      <c r="D114" s="610" t="s">
        <v>406</v>
      </c>
      <c r="E114" s="611"/>
      <c r="F114" s="185" t="s">
        <v>7</v>
      </c>
      <c r="G114" s="194">
        <v>3</v>
      </c>
      <c r="H114" s="494">
        <f>K114*(1+'BDI''s'!$C$81/100)</f>
        <v>4.17</v>
      </c>
      <c r="I114" s="494">
        <f t="shared" si="9"/>
        <v>12.51</v>
      </c>
      <c r="J114" s="200">
        <v>4</v>
      </c>
      <c r="K114" s="9">
        <v>3.66</v>
      </c>
    </row>
    <row r="115" spans="2:11" ht="30" customHeight="1">
      <c r="B115" s="326" t="s">
        <v>750</v>
      </c>
      <c r="C115" s="312">
        <v>1824</v>
      </c>
      <c r="D115" s="616" t="s">
        <v>540</v>
      </c>
      <c r="E115" s="611"/>
      <c r="F115" s="185" t="s">
        <v>7</v>
      </c>
      <c r="G115" s="194">
        <v>2</v>
      </c>
      <c r="H115" s="494">
        <f>K115*(1+'BDI''s'!$C$81/100)</f>
        <v>37.32</v>
      </c>
      <c r="I115" s="494">
        <f t="shared" si="9"/>
        <v>74.64</v>
      </c>
      <c r="J115" s="200">
        <v>4</v>
      </c>
      <c r="K115" s="9">
        <v>32.729999999999997</v>
      </c>
    </row>
    <row r="116" spans="2:11" ht="30" customHeight="1">
      <c r="B116" s="326" t="s">
        <v>751</v>
      </c>
      <c r="C116" s="312">
        <v>11493</v>
      </c>
      <c r="D116" s="616" t="s">
        <v>541</v>
      </c>
      <c r="E116" s="611"/>
      <c r="F116" s="185" t="s">
        <v>7</v>
      </c>
      <c r="G116" s="194">
        <v>1</v>
      </c>
      <c r="H116" s="494">
        <f>K116*(1+'BDI''s'!$C$81/100)</f>
        <v>14.57</v>
      </c>
      <c r="I116" s="494">
        <f t="shared" si="9"/>
        <v>14.57</v>
      </c>
      <c r="J116" s="200">
        <v>4</v>
      </c>
      <c r="K116" s="9">
        <v>12.78</v>
      </c>
    </row>
    <row r="117" spans="2:11" ht="30" customHeight="1">
      <c r="B117" s="326" t="s">
        <v>752</v>
      </c>
      <c r="C117" s="312">
        <v>20327</v>
      </c>
      <c r="D117" s="506" t="s">
        <v>461</v>
      </c>
      <c r="E117" s="505"/>
      <c r="F117" s="185" t="s">
        <v>7</v>
      </c>
      <c r="G117" s="307">
        <v>1</v>
      </c>
      <c r="H117" s="494">
        <f>K117*(1+'BDI''s'!$C$81/100)</f>
        <v>5.93</v>
      </c>
      <c r="I117" s="494">
        <f t="shared" ref="I117" si="11">H117*G117</f>
        <v>5.93</v>
      </c>
      <c r="J117" s="200">
        <v>4</v>
      </c>
      <c r="K117" s="9">
        <v>5.2</v>
      </c>
    </row>
    <row r="118" spans="2:11" ht="30" customHeight="1">
      <c r="B118" s="326" t="s">
        <v>753</v>
      </c>
      <c r="C118" s="312">
        <v>7048</v>
      </c>
      <c r="D118" s="610" t="s">
        <v>405</v>
      </c>
      <c r="E118" s="611"/>
      <c r="F118" s="185" t="s">
        <v>7</v>
      </c>
      <c r="G118" s="194">
        <v>1</v>
      </c>
      <c r="H118" s="494">
        <f>K118*(1+'BDI''s'!$C$81/100)</f>
        <v>6.99</v>
      </c>
      <c r="I118" s="494">
        <f t="shared" si="9"/>
        <v>6.99</v>
      </c>
      <c r="J118" s="200">
        <v>4</v>
      </c>
      <c r="K118" s="9">
        <v>6.13</v>
      </c>
    </row>
    <row r="119" spans="2:11" ht="30" customHeight="1">
      <c r="B119" s="326" t="s">
        <v>754</v>
      </c>
      <c r="C119" s="312">
        <v>6028</v>
      </c>
      <c r="D119" s="610" t="s">
        <v>415</v>
      </c>
      <c r="E119" s="611"/>
      <c r="F119" s="162" t="s">
        <v>7</v>
      </c>
      <c r="G119" s="194">
        <v>3</v>
      </c>
      <c r="H119" s="494">
        <f>K119*(1+'BDI''s'!$C$81/100)</f>
        <v>110.13</v>
      </c>
      <c r="I119" s="494">
        <f t="shared" si="9"/>
        <v>330.39</v>
      </c>
      <c r="J119" s="200">
        <v>5</v>
      </c>
      <c r="K119" s="9">
        <v>96.59</v>
      </c>
    </row>
    <row r="120" spans="2:11" ht="30" customHeight="1">
      <c r="B120" s="326" t="s">
        <v>755</v>
      </c>
      <c r="C120" s="312">
        <v>6012</v>
      </c>
      <c r="D120" s="610" t="s">
        <v>690</v>
      </c>
      <c r="E120" s="611"/>
      <c r="F120" s="162" t="s">
        <v>7</v>
      </c>
      <c r="G120" s="307">
        <v>1</v>
      </c>
      <c r="H120" s="494">
        <f>K120*(1+'BDI''s'!$C$81/100)</f>
        <v>420.49</v>
      </c>
      <c r="I120" s="494">
        <f t="shared" ref="I120" si="12">H120*G120</f>
        <v>420.49</v>
      </c>
      <c r="J120" s="200">
        <v>5</v>
      </c>
      <c r="K120" s="9">
        <v>368.79</v>
      </c>
    </row>
    <row r="121" spans="2:11" ht="30" customHeight="1">
      <c r="B121" s="326" t="s">
        <v>756</v>
      </c>
      <c r="C121" s="312">
        <v>52</v>
      </c>
      <c r="D121" s="610" t="s">
        <v>416</v>
      </c>
      <c r="E121" s="611"/>
      <c r="F121" s="162" t="s">
        <v>7</v>
      </c>
      <c r="G121" s="194">
        <v>6</v>
      </c>
      <c r="H121" s="494">
        <f>K121*(1+'BDI''s'!$C$81/100)</f>
        <v>8.06</v>
      </c>
      <c r="I121" s="494">
        <f t="shared" si="9"/>
        <v>48.36</v>
      </c>
      <c r="J121" s="200">
        <v>4</v>
      </c>
      <c r="K121" s="9">
        <v>7.07</v>
      </c>
    </row>
    <row r="122" spans="2:11" ht="30" customHeight="1">
      <c r="B122" s="326" t="s">
        <v>757</v>
      </c>
      <c r="C122" s="312">
        <v>43</v>
      </c>
      <c r="D122" s="616" t="s">
        <v>691</v>
      </c>
      <c r="E122" s="611"/>
      <c r="F122" s="162" t="s">
        <v>7</v>
      </c>
      <c r="G122" s="307">
        <v>2</v>
      </c>
      <c r="H122" s="494">
        <f>K122*(1+'BDI''s'!$C$81/100)</f>
        <v>21.21</v>
      </c>
      <c r="I122" s="494">
        <f t="shared" ref="I122" si="13">H122*G122</f>
        <v>42.42</v>
      </c>
      <c r="J122" s="200">
        <v>4</v>
      </c>
      <c r="K122" s="9">
        <v>18.600000000000001</v>
      </c>
    </row>
    <row r="123" spans="2:11" ht="30" customHeight="1">
      <c r="B123" s="326" t="s">
        <v>758</v>
      </c>
      <c r="C123" s="312">
        <v>329</v>
      </c>
      <c r="D123" s="616" t="s">
        <v>542</v>
      </c>
      <c r="E123" s="611"/>
      <c r="F123" s="162" t="s">
        <v>7</v>
      </c>
      <c r="G123" s="307">
        <f>ROUNDUP(G113/6,0)</f>
        <v>27</v>
      </c>
      <c r="H123" s="494">
        <f>K123*(1+'BDI''s'!$C$81/100)</f>
        <v>6.7</v>
      </c>
      <c r="I123" s="494">
        <f t="shared" ref="I123" si="14">H123*G123</f>
        <v>180.9</v>
      </c>
      <c r="J123" s="200">
        <v>4</v>
      </c>
      <c r="K123" s="9">
        <v>5.88</v>
      </c>
    </row>
    <row r="124" spans="2:11" ht="30" customHeight="1">
      <c r="B124" s="326" t="s">
        <v>759</v>
      </c>
      <c r="C124" s="312">
        <v>325</v>
      </c>
      <c r="D124" s="610" t="s">
        <v>404</v>
      </c>
      <c r="E124" s="611"/>
      <c r="F124" s="162" t="s">
        <v>7</v>
      </c>
      <c r="G124" s="194">
        <f>ROUNDUP(G112/6,0)</f>
        <v>171</v>
      </c>
      <c r="H124" s="494">
        <f>K124*(1+'BDI''s'!$C$81/100)</f>
        <v>2.04</v>
      </c>
      <c r="I124" s="494">
        <f t="shared" si="9"/>
        <v>348.84</v>
      </c>
      <c r="J124" s="200">
        <v>4</v>
      </c>
      <c r="K124" s="9">
        <v>1.79</v>
      </c>
    </row>
    <row r="125" spans="2:11" ht="30" customHeight="1">
      <c r="B125" s="163" t="s">
        <v>760</v>
      </c>
      <c r="C125" s="613" t="s">
        <v>262</v>
      </c>
      <c r="D125" s="614"/>
      <c r="E125" s="614"/>
      <c r="F125" s="614"/>
      <c r="G125" s="614"/>
      <c r="H125" s="615"/>
      <c r="I125" s="495">
        <f>SUM(I126:I136)</f>
        <v>22462.1</v>
      </c>
    </row>
    <row r="126" spans="2:11" ht="30" customHeight="1">
      <c r="B126" s="326" t="s">
        <v>761</v>
      </c>
      <c r="C126" s="312">
        <v>9856</v>
      </c>
      <c r="D126" s="610" t="s">
        <v>403</v>
      </c>
      <c r="E126" s="611"/>
      <c r="F126" s="185" t="s">
        <v>344</v>
      </c>
      <c r="G126" s="194">
        <f>15*G127</f>
        <v>1800</v>
      </c>
      <c r="H126" s="494">
        <f>K126*(1+'BDI''s'!$C$81/100)</f>
        <v>4.54</v>
      </c>
      <c r="I126" s="494">
        <f t="shared" ref="I126:I136" si="15">H126*G126</f>
        <v>8172</v>
      </c>
      <c r="J126" s="200">
        <v>4</v>
      </c>
      <c r="K126" s="9">
        <v>3.98</v>
      </c>
    </row>
    <row r="127" spans="2:11" ht="30" customHeight="1">
      <c r="B127" s="326" t="s">
        <v>762</v>
      </c>
      <c r="C127" s="312">
        <v>3729</v>
      </c>
      <c r="D127" s="610" t="s">
        <v>402</v>
      </c>
      <c r="E127" s="611"/>
      <c r="F127" s="162" t="s">
        <v>7</v>
      </c>
      <c r="G127" s="194">
        <v>120</v>
      </c>
      <c r="H127" s="494">
        <f>K127*(1+'BDI''s'!$C$81/100)</f>
        <v>26.94</v>
      </c>
      <c r="I127" s="494">
        <f t="shared" si="15"/>
        <v>3232.8</v>
      </c>
      <c r="J127" s="200">
        <v>4</v>
      </c>
      <c r="K127" s="9">
        <v>23.63</v>
      </c>
    </row>
    <row r="128" spans="2:11" ht="30" customHeight="1">
      <c r="B128" s="318" t="s">
        <v>763</v>
      </c>
      <c r="C128" s="312">
        <v>1419</v>
      </c>
      <c r="D128" s="610" t="s">
        <v>401</v>
      </c>
      <c r="E128" s="611"/>
      <c r="F128" s="162" t="s">
        <v>7</v>
      </c>
      <c r="G128" s="307">
        <v>100</v>
      </c>
      <c r="H128" s="494">
        <f>K128*(1+'BDI''s'!$C$81/100)</f>
        <v>3.31</v>
      </c>
      <c r="I128" s="494">
        <f t="shared" si="15"/>
        <v>331</v>
      </c>
      <c r="J128" s="608">
        <v>4</v>
      </c>
      <c r="K128" s="9">
        <v>2.9</v>
      </c>
    </row>
    <row r="129" spans="2:19" ht="30" customHeight="1">
      <c r="B129" s="318" t="s">
        <v>764</v>
      </c>
      <c r="C129" s="312">
        <v>1413</v>
      </c>
      <c r="D129" s="610" t="s">
        <v>543</v>
      </c>
      <c r="E129" s="611"/>
      <c r="F129" s="162" t="s">
        <v>7</v>
      </c>
      <c r="G129" s="307">
        <v>20</v>
      </c>
      <c r="H129" s="494">
        <f>K129*(1+'BDI''s'!$C$81/100)</f>
        <v>5.68</v>
      </c>
      <c r="I129" s="494">
        <f t="shared" ref="I129" si="16">H129*G129</f>
        <v>113.6</v>
      </c>
      <c r="J129" s="608">
        <v>4</v>
      </c>
      <c r="K129" s="9">
        <v>4.9800000000000004</v>
      </c>
    </row>
    <row r="130" spans="2:19" ht="30" customHeight="1">
      <c r="B130" s="326" t="s">
        <v>765</v>
      </c>
      <c r="C130" s="312">
        <v>3543</v>
      </c>
      <c r="D130" s="610" t="s">
        <v>400</v>
      </c>
      <c r="E130" s="611"/>
      <c r="F130" s="162" t="s">
        <v>7</v>
      </c>
      <c r="G130" s="327">
        <f>G127</f>
        <v>120</v>
      </c>
      <c r="H130" s="494">
        <f>K130*(1+'BDI''s'!$C$81/100)</f>
        <v>1.36</v>
      </c>
      <c r="I130" s="494">
        <f t="shared" si="15"/>
        <v>163.19999999999999</v>
      </c>
      <c r="J130" s="200">
        <v>4</v>
      </c>
      <c r="K130" s="9">
        <v>1.19</v>
      </c>
    </row>
    <row r="131" spans="2:19" ht="30" customHeight="1">
      <c r="B131" s="326" t="s">
        <v>766</v>
      </c>
      <c r="C131" s="312">
        <v>55</v>
      </c>
      <c r="D131" s="610" t="s">
        <v>399</v>
      </c>
      <c r="E131" s="611"/>
      <c r="F131" s="162" t="s">
        <v>7</v>
      </c>
      <c r="G131" s="194">
        <f>G130*2</f>
        <v>240</v>
      </c>
      <c r="H131" s="494">
        <f>K131*(1+'BDI''s'!$C$81/100)</f>
        <v>10.63</v>
      </c>
      <c r="I131" s="494">
        <f t="shared" si="15"/>
        <v>2551.1999999999998</v>
      </c>
      <c r="J131" s="200">
        <v>4</v>
      </c>
      <c r="K131" s="9">
        <v>9.32</v>
      </c>
    </row>
    <row r="132" spans="2:19" ht="30" customHeight="1">
      <c r="B132" s="326" t="s">
        <v>767</v>
      </c>
      <c r="C132" s="312">
        <v>4895</v>
      </c>
      <c r="D132" s="610" t="s">
        <v>398</v>
      </c>
      <c r="E132" s="611"/>
      <c r="F132" s="162" t="s">
        <v>7</v>
      </c>
      <c r="G132" s="194">
        <f>G130</f>
        <v>120</v>
      </c>
      <c r="H132" s="494">
        <f>K132*(1+'BDI''s'!$C$81/100)</f>
        <v>0.51</v>
      </c>
      <c r="I132" s="494">
        <f t="shared" si="15"/>
        <v>61.2</v>
      </c>
      <c r="J132" s="200">
        <v>4</v>
      </c>
      <c r="K132" s="9">
        <v>0.45</v>
      </c>
    </row>
    <row r="133" spans="2:19" ht="30" customHeight="1">
      <c r="B133" s="326" t="s">
        <v>768</v>
      </c>
      <c r="C133" s="312">
        <v>7098</v>
      </c>
      <c r="D133" s="610" t="s">
        <v>397</v>
      </c>
      <c r="E133" s="611"/>
      <c r="F133" s="162" t="s">
        <v>7</v>
      </c>
      <c r="G133" s="327">
        <f>G132</f>
        <v>120</v>
      </c>
      <c r="H133" s="494">
        <f>K133*(1+'BDI''s'!$C$81/100)</f>
        <v>2.0099999999999998</v>
      </c>
      <c r="I133" s="494">
        <f t="shared" si="15"/>
        <v>241.2</v>
      </c>
      <c r="J133" s="200">
        <v>4</v>
      </c>
      <c r="K133" s="9">
        <v>1.76</v>
      </c>
    </row>
    <row r="134" spans="2:19" ht="30" customHeight="1">
      <c r="B134" s="326" t="s">
        <v>769</v>
      </c>
      <c r="C134" s="312">
        <v>11822</v>
      </c>
      <c r="D134" s="610" t="s">
        <v>361</v>
      </c>
      <c r="E134" s="611"/>
      <c r="F134" s="162" t="s">
        <v>7</v>
      </c>
      <c r="G134" s="194">
        <f>G133</f>
        <v>120</v>
      </c>
      <c r="H134" s="494">
        <f>K134*(1+'BDI''s'!$C$81/100)</f>
        <v>9.01</v>
      </c>
      <c r="I134" s="494">
        <f t="shared" si="15"/>
        <v>1081.2</v>
      </c>
      <c r="J134" s="200">
        <v>4</v>
      </c>
      <c r="K134" s="9">
        <v>7.9</v>
      </c>
    </row>
    <row r="135" spans="2:19" ht="30" customHeight="1">
      <c r="B135" s="326" t="s">
        <v>770</v>
      </c>
      <c r="C135" s="312">
        <v>3146</v>
      </c>
      <c r="D135" s="610" t="s">
        <v>396</v>
      </c>
      <c r="E135" s="611"/>
      <c r="F135" s="162" t="s">
        <v>7</v>
      </c>
      <c r="G135" s="194">
        <v>10</v>
      </c>
      <c r="H135" s="494">
        <f>K135*(1+'BDI''s'!$C$81/100)</f>
        <v>2.63</v>
      </c>
      <c r="I135" s="494">
        <f t="shared" si="15"/>
        <v>26.3</v>
      </c>
      <c r="J135" s="200">
        <v>4</v>
      </c>
      <c r="K135" s="9">
        <v>2.31</v>
      </c>
    </row>
    <row r="136" spans="2:19" ht="30" customHeight="1">
      <c r="B136" s="326" t="s">
        <v>818</v>
      </c>
      <c r="C136" s="312">
        <v>11882</v>
      </c>
      <c r="D136" s="610" t="s">
        <v>395</v>
      </c>
      <c r="E136" s="611"/>
      <c r="F136" s="162" t="s">
        <v>7</v>
      </c>
      <c r="G136" s="194">
        <f>G134</f>
        <v>120</v>
      </c>
      <c r="H136" s="494">
        <f>K136*(1+'BDI''s'!$C$81/100)</f>
        <v>54.07</v>
      </c>
      <c r="I136" s="494">
        <f t="shared" si="15"/>
        <v>6488.4</v>
      </c>
      <c r="J136" s="200">
        <v>3</v>
      </c>
      <c r="K136" s="9">
        <v>47.42</v>
      </c>
    </row>
    <row r="137" spans="2:19" s="158" customFormat="1" ht="30" customHeight="1">
      <c r="B137" s="617" t="s">
        <v>414</v>
      </c>
      <c r="C137" s="617"/>
      <c r="D137" s="617"/>
      <c r="E137" s="617"/>
      <c r="F137" s="617"/>
      <c r="G137" s="617"/>
      <c r="H137" s="617"/>
      <c r="I137" s="493">
        <f>I11+I17+I39+I69+I90</f>
        <v>218751.96</v>
      </c>
      <c r="J137" s="200"/>
    </row>
    <row r="138" spans="2:19">
      <c r="L138" s="612" t="s">
        <v>465</v>
      </c>
      <c r="M138" s="612"/>
      <c r="N138" s="612"/>
      <c r="O138" s="612"/>
      <c r="P138" s="612"/>
      <c r="Q138" s="612"/>
      <c r="R138" s="612"/>
      <c r="S138" s="612"/>
    </row>
    <row r="139" spans="2:19">
      <c r="L139" s="205" t="s">
        <v>466</v>
      </c>
      <c r="M139" s="205" t="s">
        <v>467</v>
      </c>
      <c r="N139" s="205" t="s">
        <v>468</v>
      </c>
      <c r="O139" s="205" t="s">
        <v>469</v>
      </c>
      <c r="P139" s="205" t="s">
        <v>470</v>
      </c>
      <c r="Q139" s="205" t="s">
        <v>471</v>
      </c>
      <c r="R139" s="205" t="s">
        <v>472</v>
      </c>
      <c r="S139" s="205" t="s">
        <v>447</v>
      </c>
    </row>
    <row r="140" spans="2:19">
      <c r="F140" s="11"/>
      <c r="G140" s="12"/>
      <c r="L140" s="206">
        <f>SUMIF($J$12:$J$136,1,$I$12:$I$136)</f>
        <v>40105.71</v>
      </c>
      <c r="M140" s="206">
        <f>SUMIF($J$12:$J$136,2,$I$12:$I$136)</f>
        <v>45331.78</v>
      </c>
      <c r="N140" s="206">
        <f>SUMIF($J$12:$J$136,3,$I$12:$I$136)</f>
        <v>9221.85</v>
      </c>
      <c r="O140" s="206">
        <f>SUMIF($J$12:$J$136,4,$I$12:$I$136)</f>
        <v>52948.59</v>
      </c>
      <c r="P140" s="206">
        <f>SUMIF($J$12:$J$136,5,$I$12:$I$136)</f>
        <v>2473.37</v>
      </c>
      <c r="Q140" s="206">
        <f>SUMIF($J$12:$J$136,6,$I$12:$I$136)</f>
        <v>68670.66</v>
      </c>
      <c r="R140" s="206">
        <f>SUMIF($J$12:$J$136,7,$I$12:$I$136)</f>
        <v>0</v>
      </c>
      <c r="S140" s="206">
        <f>SUM(L140:R140)</f>
        <v>218751.96</v>
      </c>
    </row>
    <row r="141" spans="2:19">
      <c r="L141" s="207"/>
      <c r="M141" s="207"/>
      <c r="N141" s="207"/>
      <c r="O141" s="208"/>
      <c r="P141" s="207"/>
      <c r="Q141" s="207"/>
      <c r="R141" s="209"/>
      <c r="S141" s="206"/>
    </row>
    <row r="142" spans="2:19">
      <c r="L142" s="210">
        <f t="shared" ref="L142:S142" si="17">L140/$I$137</f>
        <v>0.183</v>
      </c>
      <c r="M142" s="210">
        <f t="shared" si="17"/>
        <v>0.20699999999999999</v>
      </c>
      <c r="N142" s="210">
        <f t="shared" si="17"/>
        <v>4.2000000000000003E-2</v>
      </c>
      <c r="O142" s="210">
        <f t="shared" si="17"/>
        <v>0.24199999999999999</v>
      </c>
      <c r="P142" s="210">
        <f t="shared" si="17"/>
        <v>1.0999999999999999E-2</v>
      </c>
      <c r="Q142" s="210">
        <f t="shared" si="17"/>
        <v>0.314</v>
      </c>
      <c r="R142" s="210">
        <f t="shared" si="17"/>
        <v>0</v>
      </c>
      <c r="S142" s="210">
        <f t="shared" si="17"/>
        <v>1</v>
      </c>
    </row>
    <row r="144" spans="2:19">
      <c r="S144" s="317">
        <f>SUM(L142:R142)</f>
        <v>0.999</v>
      </c>
    </row>
    <row r="159" spans="2:10">
      <c r="B159" s="9"/>
      <c r="C159" s="9"/>
      <c r="D159" s="9"/>
      <c r="E159" s="9"/>
      <c r="F159" s="10"/>
      <c r="G159" s="12"/>
      <c r="H159" s="11"/>
      <c r="I159" s="9"/>
      <c r="J159" s="9"/>
    </row>
    <row r="160" spans="2:10">
      <c r="B160" s="9"/>
      <c r="C160" s="9"/>
      <c r="D160" s="9"/>
      <c r="E160" s="9"/>
      <c r="F160" s="11"/>
      <c r="G160" s="12"/>
      <c r="H160" s="12"/>
      <c r="I160" s="9"/>
      <c r="J160" s="9"/>
    </row>
    <row r="161" spans="2:10">
      <c r="B161" s="9"/>
      <c r="C161" s="9"/>
      <c r="D161" s="9"/>
      <c r="E161" s="9"/>
      <c r="F161" s="11"/>
      <c r="G161" s="12"/>
      <c r="H161" s="12"/>
      <c r="I161" s="9"/>
      <c r="J161" s="9"/>
    </row>
    <row r="162" spans="2:10">
      <c r="B162" s="9"/>
      <c r="C162" s="9"/>
      <c r="D162" s="9"/>
      <c r="E162" s="9"/>
      <c r="F162" s="16"/>
      <c r="G162" s="12"/>
      <c r="H162" s="12"/>
      <c r="I162" s="9"/>
      <c r="J162" s="9"/>
    </row>
    <row r="163" spans="2:10">
      <c r="B163" s="9"/>
      <c r="C163" s="9"/>
      <c r="D163" s="9"/>
      <c r="E163" s="9"/>
      <c r="F163" s="15"/>
      <c r="G163" s="12"/>
      <c r="H163" s="12"/>
      <c r="I163" s="9"/>
      <c r="J163" s="9"/>
    </row>
  </sheetData>
  <sheetProtection selectLockedCells="1" selectUnlockedCells="1"/>
  <mergeCells count="143">
    <mergeCell ref="C34:H34"/>
    <mergeCell ref="D35:E35"/>
    <mergeCell ref="D36:E36"/>
    <mergeCell ref="D37:E37"/>
    <mergeCell ref="D38:E38"/>
    <mergeCell ref="D61:E61"/>
    <mergeCell ref="C54:H54"/>
    <mergeCell ref="C59:E59"/>
    <mergeCell ref="D129:E129"/>
    <mergeCell ref="D113:E113"/>
    <mergeCell ref="D123:E123"/>
    <mergeCell ref="D120:E120"/>
    <mergeCell ref="D122:E122"/>
    <mergeCell ref="C64:E64"/>
    <mergeCell ref="C58:H58"/>
    <mergeCell ref="D47:E47"/>
    <mergeCell ref="D50:E50"/>
    <mergeCell ref="C51:H51"/>
    <mergeCell ref="D52:E52"/>
    <mergeCell ref="D57:E57"/>
    <mergeCell ref="C62:E62"/>
    <mergeCell ref="D63:E63"/>
    <mergeCell ref="D60:E60"/>
    <mergeCell ref="D55:E55"/>
    <mergeCell ref="D56:E56"/>
    <mergeCell ref="D48:E48"/>
    <mergeCell ref="D53:E53"/>
    <mergeCell ref="D46:E46"/>
    <mergeCell ref="F9:F10"/>
    <mergeCell ref="G9:G10"/>
    <mergeCell ref="C40:H40"/>
    <mergeCell ref="D41:E41"/>
    <mergeCell ref="C39:F39"/>
    <mergeCell ref="G39:H39"/>
    <mergeCell ref="C42:H42"/>
    <mergeCell ref="D43:E43"/>
    <mergeCell ref="C9:C10"/>
    <mergeCell ref="D9:E10"/>
    <mergeCell ref="D45:E45"/>
    <mergeCell ref="D44:E44"/>
    <mergeCell ref="D25:E25"/>
    <mergeCell ref="D26:E26"/>
    <mergeCell ref="D27:E27"/>
    <mergeCell ref="D28:E28"/>
    <mergeCell ref="D29:E29"/>
    <mergeCell ref="D30:E30"/>
    <mergeCell ref="D32:E32"/>
    <mergeCell ref="D33:E33"/>
    <mergeCell ref="D31:E31"/>
    <mergeCell ref="B1:I5"/>
    <mergeCell ref="B6:I6"/>
    <mergeCell ref="D15:E15"/>
    <mergeCell ref="C11:F11"/>
    <mergeCell ref="D16:E16"/>
    <mergeCell ref="D12:E12"/>
    <mergeCell ref="D13:E13"/>
    <mergeCell ref="G11:H11"/>
    <mergeCell ref="D14:E14"/>
    <mergeCell ref="B9:B10"/>
    <mergeCell ref="H9:I9"/>
    <mergeCell ref="B7:G7"/>
    <mergeCell ref="H7:I7"/>
    <mergeCell ref="B8:G8"/>
    <mergeCell ref="H8:I8"/>
    <mergeCell ref="C18:H18"/>
    <mergeCell ref="C17:F17"/>
    <mergeCell ref="G17:H17"/>
    <mergeCell ref="D19:E19"/>
    <mergeCell ref="D20:E20"/>
    <mergeCell ref="D21:E21"/>
    <mergeCell ref="D22:E22"/>
    <mergeCell ref="D23:E23"/>
    <mergeCell ref="C102:H102"/>
    <mergeCell ref="D95:E95"/>
    <mergeCell ref="D96:E96"/>
    <mergeCell ref="D97:E97"/>
    <mergeCell ref="D98:E98"/>
    <mergeCell ref="C99:H99"/>
    <mergeCell ref="D106:E106"/>
    <mergeCell ref="C90:F90"/>
    <mergeCell ref="C93:H93"/>
    <mergeCell ref="D104:E104"/>
    <mergeCell ref="C70:H70"/>
    <mergeCell ref="C74:H74"/>
    <mergeCell ref="C77:H77"/>
    <mergeCell ref="D71:E71"/>
    <mergeCell ref="D75:E75"/>
    <mergeCell ref="D76:E76"/>
    <mergeCell ref="D72:E72"/>
    <mergeCell ref="D73:E73"/>
    <mergeCell ref="C91:H91"/>
    <mergeCell ref="G90:H90"/>
    <mergeCell ref="D85:E85"/>
    <mergeCell ref="D86:E86"/>
    <mergeCell ref="D83:E83"/>
    <mergeCell ref="D128:E128"/>
    <mergeCell ref="D108:E108"/>
    <mergeCell ref="C84:H84"/>
    <mergeCell ref="D82:E82"/>
    <mergeCell ref="D65:E65"/>
    <mergeCell ref="D66:E66"/>
    <mergeCell ref="D67:E67"/>
    <mergeCell ref="D68:E68"/>
    <mergeCell ref="D78:E78"/>
    <mergeCell ref="D79:E79"/>
    <mergeCell ref="D81:E81"/>
    <mergeCell ref="C80:H80"/>
    <mergeCell ref="D89:E89"/>
    <mergeCell ref="C107:H107"/>
    <mergeCell ref="D103:E103"/>
    <mergeCell ref="D105:E105"/>
    <mergeCell ref="D100:E100"/>
    <mergeCell ref="D101:E101"/>
    <mergeCell ref="D92:E92"/>
    <mergeCell ref="D94:E94"/>
    <mergeCell ref="D87:E87"/>
    <mergeCell ref="D88:E88"/>
    <mergeCell ref="C69:F69"/>
    <mergeCell ref="G69:H69"/>
    <mergeCell ref="D24:E24"/>
    <mergeCell ref="L138:S138"/>
    <mergeCell ref="D131:E131"/>
    <mergeCell ref="D132:E132"/>
    <mergeCell ref="D133:E133"/>
    <mergeCell ref="D134:E134"/>
    <mergeCell ref="D130:E130"/>
    <mergeCell ref="C125:H125"/>
    <mergeCell ref="D126:E126"/>
    <mergeCell ref="D109:E109"/>
    <mergeCell ref="D112:E112"/>
    <mergeCell ref="C110:H110"/>
    <mergeCell ref="D115:E115"/>
    <mergeCell ref="D116:E116"/>
    <mergeCell ref="C111:H111"/>
    <mergeCell ref="D114:E114"/>
    <mergeCell ref="D118:E118"/>
    <mergeCell ref="B137:H137"/>
    <mergeCell ref="D136:E136"/>
    <mergeCell ref="D119:E119"/>
    <mergeCell ref="D121:E121"/>
    <mergeCell ref="D124:E124"/>
    <mergeCell ref="D135:E135"/>
    <mergeCell ref="D127:E127"/>
  </mergeCells>
  <phoneticPr fontId="9" type="noConversion"/>
  <printOptions horizontalCentered="1"/>
  <pageMargins left="0.39370078740157483" right="0" top="0.78740157480314965" bottom="0.39370078740157483" header="0" footer="0"/>
  <pageSetup paperSize="9" scale="55" firstPageNumber="0" fitToHeight="4" orientation="portrait" r:id="rId1"/>
  <headerFooter alignWithMargins="0">
    <oddFooter>&amp;CPágina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rgb="FFFFFF00"/>
  </sheetPr>
  <dimension ref="B1:P183"/>
  <sheetViews>
    <sheetView view="pageBreakPreview" zoomScale="80" zoomScaleNormal="100" zoomScaleSheetLayoutView="80" zoomScalePageLayoutView="55" workbookViewId="0"/>
  </sheetViews>
  <sheetFormatPr defaultRowHeight="15"/>
  <cols>
    <col min="1" max="1" width="1.5703125" style="59" customWidth="1"/>
    <col min="2" max="2" width="11.28515625" style="59" bestFit="1" customWidth="1"/>
    <col min="3" max="3" width="13.42578125" style="59" bestFit="1" customWidth="1"/>
    <col min="4" max="4" width="46.42578125" style="59" customWidth="1"/>
    <col min="5" max="5" width="10.7109375" style="59" bestFit="1" customWidth="1"/>
    <col min="6" max="6" width="10.5703125" style="59" customWidth="1"/>
    <col min="7" max="7" width="7.5703125" style="59" customWidth="1"/>
    <col min="8" max="8" width="9.28515625" style="59" bestFit="1" customWidth="1"/>
    <col min="9" max="9" width="13.140625" style="59" bestFit="1" customWidth="1"/>
    <col min="10" max="10" width="12.5703125" style="59" bestFit="1" customWidth="1"/>
    <col min="11" max="11" width="10.7109375" style="105" customWidth="1"/>
    <col min="12" max="12" width="1.28515625" style="106" hidden="1" customWidth="1"/>
    <col min="13" max="13" width="1.28515625" style="106" customWidth="1"/>
    <col min="14" max="14" width="11.42578125" style="59" customWidth="1"/>
    <col min="15" max="15" width="9.140625" style="59" customWidth="1"/>
    <col min="16" max="16" width="7.42578125" style="59" bestFit="1" customWidth="1"/>
    <col min="17" max="16384" width="9.140625" style="59"/>
  </cols>
  <sheetData>
    <row r="1" spans="2:14" ht="9.9499999999999993" customHeight="1">
      <c r="D1" s="170"/>
      <c r="E1" s="170"/>
      <c r="F1" s="170"/>
      <c r="G1" s="170"/>
      <c r="H1" s="170"/>
      <c r="I1" s="170"/>
      <c r="J1" s="170"/>
      <c r="K1" s="171"/>
      <c r="N1" s="114"/>
    </row>
    <row r="2" spans="2:14" s="123" customFormat="1" ht="30" customHeight="1">
      <c r="B2" s="656" t="s">
        <v>196</v>
      </c>
      <c r="C2" s="656"/>
      <c r="D2" s="656"/>
      <c r="E2" s="165" t="str">
        <f>'Planilha Orçamentária'!B13</f>
        <v>1.2</v>
      </c>
      <c r="F2" s="657" t="s">
        <v>197</v>
      </c>
      <c r="G2" s="657"/>
      <c r="H2" s="657"/>
      <c r="I2" s="657"/>
      <c r="J2" s="657"/>
      <c r="K2" s="657"/>
      <c r="L2" s="132" t="s">
        <v>266</v>
      </c>
      <c r="M2" s="135"/>
      <c r="N2" s="132"/>
    </row>
    <row r="3" spans="2:14" s="131" customFormat="1" ht="49.5" customHeight="1">
      <c r="B3" s="662" t="s">
        <v>837</v>
      </c>
      <c r="C3" s="663"/>
      <c r="D3" s="663"/>
      <c r="E3" s="663"/>
      <c r="F3" s="663"/>
      <c r="G3" s="663"/>
      <c r="H3" s="663"/>
      <c r="I3" s="664"/>
      <c r="J3" s="653" t="s">
        <v>819</v>
      </c>
      <c r="K3" s="653"/>
      <c r="L3" s="130"/>
      <c r="M3" s="130"/>
    </row>
    <row r="4" spans="2:14" ht="30" customHeight="1">
      <c r="B4" s="654" t="s">
        <v>350</v>
      </c>
      <c r="C4" s="654"/>
      <c r="D4" s="665" t="s">
        <v>352</v>
      </c>
      <c r="E4" s="665"/>
      <c r="F4" s="665"/>
      <c r="G4" s="665"/>
      <c r="H4" s="665"/>
      <c r="I4" s="665"/>
      <c r="J4" s="125" t="s">
        <v>198</v>
      </c>
      <c r="K4" s="121" t="s">
        <v>7</v>
      </c>
    </row>
    <row r="5" spans="2:14" ht="30" customHeight="1">
      <c r="B5" s="166" t="s">
        <v>341</v>
      </c>
      <c r="C5" s="166" t="s">
        <v>237</v>
      </c>
      <c r="D5" s="167" t="s">
        <v>342</v>
      </c>
      <c r="E5" s="139"/>
      <c r="F5" s="134"/>
      <c r="G5" s="147"/>
      <c r="H5" s="658"/>
      <c r="I5" s="658"/>
      <c r="J5" s="658"/>
      <c r="K5" s="658"/>
      <c r="L5" s="59"/>
      <c r="M5" s="59"/>
    </row>
    <row r="6" spans="2:14" ht="30" customHeight="1">
      <c r="B6" s="126"/>
      <c r="C6" s="126"/>
      <c r="D6" s="659" t="s">
        <v>199</v>
      </c>
      <c r="E6" s="659"/>
      <c r="F6" s="659"/>
      <c r="G6" s="659"/>
      <c r="H6" s="659"/>
      <c r="I6" s="659"/>
      <c r="J6" s="659"/>
      <c r="K6" s="659"/>
      <c r="L6" s="59"/>
      <c r="M6" s="59"/>
    </row>
    <row r="7" spans="2:14" ht="30" customHeight="1">
      <c r="B7" s="126"/>
      <c r="C7" s="126"/>
      <c r="D7" s="148" t="s">
        <v>200</v>
      </c>
      <c r="E7" s="119" t="s">
        <v>7</v>
      </c>
      <c r="F7" s="148" t="s">
        <v>3</v>
      </c>
      <c r="G7" s="148" t="s">
        <v>201</v>
      </c>
      <c r="H7" s="148" t="s">
        <v>202</v>
      </c>
      <c r="I7" s="148" t="s">
        <v>203</v>
      </c>
      <c r="J7" s="148" t="s">
        <v>204</v>
      </c>
      <c r="K7" s="148" t="s">
        <v>205</v>
      </c>
      <c r="L7" s="59"/>
      <c r="M7" s="59"/>
    </row>
    <row r="8" spans="2:14" ht="45">
      <c r="B8" s="134" t="s">
        <v>238</v>
      </c>
      <c r="C8" s="168">
        <v>1133</v>
      </c>
      <c r="D8" s="147" t="s">
        <v>354</v>
      </c>
      <c r="E8" s="119" t="s">
        <v>322</v>
      </c>
      <c r="F8" s="148">
        <v>2</v>
      </c>
      <c r="G8" s="148"/>
      <c r="H8" s="148"/>
      <c r="I8" s="496">
        <v>60.53</v>
      </c>
      <c r="J8" s="496"/>
      <c r="K8" s="117">
        <f>I8*F8</f>
        <v>121.06</v>
      </c>
      <c r="L8" s="59"/>
      <c r="M8" s="59"/>
    </row>
    <row r="9" spans="2:14" ht="30">
      <c r="B9" s="134" t="s">
        <v>238</v>
      </c>
      <c r="C9" s="168">
        <v>1286</v>
      </c>
      <c r="D9" s="314" t="s">
        <v>520</v>
      </c>
      <c r="E9" s="119" t="s">
        <v>322</v>
      </c>
      <c r="F9" s="313">
        <v>2</v>
      </c>
      <c r="G9" s="313"/>
      <c r="H9" s="313"/>
      <c r="I9" s="496">
        <v>160.94999999999999</v>
      </c>
      <c r="J9" s="496"/>
      <c r="K9" s="117">
        <f>I9*F9</f>
        <v>321.89999999999998</v>
      </c>
      <c r="L9" s="59"/>
      <c r="M9" s="59"/>
    </row>
    <row r="10" spans="2:14" ht="60">
      <c r="B10" s="134" t="s">
        <v>523</v>
      </c>
      <c r="C10" s="168" t="s">
        <v>522</v>
      </c>
      <c r="D10" s="147" t="s">
        <v>521</v>
      </c>
      <c r="E10" s="119" t="s">
        <v>322</v>
      </c>
      <c r="F10" s="148">
        <v>2</v>
      </c>
      <c r="G10" s="127"/>
      <c r="H10" s="148"/>
      <c r="I10" s="496"/>
      <c r="J10" s="496">
        <v>15.27</v>
      </c>
      <c r="K10" s="117">
        <f>J10*F10</f>
        <v>30.54</v>
      </c>
      <c r="L10" s="59"/>
      <c r="M10" s="59"/>
    </row>
    <row r="11" spans="2:14" ht="30">
      <c r="B11" s="134" t="s">
        <v>8</v>
      </c>
      <c r="C11" s="168"/>
      <c r="D11" s="133" t="s">
        <v>355</v>
      </c>
      <c r="E11" s="115" t="s">
        <v>353</v>
      </c>
      <c r="F11" s="122">
        <v>60</v>
      </c>
      <c r="G11" s="146"/>
      <c r="H11" s="146"/>
      <c r="I11" s="117">
        <f>'VEICULO POPULAR'!D50</f>
        <v>0.69</v>
      </c>
      <c r="J11" s="117"/>
      <c r="K11" s="117">
        <f>I11*F11</f>
        <v>41.4</v>
      </c>
      <c r="L11" s="59"/>
      <c r="M11" s="59"/>
    </row>
    <row r="12" spans="2:14" ht="30" customHeight="1">
      <c r="B12" s="126"/>
      <c r="C12" s="126"/>
      <c r="D12" s="655" t="s">
        <v>206</v>
      </c>
      <c r="E12" s="655"/>
      <c r="F12" s="655"/>
      <c r="G12" s="655"/>
      <c r="H12" s="655"/>
      <c r="I12" s="655"/>
      <c r="J12" s="655"/>
      <c r="K12" s="117">
        <f>SUM(K8:K11)</f>
        <v>514.9</v>
      </c>
      <c r="L12" s="59"/>
      <c r="M12" s="59"/>
    </row>
    <row r="13" spans="2:14" ht="30" customHeight="1">
      <c r="B13" s="126"/>
      <c r="C13" s="126"/>
      <c r="D13" s="659" t="s">
        <v>207</v>
      </c>
      <c r="E13" s="659"/>
      <c r="F13" s="659"/>
      <c r="G13" s="659"/>
      <c r="H13" s="659"/>
      <c r="I13" s="659"/>
      <c r="J13" s="659"/>
      <c r="K13" s="659"/>
      <c r="L13" s="59"/>
      <c r="M13" s="59"/>
    </row>
    <row r="14" spans="2:14" ht="30" customHeight="1">
      <c r="B14" s="126"/>
      <c r="C14" s="126"/>
      <c r="D14" s="120" t="s">
        <v>200</v>
      </c>
      <c r="E14" s="121" t="s">
        <v>7</v>
      </c>
      <c r="F14" s="120" t="s">
        <v>3</v>
      </c>
      <c r="G14" s="146"/>
      <c r="H14" s="146"/>
      <c r="I14" s="146"/>
      <c r="J14" s="120" t="s">
        <v>208</v>
      </c>
      <c r="K14" s="120" t="s">
        <v>205</v>
      </c>
      <c r="L14" s="59"/>
      <c r="M14" s="59"/>
    </row>
    <row r="15" spans="2:14" ht="30" customHeight="1">
      <c r="B15" s="134"/>
      <c r="C15" s="168"/>
      <c r="D15" s="309"/>
      <c r="E15" s="115"/>
      <c r="F15" s="122"/>
      <c r="G15" s="146"/>
      <c r="H15" s="146"/>
      <c r="I15" s="146"/>
      <c r="J15" s="120"/>
      <c r="K15" s="117">
        <f>J15*F15</f>
        <v>0</v>
      </c>
      <c r="L15" s="59"/>
      <c r="M15" s="59"/>
    </row>
    <row r="16" spans="2:14" ht="30" customHeight="1">
      <c r="B16" s="126"/>
      <c r="C16" s="126"/>
      <c r="D16" s="655" t="s">
        <v>206</v>
      </c>
      <c r="E16" s="655"/>
      <c r="F16" s="655"/>
      <c r="G16" s="655"/>
      <c r="H16" s="655"/>
      <c r="I16" s="655"/>
      <c r="J16" s="655"/>
      <c r="K16" s="117">
        <f>SUM(K15:K15)</f>
        <v>0</v>
      </c>
      <c r="L16" s="59"/>
      <c r="M16" s="59"/>
    </row>
    <row r="17" spans="2:15" ht="30" customHeight="1">
      <c r="B17" s="126"/>
      <c r="C17" s="126"/>
      <c r="D17" s="659" t="s">
        <v>209</v>
      </c>
      <c r="E17" s="659"/>
      <c r="F17" s="659"/>
      <c r="G17" s="659"/>
      <c r="H17" s="659"/>
      <c r="I17" s="659"/>
      <c r="J17" s="659"/>
      <c r="K17" s="659"/>
      <c r="L17" s="59"/>
      <c r="M17" s="59"/>
    </row>
    <row r="18" spans="2:15" ht="30" customHeight="1">
      <c r="B18" s="126"/>
      <c r="C18" s="126"/>
      <c r="D18" s="120" t="s">
        <v>200</v>
      </c>
      <c r="E18" s="121" t="s">
        <v>7</v>
      </c>
      <c r="F18" s="120" t="s">
        <v>3</v>
      </c>
      <c r="G18" s="146"/>
      <c r="H18" s="146"/>
      <c r="I18" s="146"/>
      <c r="J18" s="120" t="s">
        <v>208</v>
      </c>
      <c r="K18" s="120" t="s">
        <v>205</v>
      </c>
      <c r="L18" s="59"/>
      <c r="M18" s="59"/>
    </row>
    <row r="19" spans="2:15" ht="30" customHeight="1">
      <c r="B19" s="126"/>
      <c r="C19" s="126"/>
      <c r="D19" s="169"/>
      <c r="E19" s="128"/>
      <c r="F19" s="120"/>
      <c r="G19" s="146"/>
      <c r="H19" s="146"/>
      <c r="I19" s="146"/>
      <c r="J19" s="120"/>
      <c r="K19" s="117">
        <f>J19*F19</f>
        <v>0</v>
      </c>
      <c r="L19" s="59"/>
      <c r="M19" s="59"/>
    </row>
    <row r="20" spans="2:15" ht="30" customHeight="1">
      <c r="B20" s="126"/>
      <c r="C20" s="126"/>
      <c r="D20" s="655" t="s">
        <v>206</v>
      </c>
      <c r="E20" s="655"/>
      <c r="F20" s="655"/>
      <c r="G20" s="655"/>
      <c r="H20" s="655"/>
      <c r="I20" s="655"/>
      <c r="J20" s="655"/>
      <c r="K20" s="117">
        <f>K19</f>
        <v>0</v>
      </c>
      <c r="L20" s="59"/>
      <c r="M20" s="59"/>
    </row>
    <row r="21" spans="2:15" ht="30" customHeight="1">
      <c r="B21" s="126"/>
      <c r="C21" s="126"/>
      <c r="D21" s="659" t="s">
        <v>239</v>
      </c>
      <c r="E21" s="659"/>
      <c r="F21" s="659"/>
      <c r="G21" s="659"/>
      <c r="H21" s="659"/>
      <c r="I21" s="659"/>
      <c r="J21" s="659"/>
      <c r="K21" s="659"/>
      <c r="L21" s="59"/>
      <c r="M21" s="59"/>
    </row>
    <row r="22" spans="2:15" ht="30" customHeight="1">
      <c r="B22" s="126"/>
      <c r="C22" s="126"/>
      <c r="D22" s="120" t="s">
        <v>200</v>
      </c>
      <c r="E22" s="121" t="s">
        <v>7</v>
      </c>
      <c r="F22" s="120" t="s">
        <v>3</v>
      </c>
      <c r="G22" s="146"/>
      <c r="H22" s="146"/>
      <c r="I22" s="146"/>
      <c r="J22" s="120" t="s">
        <v>208</v>
      </c>
      <c r="K22" s="120" t="s">
        <v>205</v>
      </c>
    </row>
    <row r="23" spans="2:15" ht="30" customHeight="1">
      <c r="B23" s="134" t="s">
        <v>238</v>
      </c>
      <c r="C23" s="168">
        <v>6111</v>
      </c>
      <c r="D23" s="125" t="s">
        <v>346</v>
      </c>
      <c r="E23" s="121" t="s">
        <v>322</v>
      </c>
      <c r="F23" s="120">
        <v>5</v>
      </c>
      <c r="G23" s="146"/>
      <c r="H23" s="146"/>
      <c r="I23" s="146"/>
      <c r="J23" s="117">
        <v>7.18</v>
      </c>
      <c r="K23" s="117">
        <f>J23*F23</f>
        <v>35.9</v>
      </c>
      <c r="L23" s="59"/>
      <c r="M23" s="59"/>
    </row>
    <row r="24" spans="2:15" ht="30" customHeight="1">
      <c r="B24" s="126"/>
      <c r="C24" s="126"/>
      <c r="D24" s="655" t="s">
        <v>206</v>
      </c>
      <c r="E24" s="655"/>
      <c r="F24" s="655"/>
      <c r="G24" s="655"/>
      <c r="H24" s="655"/>
      <c r="I24" s="655"/>
      <c r="J24" s="655"/>
      <c r="K24" s="117">
        <f>SUM(K23:L23)</f>
        <v>35.9</v>
      </c>
      <c r="L24" s="59"/>
      <c r="M24" s="59"/>
    </row>
    <row r="25" spans="2:15" ht="30" customHeight="1">
      <c r="B25" s="126"/>
      <c r="C25" s="126"/>
      <c r="D25" s="146" t="s">
        <v>240</v>
      </c>
      <c r="E25" s="120">
        <v>1</v>
      </c>
      <c r="F25" s="655" t="s">
        <v>241</v>
      </c>
      <c r="G25" s="655"/>
      <c r="H25" s="655"/>
      <c r="I25" s="655"/>
      <c r="J25" s="655"/>
      <c r="K25" s="117">
        <f>K24+K20+K16+K12</f>
        <v>550.79999999999995</v>
      </c>
      <c r="O25" s="59">
        <v>215.35</v>
      </c>
    </row>
    <row r="26" spans="2:15" ht="30" customHeight="1">
      <c r="B26" s="126"/>
      <c r="C26" s="126"/>
      <c r="D26" s="655" t="s">
        <v>17</v>
      </c>
      <c r="E26" s="655"/>
      <c r="F26" s="655"/>
      <c r="G26" s="655"/>
      <c r="H26" s="655"/>
      <c r="I26" s="655"/>
      <c r="J26" s="655"/>
      <c r="K26" s="117">
        <f>K25/E25</f>
        <v>550.79999999999995</v>
      </c>
    </row>
    <row r="27" spans="2:15" ht="30" customHeight="1">
      <c r="B27" s="126"/>
      <c r="C27" s="126"/>
      <c r="D27" s="146" t="s">
        <v>242</v>
      </c>
      <c r="E27" s="113">
        <f>'BDI''s'!$C$33</f>
        <v>24.18</v>
      </c>
      <c r="F27" s="129" t="s">
        <v>214</v>
      </c>
      <c r="G27" s="129"/>
      <c r="H27" s="129"/>
      <c r="I27" s="129"/>
      <c r="J27" s="129"/>
      <c r="K27" s="117">
        <f>E27/100*K26</f>
        <v>133.18</v>
      </c>
    </row>
    <row r="28" spans="2:15" ht="30" customHeight="1">
      <c r="B28" s="126"/>
      <c r="C28" s="126"/>
      <c r="D28" s="661" t="s">
        <v>243</v>
      </c>
      <c r="E28" s="661"/>
      <c r="F28" s="661"/>
      <c r="G28" s="661"/>
      <c r="H28" s="661"/>
      <c r="I28" s="661"/>
      <c r="J28" s="661"/>
      <c r="K28" s="492">
        <f>K27+K26</f>
        <v>683.98</v>
      </c>
      <c r="N28" s="107"/>
    </row>
    <row r="29" spans="2:15" ht="9.9499999999999993" customHeight="1">
      <c r="D29" s="170"/>
      <c r="E29" s="170"/>
      <c r="F29" s="170"/>
      <c r="G29" s="170"/>
      <c r="H29" s="170"/>
      <c r="I29" s="170"/>
      <c r="J29" s="170"/>
      <c r="K29" s="171"/>
      <c r="N29" s="114"/>
    </row>
    <row r="30" spans="2:15" ht="9.9499999999999993" customHeight="1">
      <c r="D30" s="170"/>
      <c r="E30" s="170"/>
      <c r="F30" s="170"/>
      <c r="G30" s="170"/>
      <c r="H30" s="170"/>
      <c r="I30" s="170"/>
      <c r="J30" s="170"/>
      <c r="K30" s="171"/>
      <c r="N30" s="114"/>
    </row>
    <row r="31" spans="2:15" s="123" customFormat="1" ht="30" customHeight="1">
      <c r="B31" s="656" t="s">
        <v>196</v>
      </c>
      <c r="C31" s="656"/>
      <c r="D31" s="656"/>
      <c r="E31" s="165" t="str">
        <f>'Planilha Orçamentária'!B14</f>
        <v>1.3</v>
      </c>
      <c r="F31" s="657" t="s">
        <v>197</v>
      </c>
      <c r="G31" s="657"/>
      <c r="H31" s="657"/>
      <c r="I31" s="657"/>
      <c r="J31" s="657"/>
      <c r="K31" s="657"/>
      <c r="L31" s="135" t="s">
        <v>266</v>
      </c>
      <c r="M31" s="135"/>
      <c r="N31" s="135"/>
    </row>
    <row r="32" spans="2:15" s="131" customFormat="1" ht="52.5" customHeight="1">
      <c r="B32" s="660" t="str">
        <f>B3</f>
        <v>IMPLANTAÇÃO DO SISTEMA SIMPLIFICADO DE ABASTECIMENTO DE ÁGUA BRUTA DE MARAVILHA, MUNICÍPIO DE CUSTÓDIA, EM ÁREA DE ATUAÇÃO DA CODEVASF/3ªSR</v>
      </c>
      <c r="C32" s="660"/>
      <c r="D32" s="660"/>
      <c r="E32" s="660"/>
      <c r="F32" s="660"/>
      <c r="G32" s="660"/>
      <c r="H32" s="660"/>
      <c r="I32" s="660"/>
      <c r="J32" s="653" t="s">
        <v>819</v>
      </c>
      <c r="K32" s="653"/>
      <c r="L32" s="130"/>
      <c r="M32" s="130"/>
    </row>
    <row r="33" spans="2:14" ht="30" customHeight="1">
      <c r="B33" s="654" t="s">
        <v>350</v>
      </c>
      <c r="C33" s="654"/>
      <c r="D33" s="665" t="s">
        <v>356</v>
      </c>
      <c r="E33" s="665"/>
      <c r="F33" s="665"/>
      <c r="G33" s="665"/>
      <c r="H33" s="665"/>
      <c r="I33" s="665"/>
      <c r="J33" s="125" t="s">
        <v>198</v>
      </c>
      <c r="K33" s="121" t="s">
        <v>7</v>
      </c>
    </row>
    <row r="34" spans="2:14" ht="30" customHeight="1">
      <c r="B34" s="166" t="s">
        <v>341</v>
      </c>
      <c r="C34" s="166" t="s">
        <v>237</v>
      </c>
      <c r="D34" s="167" t="s">
        <v>342</v>
      </c>
      <c r="E34" s="139"/>
      <c r="F34" s="134"/>
      <c r="G34" s="147"/>
      <c r="H34" s="658"/>
      <c r="I34" s="658"/>
      <c r="J34" s="658"/>
      <c r="K34" s="658"/>
    </row>
    <row r="35" spans="2:14" ht="30" customHeight="1">
      <c r="B35" s="126"/>
      <c r="C35" s="126"/>
      <c r="D35" s="659" t="s">
        <v>199</v>
      </c>
      <c r="E35" s="659"/>
      <c r="F35" s="659"/>
      <c r="G35" s="659"/>
      <c r="H35" s="659"/>
      <c r="I35" s="659"/>
      <c r="J35" s="659"/>
      <c r="K35" s="659"/>
    </row>
    <row r="36" spans="2:14" ht="30" customHeight="1">
      <c r="B36" s="126"/>
      <c r="C36" s="126"/>
      <c r="D36" s="148" t="s">
        <v>200</v>
      </c>
      <c r="E36" s="119" t="s">
        <v>7</v>
      </c>
      <c r="F36" s="148" t="s">
        <v>3</v>
      </c>
      <c r="G36" s="148" t="s">
        <v>201</v>
      </c>
      <c r="H36" s="148" t="s">
        <v>202</v>
      </c>
      <c r="I36" s="148" t="s">
        <v>203</v>
      </c>
      <c r="J36" s="148" t="s">
        <v>204</v>
      </c>
      <c r="K36" s="148" t="s">
        <v>205</v>
      </c>
    </row>
    <row r="37" spans="2:14" ht="45">
      <c r="B37" s="134" t="s">
        <v>238</v>
      </c>
      <c r="C37" s="168">
        <v>1133</v>
      </c>
      <c r="D37" s="147" t="s">
        <v>354</v>
      </c>
      <c r="E37" s="119" t="s">
        <v>322</v>
      </c>
      <c r="F37" s="148">
        <v>2</v>
      </c>
      <c r="G37" s="148"/>
      <c r="H37" s="148"/>
      <c r="I37" s="496">
        <v>60.53</v>
      </c>
      <c r="J37" s="496"/>
      <c r="K37" s="117">
        <f>I37*F37</f>
        <v>121.06</v>
      </c>
      <c r="N37" s="309"/>
    </row>
    <row r="38" spans="2:14" ht="30">
      <c r="B38" s="134" t="s">
        <v>238</v>
      </c>
      <c r="C38" s="168">
        <v>1286</v>
      </c>
      <c r="D38" s="314" t="s">
        <v>520</v>
      </c>
      <c r="E38" s="119" t="s">
        <v>322</v>
      </c>
      <c r="F38" s="313">
        <v>2</v>
      </c>
      <c r="G38" s="313"/>
      <c r="H38" s="313"/>
      <c r="I38" s="496">
        <v>160.94999999999999</v>
      </c>
      <c r="J38" s="496"/>
      <c r="K38" s="117">
        <f>I38*F38</f>
        <v>321.89999999999998</v>
      </c>
      <c r="L38" s="59"/>
      <c r="M38" s="59"/>
    </row>
    <row r="39" spans="2:14" ht="60">
      <c r="B39" s="134" t="s">
        <v>523</v>
      </c>
      <c r="C39" s="168" t="s">
        <v>522</v>
      </c>
      <c r="D39" s="147" t="s">
        <v>521</v>
      </c>
      <c r="E39" s="119" t="s">
        <v>322</v>
      </c>
      <c r="F39" s="148">
        <v>2</v>
      </c>
      <c r="G39" s="127"/>
      <c r="H39" s="148"/>
      <c r="I39" s="496"/>
      <c r="J39" s="496">
        <v>15.27</v>
      </c>
      <c r="K39" s="117">
        <f>J39*F39</f>
        <v>30.54</v>
      </c>
    </row>
    <row r="40" spans="2:14" ht="30">
      <c r="B40" s="134" t="s">
        <v>8</v>
      </c>
      <c r="C40" s="168"/>
      <c r="D40" s="133" t="s">
        <v>355</v>
      </c>
      <c r="E40" s="115" t="s">
        <v>353</v>
      </c>
      <c r="F40" s="122">
        <v>60</v>
      </c>
      <c r="G40" s="146"/>
      <c r="H40" s="146"/>
      <c r="I40" s="117">
        <f>'VEICULO POPULAR'!D50</f>
        <v>0.69</v>
      </c>
      <c r="J40" s="124"/>
      <c r="K40" s="117">
        <f>I40*F40</f>
        <v>41.4</v>
      </c>
    </row>
    <row r="41" spans="2:14" ht="30" customHeight="1">
      <c r="B41" s="126"/>
      <c r="C41" s="126"/>
      <c r="D41" s="655" t="s">
        <v>206</v>
      </c>
      <c r="E41" s="655"/>
      <c r="F41" s="655"/>
      <c r="G41" s="655"/>
      <c r="H41" s="655"/>
      <c r="I41" s="655"/>
      <c r="J41" s="655"/>
      <c r="K41" s="117">
        <f>SUM(K37:L40)</f>
        <v>514.9</v>
      </c>
    </row>
    <row r="42" spans="2:14" ht="30" customHeight="1">
      <c r="B42" s="126"/>
      <c r="C42" s="126"/>
      <c r="D42" s="659" t="s">
        <v>207</v>
      </c>
      <c r="E42" s="659"/>
      <c r="F42" s="659"/>
      <c r="G42" s="659"/>
      <c r="H42" s="659"/>
      <c r="I42" s="659"/>
      <c r="J42" s="659"/>
      <c r="K42" s="659"/>
    </row>
    <row r="43" spans="2:14" ht="30" customHeight="1">
      <c r="B43" s="126"/>
      <c r="C43" s="126"/>
      <c r="D43" s="120" t="s">
        <v>200</v>
      </c>
      <c r="E43" s="121" t="s">
        <v>7</v>
      </c>
      <c r="F43" s="120" t="s">
        <v>3</v>
      </c>
      <c r="G43" s="146"/>
      <c r="H43" s="146"/>
      <c r="I43" s="146"/>
      <c r="J43" s="120" t="s">
        <v>208</v>
      </c>
      <c r="K43" s="120" t="s">
        <v>205</v>
      </c>
    </row>
    <row r="44" spans="2:14" ht="30" customHeight="1">
      <c r="B44" s="134"/>
      <c r="C44" s="168"/>
      <c r="D44" s="309"/>
      <c r="E44" s="115"/>
      <c r="F44" s="122"/>
      <c r="G44" s="146"/>
      <c r="H44" s="146"/>
      <c r="I44" s="146"/>
      <c r="J44" s="120"/>
      <c r="K44" s="117">
        <f>J44*F44</f>
        <v>0</v>
      </c>
    </row>
    <row r="45" spans="2:14" ht="30" customHeight="1">
      <c r="B45" s="126"/>
      <c r="C45" s="126"/>
      <c r="D45" s="655" t="s">
        <v>206</v>
      </c>
      <c r="E45" s="655"/>
      <c r="F45" s="655"/>
      <c r="G45" s="655"/>
      <c r="H45" s="655"/>
      <c r="I45" s="655"/>
      <c r="J45" s="655"/>
      <c r="K45" s="117">
        <f>SUM(K44:K44)</f>
        <v>0</v>
      </c>
    </row>
    <row r="46" spans="2:14" ht="30" customHeight="1">
      <c r="B46" s="126"/>
      <c r="C46" s="126"/>
      <c r="D46" s="659" t="s">
        <v>209</v>
      </c>
      <c r="E46" s="659"/>
      <c r="F46" s="659"/>
      <c r="G46" s="659"/>
      <c r="H46" s="659"/>
      <c r="I46" s="659"/>
      <c r="J46" s="659"/>
      <c r="K46" s="659"/>
    </row>
    <row r="47" spans="2:14" ht="30" customHeight="1">
      <c r="B47" s="126"/>
      <c r="C47" s="126"/>
      <c r="D47" s="120" t="s">
        <v>200</v>
      </c>
      <c r="E47" s="121" t="s">
        <v>7</v>
      </c>
      <c r="F47" s="120" t="s">
        <v>3</v>
      </c>
      <c r="G47" s="146"/>
      <c r="H47" s="146"/>
      <c r="I47" s="146"/>
      <c r="J47" s="120" t="s">
        <v>208</v>
      </c>
      <c r="K47" s="120" t="s">
        <v>205</v>
      </c>
    </row>
    <row r="48" spans="2:14" ht="30" customHeight="1">
      <c r="B48" s="126"/>
      <c r="C48" s="126"/>
      <c r="D48" s="169"/>
      <c r="E48" s="128"/>
      <c r="F48" s="120"/>
      <c r="G48" s="146"/>
      <c r="H48" s="146"/>
      <c r="I48" s="146"/>
      <c r="J48" s="120"/>
      <c r="K48" s="117">
        <f>J48*F48</f>
        <v>0</v>
      </c>
    </row>
    <row r="49" spans="2:14" ht="30" customHeight="1">
      <c r="B49" s="126"/>
      <c r="C49" s="126"/>
      <c r="D49" s="655" t="s">
        <v>206</v>
      </c>
      <c r="E49" s="655"/>
      <c r="F49" s="655"/>
      <c r="G49" s="655"/>
      <c r="H49" s="655"/>
      <c r="I49" s="655"/>
      <c r="J49" s="655"/>
      <c r="K49" s="117">
        <f>K48</f>
        <v>0</v>
      </c>
    </row>
    <row r="50" spans="2:14" ht="30" customHeight="1">
      <c r="B50" s="126"/>
      <c r="C50" s="126"/>
      <c r="D50" s="659" t="s">
        <v>239</v>
      </c>
      <c r="E50" s="659"/>
      <c r="F50" s="659"/>
      <c r="G50" s="659"/>
      <c r="H50" s="659"/>
      <c r="I50" s="659"/>
      <c r="J50" s="659"/>
      <c r="K50" s="659"/>
    </row>
    <row r="51" spans="2:14" ht="30" customHeight="1">
      <c r="B51" s="126"/>
      <c r="C51" s="126"/>
      <c r="D51" s="120" t="s">
        <v>200</v>
      </c>
      <c r="E51" s="121" t="s">
        <v>7</v>
      </c>
      <c r="F51" s="120" t="s">
        <v>3</v>
      </c>
      <c r="G51" s="146"/>
      <c r="H51" s="146"/>
      <c r="I51" s="146"/>
      <c r="J51" s="120" t="s">
        <v>208</v>
      </c>
      <c r="K51" s="120" t="s">
        <v>205</v>
      </c>
    </row>
    <row r="52" spans="2:14" ht="30" customHeight="1">
      <c r="B52" s="134" t="s">
        <v>238</v>
      </c>
      <c r="C52" s="168">
        <v>6111</v>
      </c>
      <c r="D52" s="125" t="s">
        <v>346</v>
      </c>
      <c r="E52" s="121" t="s">
        <v>322</v>
      </c>
      <c r="F52" s="120">
        <v>5</v>
      </c>
      <c r="G52" s="146"/>
      <c r="H52" s="146"/>
      <c r="I52" s="146"/>
      <c r="J52" s="117">
        <v>7.18</v>
      </c>
      <c r="K52" s="117">
        <f>J52*F52</f>
        <v>35.9</v>
      </c>
      <c r="L52" s="59"/>
      <c r="M52" s="59"/>
    </row>
    <row r="53" spans="2:14" ht="30" customHeight="1">
      <c r="B53" s="126"/>
      <c r="C53" s="126"/>
      <c r="D53" s="655" t="s">
        <v>206</v>
      </c>
      <c r="E53" s="655"/>
      <c r="F53" s="655"/>
      <c r="G53" s="655"/>
      <c r="H53" s="655"/>
      <c r="I53" s="655"/>
      <c r="J53" s="655"/>
      <c r="K53" s="117">
        <f>SUM(K52:L52)</f>
        <v>35.9</v>
      </c>
      <c r="L53" s="59"/>
      <c r="M53" s="59"/>
    </row>
    <row r="54" spans="2:14" ht="30" customHeight="1">
      <c r="B54" s="126"/>
      <c r="C54" s="126"/>
      <c r="D54" s="146" t="s">
        <v>240</v>
      </c>
      <c r="E54" s="120">
        <v>1</v>
      </c>
      <c r="F54" s="655" t="s">
        <v>241</v>
      </c>
      <c r="G54" s="655"/>
      <c r="H54" s="655"/>
      <c r="I54" s="655"/>
      <c r="J54" s="655"/>
      <c r="K54" s="117">
        <f>K53+K49+K45+K41</f>
        <v>550.79999999999995</v>
      </c>
    </row>
    <row r="55" spans="2:14" ht="30" customHeight="1">
      <c r="B55" s="126"/>
      <c r="C55" s="126"/>
      <c r="D55" s="655" t="s">
        <v>17</v>
      </c>
      <c r="E55" s="655"/>
      <c r="F55" s="655"/>
      <c r="G55" s="655"/>
      <c r="H55" s="655"/>
      <c r="I55" s="655"/>
      <c r="J55" s="655"/>
      <c r="K55" s="117">
        <f>K54/E54</f>
        <v>550.79999999999995</v>
      </c>
    </row>
    <row r="56" spans="2:14" ht="30" customHeight="1">
      <c r="B56" s="126"/>
      <c r="C56" s="126"/>
      <c r="D56" s="146" t="s">
        <v>242</v>
      </c>
      <c r="E56" s="113">
        <f>'BDI''s'!$C$33</f>
        <v>24.18</v>
      </c>
      <c r="F56" s="129" t="s">
        <v>214</v>
      </c>
      <c r="G56" s="129"/>
      <c r="H56" s="129"/>
      <c r="I56" s="129"/>
      <c r="J56" s="129"/>
      <c r="K56" s="117">
        <f>E56/100*K55</f>
        <v>133.18</v>
      </c>
    </row>
    <row r="57" spans="2:14" ht="30" customHeight="1">
      <c r="B57" s="126"/>
      <c r="C57" s="126"/>
      <c r="D57" s="661" t="s">
        <v>243</v>
      </c>
      <c r="E57" s="661"/>
      <c r="F57" s="661"/>
      <c r="G57" s="661"/>
      <c r="H57" s="661"/>
      <c r="I57" s="661"/>
      <c r="J57" s="661"/>
      <c r="K57" s="492">
        <f>K56+K55</f>
        <v>683.98</v>
      </c>
      <c r="N57" s="107"/>
    </row>
    <row r="58" spans="2:14" ht="9.9499999999999993" customHeight="1">
      <c r="D58" s="170"/>
      <c r="E58" s="170"/>
      <c r="F58" s="170"/>
      <c r="G58" s="170"/>
      <c r="H58" s="170"/>
      <c r="I58" s="170"/>
      <c r="J58" s="170"/>
      <c r="K58" s="171"/>
      <c r="N58" s="114"/>
    </row>
    <row r="59" spans="2:14" ht="9.9499999999999993" customHeight="1">
      <c r="D59" s="170"/>
      <c r="E59" s="170"/>
      <c r="F59" s="170"/>
      <c r="G59" s="170"/>
      <c r="H59" s="170"/>
      <c r="I59" s="170"/>
      <c r="J59" s="170"/>
      <c r="K59" s="171"/>
      <c r="N59" s="114"/>
    </row>
    <row r="60" spans="2:14" s="123" customFormat="1" ht="30" customHeight="1">
      <c r="B60" s="656" t="s">
        <v>196</v>
      </c>
      <c r="C60" s="656"/>
      <c r="D60" s="656"/>
      <c r="E60" s="165" t="str">
        <f>'Planilha Orçamentária'!B15</f>
        <v>1.4</v>
      </c>
      <c r="F60" s="657" t="s">
        <v>197</v>
      </c>
      <c r="G60" s="657"/>
      <c r="H60" s="657"/>
      <c r="I60" s="657"/>
      <c r="J60" s="657"/>
      <c r="K60" s="657"/>
      <c r="L60" s="135" t="s">
        <v>266</v>
      </c>
      <c r="M60" s="135"/>
      <c r="N60" s="135"/>
    </row>
    <row r="61" spans="2:14" s="131" customFormat="1" ht="52.5" customHeight="1">
      <c r="B61" s="660" t="str">
        <f>B3</f>
        <v>IMPLANTAÇÃO DO SISTEMA SIMPLIFICADO DE ABASTECIMENTO DE ÁGUA BRUTA DE MARAVILHA, MUNICÍPIO DE CUSTÓDIA, EM ÁREA DE ATUAÇÃO DA CODEVASF/3ªSR</v>
      </c>
      <c r="C61" s="660"/>
      <c r="D61" s="660"/>
      <c r="E61" s="660"/>
      <c r="F61" s="660"/>
      <c r="G61" s="660"/>
      <c r="H61" s="660"/>
      <c r="I61" s="660"/>
      <c r="J61" s="653" t="s">
        <v>819</v>
      </c>
      <c r="K61" s="653"/>
      <c r="L61" s="130"/>
      <c r="M61" s="130"/>
    </row>
    <row r="62" spans="2:14" ht="30" customHeight="1">
      <c r="B62" s="654" t="s">
        <v>350</v>
      </c>
      <c r="C62" s="654"/>
      <c r="D62" s="665" t="s">
        <v>372</v>
      </c>
      <c r="E62" s="665"/>
      <c r="F62" s="665"/>
      <c r="G62" s="665"/>
      <c r="H62" s="665"/>
      <c r="I62" s="665"/>
      <c r="J62" s="125" t="s">
        <v>198</v>
      </c>
      <c r="K62" s="121" t="s">
        <v>7</v>
      </c>
    </row>
    <row r="63" spans="2:14" ht="30" customHeight="1">
      <c r="B63" s="166" t="s">
        <v>341</v>
      </c>
      <c r="C63" s="166" t="s">
        <v>237</v>
      </c>
      <c r="D63" s="167" t="s">
        <v>342</v>
      </c>
      <c r="E63" s="139"/>
      <c r="F63" s="134"/>
      <c r="G63" s="147"/>
      <c r="H63" s="658"/>
      <c r="I63" s="658"/>
      <c r="J63" s="658"/>
      <c r="K63" s="658"/>
    </row>
    <row r="64" spans="2:14" ht="30" customHeight="1">
      <c r="B64" s="126"/>
      <c r="C64" s="126"/>
      <c r="D64" s="659" t="s">
        <v>199</v>
      </c>
      <c r="E64" s="659"/>
      <c r="F64" s="659"/>
      <c r="G64" s="659"/>
      <c r="H64" s="659"/>
      <c r="I64" s="659"/>
      <c r="J64" s="659"/>
      <c r="K64" s="659"/>
    </row>
    <row r="65" spans="2:13" ht="30" customHeight="1">
      <c r="B65" s="126"/>
      <c r="C65" s="126"/>
      <c r="D65" s="148" t="s">
        <v>200</v>
      </c>
      <c r="E65" s="119" t="s">
        <v>7</v>
      </c>
      <c r="F65" s="148" t="s">
        <v>3</v>
      </c>
      <c r="G65" s="148" t="s">
        <v>201</v>
      </c>
      <c r="H65" s="148" t="s">
        <v>202</v>
      </c>
      <c r="I65" s="148" t="s">
        <v>203</v>
      </c>
      <c r="J65" s="148" t="s">
        <v>204</v>
      </c>
      <c r="K65" s="148" t="s">
        <v>205</v>
      </c>
    </row>
    <row r="66" spans="2:13" ht="30" customHeight="1">
      <c r="B66" s="134"/>
      <c r="C66" s="168"/>
      <c r="D66" s="147"/>
      <c r="E66" s="119"/>
      <c r="F66" s="148"/>
      <c r="G66" s="148"/>
      <c r="H66" s="148"/>
      <c r="I66" s="148"/>
      <c r="J66" s="148"/>
      <c r="K66" s="117">
        <f>I66*F66</f>
        <v>0</v>
      </c>
    </row>
    <row r="67" spans="2:13" ht="30" customHeight="1">
      <c r="B67" s="126"/>
      <c r="C67" s="126"/>
      <c r="D67" s="655" t="s">
        <v>206</v>
      </c>
      <c r="E67" s="655"/>
      <c r="F67" s="655"/>
      <c r="G67" s="655"/>
      <c r="H67" s="655"/>
      <c r="I67" s="655"/>
      <c r="J67" s="655"/>
      <c r="K67" s="117">
        <f>SUM(K66:K66)</f>
        <v>0</v>
      </c>
    </row>
    <row r="68" spans="2:13" ht="30" customHeight="1">
      <c r="B68" s="126"/>
      <c r="C68" s="126"/>
      <c r="D68" s="659" t="s">
        <v>207</v>
      </c>
      <c r="E68" s="659"/>
      <c r="F68" s="659"/>
      <c r="G68" s="659"/>
      <c r="H68" s="659"/>
      <c r="I68" s="659"/>
      <c r="J68" s="659"/>
      <c r="K68" s="659"/>
    </row>
    <row r="69" spans="2:13" ht="30" customHeight="1">
      <c r="B69" s="126"/>
      <c r="C69" s="126"/>
      <c r="D69" s="148" t="s">
        <v>200</v>
      </c>
      <c r="E69" s="121" t="s">
        <v>7</v>
      </c>
      <c r="F69" s="120" t="s">
        <v>3</v>
      </c>
      <c r="G69" s="146"/>
      <c r="H69" s="146"/>
      <c r="I69" s="146"/>
      <c r="J69" s="120" t="s">
        <v>208</v>
      </c>
      <c r="K69" s="148" t="s">
        <v>205</v>
      </c>
      <c r="L69" s="59"/>
      <c r="M69" s="59"/>
    </row>
    <row r="70" spans="2:13" ht="30" customHeight="1">
      <c r="B70" s="134" t="s">
        <v>238</v>
      </c>
      <c r="C70" s="168">
        <v>5075</v>
      </c>
      <c r="D70" s="147" t="s">
        <v>516</v>
      </c>
      <c r="E70" s="119" t="s">
        <v>345</v>
      </c>
      <c r="F70" s="118">
        <v>1.25</v>
      </c>
      <c r="G70" s="148"/>
      <c r="H70" s="148"/>
      <c r="I70" s="148"/>
      <c r="J70" s="496">
        <v>7.91</v>
      </c>
      <c r="K70" s="117">
        <f t="shared" ref="K70:K85" si="0">J70*F70</f>
        <v>9.89</v>
      </c>
      <c r="L70" s="59"/>
      <c r="M70" s="59"/>
    </row>
    <row r="71" spans="2:13" ht="30" customHeight="1">
      <c r="B71" s="134" t="s">
        <v>238</v>
      </c>
      <c r="C71" s="168">
        <v>4492</v>
      </c>
      <c r="D71" s="147" t="s">
        <v>357</v>
      </c>
      <c r="E71" s="119" t="s">
        <v>344</v>
      </c>
      <c r="F71" s="118">
        <v>6</v>
      </c>
      <c r="G71" s="148"/>
      <c r="H71" s="148"/>
      <c r="I71" s="148"/>
      <c r="J71" s="496">
        <v>8.23</v>
      </c>
      <c r="K71" s="117">
        <f t="shared" si="0"/>
        <v>49.38</v>
      </c>
      <c r="L71" s="59"/>
      <c r="M71" s="59"/>
    </row>
    <row r="72" spans="2:13" ht="30" customHeight="1">
      <c r="B72" s="134" t="s">
        <v>238</v>
      </c>
      <c r="C72" s="168">
        <v>4460</v>
      </c>
      <c r="D72" s="147" t="s">
        <v>348</v>
      </c>
      <c r="E72" s="119" t="s">
        <v>344</v>
      </c>
      <c r="F72" s="118">
        <v>6</v>
      </c>
      <c r="G72" s="148"/>
      <c r="H72" s="148"/>
      <c r="I72" s="148"/>
      <c r="J72" s="496">
        <v>5.75</v>
      </c>
      <c r="K72" s="117">
        <f t="shared" si="0"/>
        <v>34.5</v>
      </c>
      <c r="L72" s="59"/>
      <c r="M72" s="59"/>
    </row>
    <row r="73" spans="2:13" ht="30" customHeight="1">
      <c r="B73" s="134" t="s">
        <v>238</v>
      </c>
      <c r="C73" s="168">
        <v>2433</v>
      </c>
      <c r="D73" s="147" t="s">
        <v>358</v>
      </c>
      <c r="E73" s="119" t="s">
        <v>7</v>
      </c>
      <c r="F73" s="118">
        <v>6</v>
      </c>
      <c r="G73" s="148"/>
      <c r="H73" s="148"/>
      <c r="I73" s="148"/>
      <c r="J73" s="496">
        <v>4.9800000000000004</v>
      </c>
      <c r="K73" s="117">
        <f t="shared" si="0"/>
        <v>29.88</v>
      </c>
      <c r="L73" s="59"/>
      <c r="M73" s="59"/>
    </row>
    <row r="74" spans="2:13" ht="30" customHeight="1">
      <c r="B74" s="134" t="s">
        <v>238</v>
      </c>
      <c r="C74" s="168">
        <v>5090</v>
      </c>
      <c r="D74" s="147" t="s">
        <v>359</v>
      </c>
      <c r="E74" s="119" t="s">
        <v>7</v>
      </c>
      <c r="F74" s="118">
        <v>3</v>
      </c>
      <c r="G74" s="148"/>
      <c r="H74" s="148"/>
      <c r="I74" s="148"/>
      <c r="J74" s="496">
        <v>10.16</v>
      </c>
      <c r="K74" s="117">
        <f t="shared" si="0"/>
        <v>30.48</v>
      </c>
      <c r="L74" s="59"/>
      <c r="M74" s="59"/>
    </row>
    <row r="75" spans="2:13" ht="30" customHeight="1">
      <c r="B75" s="134" t="s">
        <v>238</v>
      </c>
      <c r="C75" s="168">
        <v>6253</v>
      </c>
      <c r="D75" s="147" t="s">
        <v>360</v>
      </c>
      <c r="E75" s="119" t="s">
        <v>7</v>
      </c>
      <c r="F75" s="118">
        <v>1</v>
      </c>
      <c r="G75" s="148"/>
      <c r="H75" s="148"/>
      <c r="I75" s="148"/>
      <c r="J75" s="496">
        <v>65</v>
      </c>
      <c r="K75" s="117">
        <f t="shared" si="0"/>
        <v>65</v>
      </c>
      <c r="L75" s="59"/>
      <c r="M75" s="59"/>
    </row>
    <row r="76" spans="2:13" ht="30" customHeight="1">
      <c r="B76" s="134" t="s">
        <v>238</v>
      </c>
      <c r="C76" s="168">
        <v>11822</v>
      </c>
      <c r="D76" s="147" t="s">
        <v>361</v>
      </c>
      <c r="E76" s="119" t="s">
        <v>7</v>
      </c>
      <c r="F76" s="118">
        <v>2</v>
      </c>
      <c r="G76" s="148"/>
      <c r="H76" s="148"/>
      <c r="I76" s="148"/>
      <c r="J76" s="496">
        <v>7.9</v>
      </c>
      <c r="K76" s="117">
        <f t="shared" si="0"/>
        <v>15.8</v>
      </c>
      <c r="L76" s="59"/>
      <c r="M76" s="59"/>
    </row>
    <row r="77" spans="2:13" ht="30" customHeight="1">
      <c r="B77" s="134" t="s">
        <v>238</v>
      </c>
      <c r="C77" s="168">
        <v>11871</v>
      </c>
      <c r="D77" s="147" t="s">
        <v>362</v>
      </c>
      <c r="E77" s="119" t="s">
        <v>7</v>
      </c>
      <c r="F77" s="118">
        <v>1</v>
      </c>
      <c r="G77" s="148"/>
      <c r="H77" s="148"/>
      <c r="I77" s="148"/>
      <c r="J77" s="496">
        <v>228</v>
      </c>
      <c r="K77" s="117">
        <f t="shared" si="0"/>
        <v>228</v>
      </c>
      <c r="L77" s="59"/>
      <c r="M77" s="59"/>
    </row>
    <row r="78" spans="2:13" ht="30" customHeight="1">
      <c r="B78" s="134" t="s">
        <v>238</v>
      </c>
      <c r="C78" s="168">
        <v>7608</v>
      </c>
      <c r="D78" s="147" t="s">
        <v>363</v>
      </c>
      <c r="E78" s="119" t="s">
        <v>7</v>
      </c>
      <c r="F78" s="118">
        <v>2</v>
      </c>
      <c r="G78" s="148"/>
      <c r="H78" s="148"/>
      <c r="I78" s="148"/>
      <c r="J78" s="496">
        <v>7.13</v>
      </c>
      <c r="K78" s="117">
        <f t="shared" si="0"/>
        <v>14.26</v>
      </c>
      <c r="L78" s="59"/>
      <c r="M78" s="59"/>
    </row>
    <row r="79" spans="2:13" ht="30" customHeight="1">
      <c r="B79" s="134" t="s">
        <v>238</v>
      </c>
      <c r="C79" s="168">
        <v>11680</v>
      </c>
      <c r="D79" s="147" t="s">
        <v>364</v>
      </c>
      <c r="E79" s="119" t="s">
        <v>7</v>
      </c>
      <c r="F79" s="118">
        <v>2</v>
      </c>
      <c r="G79" s="148"/>
      <c r="H79" s="148"/>
      <c r="I79" s="148"/>
      <c r="J79" s="496">
        <v>5.12</v>
      </c>
      <c r="K79" s="117">
        <f t="shared" si="0"/>
        <v>10.24</v>
      </c>
      <c r="L79" s="59"/>
      <c r="M79" s="59"/>
    </row>
    <row r="80" spans="2:13" ht="51.75" customHeight="1">
      <c r="B80" s="134" t="s">
        <v>238</v>
      </c>
      <c r="C80" s="168">
        <v>7528</v>
      </c>
      <c r="D80" s="147" t="s">
        <v>365</v>
      </c>
      <c r="E80" s="119" t="s">
        <v>7</v>
      </c>
      <c r="F80" s="118">
        <v>4</v>
      </c>
      <c r="G80" s="148"/>
      <c r="H80" s="148"/>
      <c r="I80" s="148"/>
      <c r="J80" s="496">
        <v>7.5</v>
      </c>
      <c r="K80" s="117">
        <f t="shared" si="0"/>
        <v>30</v>
      </c>
      <c r="L80" s="59"/>
      <c r="M80" s="59"/>
    </row>
    <row r="81" spans="2:13" ht="30" customHeight="1">
      <c r="B81" s="134" t="s">
        <v>238</v>
      </c>
      <c r="C81" s="168">
        <v>7555</v>
      </c>
      <c r="D81" s="147" t="s">
        <v>366</v>
      </c>
      <c r="E81" s="119" t="s">
        <v>7</v>
      </c>
      <c r="F81" s="118">
        <v>4</v>
      </c>
      <c r="G81" s="148"/>
      <c r="H81" s="148"/>
      <c r="I81" s="148"/>
      <c r="J81" s="496">
        <v>7.05</v>
      </c>
      <c r="K81" s="117">
        <f t="shared" si="0"/>
        <v>28.2</v>
      </c>
      <c r="L81" s="59"/>
      <c r="M81" s="59"/>
    </row>
    <row r="82" spans="2:13" ht="44.25" customHeight="1">
      <c r="B82" s="134" t="s">
        <v>238</v>
      </c>
      <c r="C82" s="168">
        <v>13329</v>
      </c>
      <c r="D82" s="147" t="s">
        <v>367</v>
      </c>
      <c r="E82" s="119" t="s">
        <v>7</v>
      </c>
      <c r="F82" s="118">
        <v>4</v>
      </c>
      <c r="G82" s="148"/>
      <c r="H82" s="148"/>
      <c r="I82" s="148"/>
      <c r="J82" s="496">
        <v>2.7</v>
      </c>
      <c r="K82" s="117">
        <f t="shared" si="0"/>
        <v>10.8</v>
      </c>
      <c r="L82" s="59"/>
      <c r="M82" s="59"/>
    </row>
    <row r="83" spans="2:13" ht="30" customHeight="1">
      <c r="B83" s="134" t="s">
        <v>238</v>
      </c>
      <c r="C83" s="168">
        <v>3764</v>
      </c>
      <c r="D83" s="147" t="s">
        <v>368</v>
      </c>
      <c r="E83" s="119" t="s">
        <v>7</v>
      </c>
      <c r="F83" s="118">
        <v>4</v>
      </c>
      <c r="G83" s="148"/>
      <c r="H83" s="148"/>
      <c r="I83" s="148"/>
      <c r="J83" s="496">
        <v>1.1399999999999999</v>
      </c>
      <c r="K83" s="117">
        <f t="shared" si="0"/>
        <v>4.5599999999999996</v>
      </c>
      <c r="L83" s="59"/>
      <c r="M83" s="59"/>
    </row>
    <row r="84" spans="2:13" ht="30" customHeight="1">
      <c r="B84" s="134" t="s">
        <v>238</v>
      </c>
      <c r="C84" s="168">
        <v>7345</v>
      </c>
      <c r="D84" s="147" t="s">
        <v>369</v>
      </c>
      <c r="E84" s="119" t="s">
        <v>16</v>
      </c>
      <c r="F84" s="118">
        <v>7.23</v>
      </c>
      <c r="G84" s="148"/>
      <c r="H84" s="148"/>
      <c r="I84" s="148"/>
      <c r="J84" s="496">
        <v>12.58</v>
      </c>
      <c r="K84" s="117">
        <f t="shared" si="0"/>
        <v>90.95</v>
      </c>
      <c r="L84" s="59"/>
      <c r="M84" s="59"/>
    </row>
    <row r="85" spans="2:13" ht="30" customHeight="1">
      <c r="B85" s="134" t="s">
        <v>238</v>
      </c>
      <c r="C85" s="168">
        <v>11752</v>
      </c>
      <c r="D85" s="147" t="s">
        <v>370</v>
      </c>
      <c r="E85" s="119" t="s">
        <v>7</v>
      </c>
      <c r="F85" s="118">
        <v>1</v>
      </c>
      <c r="G85" s="148"/>
      <c r="H85" s="148"/>
      <c r="I85" s="148"/>
      <c r="J85" s="496">
        <v>24.94</v>
      </c>
      <c r="K85" s="117">
        <f t="shared" si="0"/>
        <v>24.94</v>
      </c>
    </row>
    <row r="86" spans="2:13" ht="30" customHeight="1">
      <c r="B86" s="126"/>
      <c r="C86" s="126"/>
      <c r="D86" s="655" t="s">
        <v>206</v>
      </c>
      <c r="E86" s="655"/>
      <c r="F86" s="655"/>
      <c r="G86" s="655"/>
      <c r="H86" s="655"/>
      <c r="I86" s="655"/>
      <c r="J86" s="655"/>
      <c r="K86" s="117">
        <f>SUM(K70:K85)</f>
        <v>676.88</v>
      </c>
    </row>
    <row r="87" spans="2:13" ht="30" customHeight="1">
      <c r="B87" s="126"/>
      <c r="C87" s="126"/>
      <c r="D87" s="659" t="s">
        <v>209</v>
      </c>
      <c r="E87" s="659"/>
      <c r="F87" s="659"/>
      <c r="G87" s="659"/>
      <c r="H87" s="659"/>
      <c r="I87" s="659"/>
      <c r="J87" s="659"/>
      <c r="K87" s="659"/>
    </row>
    <row r="88" spans="2:13" ht="30" customHeight="1">
      <c r="B88" s="126"/>
      <c r="C88" s="126"/>
      <c r="D88" s="120" t="s">
        <v>200</v>
      </c>
      <c r="E88" s="121" t="s">
        <v>7</v>
      </c>
      <c r="F88" s="120" t="s">
        <v>3</v>
      </c>
      <c r="G88" s="146"/>
      <c r="H88" s="146"/>
      <c r="I88" s="146"/>
      <c r="J88" s="120" t="s">
        <v>208</v>
      </c>
      <c r="K88" s="120" t="s">
        <v>205</v>
      </c>
    </row>
    <row r="89" spans="2:13" ht="30" customHeight="1">
      <c r="B89" s="126"/>
      <c r="C89" s="136"/>
      <c r="D89" s="172" t="s">
        <v>679</v>
      </c>
      <c r="E89" s="121" t="s">
        <v>7</v>
      </c>
      <c r="F89" s="109">
        <v>6</v>
      </c>
      <c r="G89" s="149"/>
      <c r="H89" s="149"/>
      <c r="I89" s="149"/>
      <c r="J89" s="150">
        <v>250</v>
      </c>
      <c r="K89" s="497">
        <f>J89*F89</f>
        <v>1500</v>
      </c>
    </row>
    <row r="90" spans="2:13" ht="30" customHeight="1">
      <c r="B90" s="126"/>
      <c r="C90" s="126"/>
      <c r="D90" s="655" t="s">
        <v>206</v>
      </c>
      <c r="E90" s="655"/>
      <c r="F90" s="655"/>
      <c r="G90" s="655"/>
      <c r="H90" s="655"/>
      <c r="I90" s="655"/>
      <c r="J90" s="655"/>
      <c r="K90" s="117">
        <f>K89</f>
        <v>1500</v>
      </c>
    </row>
    <row r="91" spans="2:13" ht="30" customHeight="1">
      <c r="B91" s="126"/>
      <c r="C91" s="126"/>
      <c r="D91" s="659" t="s">
        <v>239</v>
      </c>
      <c r="E91" s="659"/>
      <c r="F91" s="659"/>
      <c r="G91" s="659"/>
      <c r="H91" s="659"/>
      <c r="I91" s="659"/>
      <c r="J91" s="659"/>
      <c r="K91" s="659"/>
    </row>
    <row r="92" spans="2:13" ht="30" customHeight="1">
      <c r="B92" s="126"/>
      <c r="C92" s="126"/>
      <c r="D92" s="120" t="s">
        <v>200</v>
      </c>
      <c r="E92" s="121" t="s">
        <v>7</v>
      </c>
      <c r="F92" s="120" t="s">
        <v>3</v>
      </c>
      <c r="G92" s="146"/>
      <c r="H92" s="146"/>
      <c r="I92" s="146"/>
      <c r="J92" s="120" t="s">
        <v>208</v>
      </c>
      <c r="K92" s="120" t="s">
        <v>205</v>
      </c>
    </row>
    <row r="93" spans="2:13" ht="30" customHeight="1">
      <c r="B93" s="134" t="s">
        <v>238</v>
      </c>
      <c r="C93" s="168">
        <v>2696</v>
      </c>
      <c r="D93" s="125" t="s">
        <v>371</v>
      </c>
      <c r="E93" s="121" t="s">
        <v>322</v>
      </c>
      <c r="F93" s="120">
        <v>6</v>
      </c>
      <c r="G93" s="146"/>
      <c r="H93" s="146"/>
      <c r="I93" s="146"/>
      <c r="J93" s="117">
        <v>9.5299999999999994</v>
      </c>
      <c r="K93" s="117">
        <f>J93*F93</f>
        <v>57.18</v>
      </c>
    </row>
    <row r="94" spans="2:13" ht="30" customHeight="1">
      <c r="B94" s="134" t="s">
        <v>238</v>
      </c>
      <c r="C94" s="168">
        <v>6111</v>
      </c>
      <c r="D94" s="125" t="s">
        <v>346</v>
      </c>
      <c r="E94" s="121" t="s">
        <v>322</v>
      </c>
      <c r="F94" s="120">
        <v>6</v>
      </c>
      <c r="G94" s="146"/>
      <c r="H94" s="146"/>
      <c r="I94" s="146"/>
      <c r="J94" s="117">
        <v>7.18</v>
      </c>
      <c r="K94" s="117">
        <f>J94*F94</f>
        <v>43.08</v>
      </c>
      <c r="L94" s="59"/>
      <c r="M94" s="59"/>
    </row>
    <row r="95" spans="2:13" ht="30" customHeight="1">
      <c r="B95" s="126"/>
      <c r="C95" s="126"/>
      <c r="D95" s="655" t="s">
        <v>206</v>
      </c>
      <c r="E95" s="655"/>
      <c r="F95" s="655"/>
      <c r="G95" s="655"/>
      <c r="H95" s="655"/>
      <c r="I95" s="655"/>
      <c r="J95" s="655"/>
      <c r="K95" s="117">
        <f>SUM(K93:K94)</f>
        <v>100.26</v>
      </c>
      <c r="L95" s="59"/>
      <c r="M95" s="59"/>
    </row>
    <row r="96" spans="2:13" ht="30" customHeight="1">
      <c r="B96" s="126"/>
      <c r="C96" s="126"/>
      <c r="D96" s="146" t="s">
        <v>240</v>
      </c>
      <c r="E96" s="120">
        <v>1</v>
      </c>
      <c r="F96" s="655" t="s">
        <v>241</v>
      </c>
      <c r="G96" s="655"/>
      <c r="H96" s="655"/>
      <c r="I96" s="655"/>
      <c r="J96" s="655"/>
      <c r="K96" s="117">
        <f>K95+K90+K86+K67</f>
        <v>2277.14</v>
      </c>
    </row>
    <row r="97" spans="2:14" ht="30" customHeight="1">
      <c r="B97" s="126"/>
      <c r="C97" s="126"/>
      <c r="D97" s="655" t="s">
        <v>17</v>
      </c>
      <c r="E97" s="655"/>
      <c r="F97" s="655"/>
      <c r="G97" s="655"/>
      <c r="H97" s="655"/>
      <c r="I97" s="655"/>
      <c r="J97" s="655"/>
      <c r="K97" s="117">
        <f>K96/E96</f>
        <v>2277.14</v>
      </c>
    </row>
    <row r="98" spans="2:14" ht="30" customHeight="1">
      <c r="B98" s="126"/>
      <c r="C98" s="126"/>
      <c r="D98" s="146" t="s">
        <v>242</v>
      </c>
      <c r="E98" s="113">
        <f>'BDI''s'!$C$33</f>
        <v>24.18</v>
      </c>
      <c r="F98" s="129" t="s">
        <v>214</v>
      </c>
      <c r="G98" s="129"/>
      <c r="H98" s="129"/>
      <c r="I98" s="129"/>
      <c r="J98" s="129"/>
      <c r="K98" s="117">
        <f>E98/100*K97</f>
        <v>550.61</v>
      </c>
    </row>
    <row r="99" spans="2:14" ht="30" customHeight="1">
      <c r="B99" s="126"/>
      <c r="C99" s="126"/>
      <c r="D99" s="661" t="s">
        <v>243</v>
      </c>
      <c r="E99" s="661"/>
      <c r="F99" s="661"/>
      <c r="G99" s="661"/>
      <c r="H99" s="661"/>
      <c r="I99" s="661"/>
      <c r="J99" s="661"/>
      <c r="K99" s="492">
        <f>K98+K97</f>
        <v>2827.75</v>
      </c>
      <c r="N99" s="107"/>
    </row>
    <row r="100" spans="2:14" ht="9.9499999999999993" customHeight="1">
      <c r="D100" s="170"/>
      <c r="E100" s="170"/>
      <c r="F100" s="170"/>
      <c r="G100" s="170"/>
      <c r="H100" s="170"/>
      <c r="I100" s="170"/>
      <c r="J100" s="170"/>
      <c r="K100" s="171"/>
      <c r="N100" s="114"/>
    </row>
    <row r="101" spans="2:14" ht="9.9499999999999993" customHeight="1">
      <c r="D101" s="170"/>
      <c r="E101" s="170"/>
      <c r="F101" s="170"/>
      <c r="G101" s="170"/>
      <c r="H101" s="170"/>
      <c r="I101" s="170"/>
      <c r="J101" s="170"/>
      <c r="K101" s="171"/>
      <c r="N101" s="114"/>
    </row>
    <row r="102" spans="2:14" s="123" customFormat="1" ht="30" customHeight="1">
      <c r="B102" s="656" t="s">
        <v>196</v>
      </c>
      <c r="C102" s="656"/>
      <c r="D102" s="656"/>
      <c r="E102" s="165" t="str">
        <f>'Planilha Orçamentária'!B16</f>
        <v>1.5</v>
      </c>
      <c r="F102" s="657" t="s">
        <v>197</v>
      </c>
      <c r="G102" s="657"/>
      <c r="H102" s="657"/>
      <c r="I102" s="657"/>
      <c r="J102" s="657"/>
      <c r="K102" s="657"/>
      <c r="L102" s="135" t="s">
        <v>266</v>
      </c>
      <c r="M102" s="135"/>
      <c r="N102" s="135"/>
    </row>
    <row r="103" spans="2:14" s="131" customFormat="1" ht="54" customHeight="1">
      <c r="B103" s="660" t="str">
        <f>B3</f>
        <v>IMPLANTAÇÃO DO SISTEMA SIMPLIFICADO DE ABASTECIMENTO DE ÁGUA BRUTA DE MARAVILHA, MUNICÍPIO DE CUSTÓDIA, EM ÁREA DE ATUAÇÃO DA CODEVASF/3ªSR</v>
      </c>
      <c r="C103" s="660"/>
      <c r="D103" s="660"/>
      <c r="E103" s="660"/>
      <c r="F103" s="660"/>
      <c r="G103" s="660"/>
      <c r="H103" s="660"/>
      <c r="I103" s="660"/>
      <c r="J103" s="653" t="s">
        <v>819</v>
      </c>
      <c r="K103" s="653"/>
      <c r="L103" s="130"/>
      <c r="M103" s="130"/>
    </row>
    <row r="104" spans="2:14" ht="30" customHeight="1">
      <c r="B104" s="654" t="s">
        <v>350</v>
      </c>
      <c r="C104" s="654"/>
      <c r="D104" s="665" t="s">
        <v>374</v>
      </c>
      <c r="E104" s="665"/>
      <c r="F104" s="665"/>
      <c r="G104" s="665"/>
      <c r="H104" s="665"/>
      <c r="I104" s="665"/>
      <c r="J104" s="125" t="s">
        <v>198</v>
      </c>
      <c r="K104" s="488" t="s">
        <v>7</v>
      </c>
    </row>
    <row r="105" spans="2:14" ht="30" customHeight="1">
      <c r="B105" s="166" t="s">
        <v>341</v>
      </c>
      <c r="C105" s="166" t="s">
        <v>237</v>
      </c>
      <c r="D105" s="167" t="s">
        <v>342</v>
      </c>
      <c r="E105" s="139"/>
      <c r="F105" s="134"/>
      <c r="G105" s="147"/>
      <c r="H105" s="658"/>
      <c r="I105" s="658"/>
      <c r="J105" s="658"/>
      <c r="K105" s="658"/>
    </row>
    <row r="106" spans="2:14" ht="30" customHeight="1">
      <c r="B106" s="126"/>
      <c r="C106" s="126"/>
      <c r="D106" s="659" t="s">
        <v>199</v>
      </c>
      <c r="E106" s="659"/>
      <c r="F106" s="659"/>
      <c r="G106" s="659"/>
      <c r="H106" s="659"/>
      <c r="I106" s="659"/>
      <c r="J106" s="659"/>
      <c r="K106" s="659"/>
    </row>
    <row r="107" spans="2:14" ht="30" customHeight="1">
      <c r="B107" s="126"/>
      <c r="C107" s="126"/>
      <c r="D107" s="148" t="s">
        <v>200</v>
      </c>
      <c r="E107" s="119" t="s">
        <v>7</v>
      </c>
      <c r="F107" s="148" t="s">
        <v>3</v>
      </c>
      <c r="G107" s="148" t="s">
        <v>201</v>
      </c>
      <c r="H107" s="148" t="s">
        <v>202</v>
      </c>
      <c r="I107" s="148" t="s">
        <v>203</v>
      </c>
      <c r="J107" s="148" t="s">
        <v>204</v>
      </c>
      <c r="K107" s="148" t="s">
        <v>205</v>
      </c>
    </row>
    <row r="108" spans="2:14" ht="30">
      <c r="B108" s="134" t="s">
        <v>8</v>
      </c>
      <c r="C108" s="168"/>
      <c r="D108" s="133" t="s">
        <v>355</v>
      </c>
      <c r="E108" s="119" t="s">
        <v>373</v>
      </c>
      <c r="F108" s="498">
        <v>0.11</v>
      </c>
      <c r="G108" s="148"/>
      <c r="H108" s="148"/>
      <c r="I108" s="496">
        <f>'VEICULO POPULAR'!D46</f>
        <v>2059.94</v>
      </c>
      <c r="J108" s="148"/>
      <c r="K108" s="117">
        <f>I108*F108</f>
        <v>226.59</v>
      </c>
      <c r="N108" s="59" t="s">
        <v>524</v>
      </c>
    </row>
    <row r="109" spans="2:14" ht="30" customHeight="1">
      <c r="B109" s="126"/>
      <c r="C109" s="126"/>
      <c r="D109" s="655" t="s">
        <v>206</v>
      </c>
      <c r="E109" s="655"/>
      <c r="F109" s="655"/>
      <c r="G109" s="655"/>
      <c r="H109" s="655"/>
      <c r="I109" s="655"/>
      <c r="J109" s="655"/>
      <c r="K109" s="117">
        <f>SUM(K108:K108)</f>
        <v>226.59</v>
      </c>
      <c r="N109" s="59" t="s">
        <v>525</v>
      </c>
    </row>
    <row r="110" spans="2:14" ht="30" customHeight="1">
      <c r="B110" s="126"/>
      <c r="C110" s="126"/>
      <c r="D110" s="659" t="s">
        <v>207</v>
      </c>
      <c r="E110" s="659"/>
      <c r="F110" s="659"/>
      <c r="G110" s="659"/>
      <c r="H110" s="659"/>
      <c r="I110" s="659"/>
      <c r="J110" s="659"/>
      <c r="K110" s="659"/>
    </row>
    <row r="111" spans="2:14" ht="30" customHeight="1">
      <c r="B111" s="126"/>
      <c r="C111" s="126"/>
      <c r="D111" s="120" t="s">
        <v>200</v>
      </c>
      <c r="E111" s="121" t="s">
        <v>7</v>
      </c>
      <c r="F111" s="120" t="s">
        <v>3</v>
      </c>
      <c r="G111" s="146"/>
      <c r="H111" s="146"/>
      <c r="I111" s="146"/>
      <c r="J111" s="120" t="s">
        <v>208</v>
      </c>
      <c r="K111" s="120" t="s">
        <v>205</v>
      </c>
    </row>
    <row r="112" spans="2:14" ht="30" customHeight="1">
      <c r="B112" s="126"/>
      <c r="C112" s="126"/>
      <c r="D112" s="137"/>
      <c r="E112" s="117"/>
      <c r="F112" s="116"/>
      <c r="G112" s="149"/>
      <c r="H112" s="149"/>
      <c r="I112" s="149"/>
      <c r="J112" s="117"/>
      <c r="K112" s="497"/>
      <c r="N112" s="59" t="s">
        <v>526</v>
      </c>
    </row>
    <row r="113" spans="2:14" s="107" customFormat="1" ht="30" customHeight="1">
      <c r="B113" s="126"/>
      <c r="C113" s="126"/>
      <c r="D113" s="655" t="s">
        <v>206</v>
      </c>
      <c r="E113" s="655"/>
      <c r="F113" s="655"/>
      <c r="G113" s="655"/>
      <c r="H113" s="655"/>
      <c r="I113" s="655"/>
      <c r="J113" s="655"/>
      <c r="K113" s="117">
        <f>SUM(K112:K112)</f>
        <v>0</v>
      </c>
      <c r="L113" s="106"/>
      <c r="M113" s="106"/>
    </row>
    <row r="114" spans="2:14" s="107" customFormat="1" ht="30" customHeight="1">
      <c r="B114" s="60"/>
      <c r="C114" s="60"/>
      <c r="D114" s="659" t="s">
        <v>209</v>
      </c>
      <c r="E114" s="659"/>
      <c r="F114" s="659"/>
      <c r="G114" s="659"/>
      <c r="H114" s="659"/>
      <c r="I114" s="659"/>
      <c r="J114" s="659"/>
      <c r="K114" s="659"/>
      <c r="L114" s="106"/>
      <c r="M114" s="106"/>
    </row>
    <row r="115" spans="2:14" ht="30" customHeight="1">
      <c r="B115" s="126"/>
      <c r="C115" s="126"/>
      <c r="D115" s="120" t="s">
        <v>200</v>
      </c>
      <c r="E115" s="121" t="s">
        <v>7</v>
      </c>
      <c r="F115" s="120" t="s">
        <v>3</v>
      </c>
      <c r="G115" s="146"/>
      <c r="H115" s="146"/>
      <c r="I115" s="146"/>
      <c r="J115" s="120" t="s">
        <v>208</v>
      </c>
      <c r="K115" s="120" t="s">
        <v>205</v>
      </c>
    </row>
    <row r="116" spans="2:14" ht="30" customHeight="1">
      <c r="B116" s="126"/>
      <c r="C116" s="126"/>
      <c r="D116" s="169"/>
      <c r="E116" s="128"/>
      <c r="F116" s="120"/>
      <c r="G116" s="146"/>
      <c r="H116" s="146"/>
      <c r="I116" s="146"/>
      <c r="J116" s="120"/>
      <c r="K116" s="117">
        <f>J116*F116</f>
        <v>0</v>
      </c>
    </row>
    <row r="117" spans="2:14" ht="30" customHeight="1">
      <c r="B117" s="126"/>
      <c r="C117" s="126"/>
      <c r="D117" s="655" t="s">
        <v>206</v>
      </c>
      <c r="E117" s="655"/>
      <c r="F117" s="655"/>
      <c r="G117" s="655"/>
      <c r="H117" s="655"/>
      <c r="I117" s="655"/>
      <c r="J117" s="655"/>
      <c r="K117" s="117">
        <f>K116</f>
        <v>0</v>
      </c>
    </row>
    <row r="118" spans="2:14" ht="30" customHeight="1">
      <c r="B118" s="126"/>
      <c r="C118" s="126"/>
      <c r="D118" s="659" t="s">
        <v>239</v>
      </c>
      <c r="E118" s="659"/>
      <c r="F118" s="659"/>
      <c r="G118" s="659"/>
      <c r="H118" s="659"/>
      <c r="I118" s="659"/>
      <c r="J118" s="659"/>
      <c r="K118" s="659"/>
    </row>
    <row r="119" spans="2:14" ht="30" customHeight="1">
      <c r="B119" s="126"/>
      <c r="C119" s="126"/>
      <c r="D119" s="120" t="s">
        <v>200</v>
      </c>
      <c r="E119" s="121" t="s">
        <v>7</v>
      </c>
      <c r="F119" s="120" t="s">
        <v>3</v>
      </c>
      <c r="G119" s="146"/>
      <c r="H119" s="146"/>
      <c r="I119" s="146"/>
      <c r="J119" s="120" t="s">
        <v>208</v>
      </c>
      <c r="K119" s="120" t="s">
        <v>205</v>
      </c>
    </row>
    <row r="120" spans="2:14" ht="30" customHeight="1">
      <c r="B120" s="134" t="s">
        <v>238</v>
      </c>
      <c r="C120" s="168">
        <v>4083</v>
      </c>
      <c r="D120" s="125" t="s">
        <v>375</v>
      </c>
      <c r="E120" s="111" t="s">
        <v>373</v>
      </c>
      <c r="F120" s="112">
        <v>0.09</v>
      </c>
      <c r="G120" s="146"/>
      <c r="H120" s="146"/>
      <c r="I120" s="146"/>
      <c r="J120" s="117">
        <f>20.82/1.9103*1.5099*220</f>
        <v>3620.35</v>
      </c>
      <c r="K120" s="117">
        <f>J120*F120</f>
        <v>325.83</v>
      </c>
      <c r="L120" s="59"/>
      <c r="M120" s="59"/>
      <c r="N120" s="138"/>
    </row>
    <row r="121" spans="2:14" ht="30" customHeight="1">
      <c r="B121" s="134" t="s">
        <v>238</v>
      </c>
      <c r="C121" s="168">
        <v>2706</v>
      </c>
      <c r="D121" s="133" t="s">
        <v>376</v>
      </c>
      <c r="E121" s="111" t="s">
        <v>373</v>
      </c>
      <c r="F121" s="112">
        <v>0.02</v>
      </c>
      <c r="G121" s="146"/>
      <c r="H121" s="146"/>
      <c r="I121" s="146"/>
      <c r="J121" s="117">
        <f>53.43/1.9103*1.5099*220</f>
        <v>9290.83</v>
      </c>
      <c r="K121" s="117">
        <f>J121*F121</f>
        <v>185.82</v>
      </c>
      <c r="L121" s="59"/>
      <c r="M121" s="59"/>
    </row>
    <row r="122" spans="2:14" ht="30" customHeight="1">
      <c r="B122" s="126"/>
      <c r="C122" s="126"/>
      <c r="D122" s="655" t="s">
        <v>206</v>
      </c>
      <c r="E122" s="655"/>
      <c r="F122" s="655"/>
      <c r="G122" s="655"/>
      <c r="H122" s="655"/>
      <c r="I122" s="655"/>
      <c r="J122" s="655"/>
      <c r="K122" s="117">
        <f>SUM(K120:L121)</f>
        <v>511.65</v>
      </c>
      <c r="L122" s="59"/>
      <c r="M122" s="59"/>
    </row>
    <row r="123" spans="2:14" ht="30" customHeight="1">
      <c r="B123" s="126"/>
      <c r="C123" s="126"/>
      <c r="D123" s="146" t="s">
        <v>240</v>
      </c>
      <c r="E123" s="120">
        <v>1</v>
      </c>
      <c r="F123" s="655" t="s">
        <v>241</v>
      </c>
      <c r="G123" s="655"/>
      <c r="H123" s="655"/>
      <c r="I123" s="655"/>
      <c r="J123" s="655"/>
      <c r="K123" s="117">
        <f>K122+K117+K113+K109</f>
        <v>738.24</v>
      </c>
    </row>
    <row r="124" spans="2:14" ht="30" customHeight="1">
      <c r="B124" s="126"/>
      <c r="C124" s="126"/>
      <c r="D124" s="655" t="s">
        <v>17</v>
      </c>
      <c r="E124" s="655"/>
      <c r="F124" s="655"/>
      <c r="G124" s="655"/>
      <c r="H124" s="655"/>
      <c r="I124" s="655"/>
      <c r="J124" s="655"/>
      <c r="K124" s="117">
        <f>K123/E123</f>
        <v>738.24</v>
      </c>
    </row>
    <row r="125" spans="2:14" ht="30" customHeight="1">
      <c r="B125" s="126"/>
      <c r="C125" s="126"/>
      <c r="D125" s="146" t="s">
        <v>242</v>
      </c>
      <c r="E125" s="113">
        <f>'BDI''s'!$C$33</f>
        <v>24.18</v>
      </c>
      <c r="F125" s="129" t="s">
        <v>214</v>
      </c>
      <c r="G125" s="129"/>
      <c r="H125" s="129"/>
      <c r="I125" s="129"/>
      <c r="J125" s="129"/>
      <c r="K125" s="117">
        <f>E125/100*K124</f>
        <v>178.51</v>
      </c>
    </row>
    <row r="126" spans="2:14" ht="30" customHeight="1">
      <c r="B126" s="126"/>
      <c r="C126" s="126"/>
      <c r="D126" s="666" t="s">
        <v>243</v>
      </c>
      <c r="E126" s="667"/>
      <c r="F126" s="667"/>
      <c r="G126" s="667"/>
      <c r="H126" s="667"/>
      <c r="I126" s="667"/>
      <c r="J126" s="668"/>
      <c r="K126" s="117">
        <f>K125+K124</f>
        <v>916.75</v>
      </c>
      <c r="N126" s="316"/>
    </row>
    <row r="127" spans="2:14" ht="30" customHeight="1">
      <c r="B127" s="489"/>
      <c r="C127" s="489"/>
      <c r="D127" s="490" t="s">
        <v>243</v>
      </c>
      <c r="E127" s="491"/>
      <c r="F127" s="491"/>
      <c r="G127" s="491"/>
      <c r="H127" s="491"/>
      <c r="I127" s="675" t="s">
        <v>684</v>
      </c>
      <c r="J127" s="676"/>
      <c r="K127" s="426">
        <f>K126*6</f>
        <v>5500.5</v>
      </c>
      <c r="N127" s="316"/>
    </row>
    <row r="128" spans="2:14" ht="9.9499999999999993" customHeight="1">
      <c r="D128" s="170"/>
      <c r="E128" s="170"/>
      <c r="F128" s="170"/>
      <c r="G128" s="170"/>
      <c r="H128" s="170"/>
      <c r="I128" s="170"/>
      <c r="J128" s="170"/>
      <c r="K128" s="171"/>
      <c r="N128" s="114"/>
    </row>
    <row r="130" spans="2:14" s="123" customFormat="1" ht="30" customHeight="1">
      <c r="B130" s="672" t="s">
        <v>196</v>
      </c>
      <c r="C130" s="673"/>
      <c r="D130" s="674"/>
      <c r="E130" s="165" t="str">
        <f>'Planilha Orçamentária'!B52</f>
        <v>3.3.1</v>
      </c>
      <c r="F130" s="669" t="s">
        <v>197</v>
      </c>
      <c r="G130" s="670"/>
      <c r="H130" s="670"/>
      <c r="I130" s="670"/>
      <c r="J130" s="670"/>
      <c r="K130" s="671"/>
      <c r="L130" s="135" t="s">
        <v>266</v>
      </c>
      <c r="M130" s="135"/>
      <c r="N130" s="135"/>
    </row>
    <row r="131" spans="2:14" s="131" customFormat="1" ht="47.25" customHeight="1">
      <c r="B131" s="660" t="str">
        <f>B3</f>
        <v>IMPLANTAÇÃO DO SISTEMA SIMPLIFICADO DE ABASTECIMENTO DE ÁGUA BRUTA DE MARAVILHA, MUNICÍPIO DE CUSTÓDIA, EM ÁREA DE ATUAÇÃO DA CODEVASF/3ªSR</v>
      </c>
      <c r="C131" s="660"/>
      <c r="D131" s="660"/>
      <c r="E131" s="660"/>
      <c r="F131" s="660"/>
      <c r="G131" s="660"/>
      <c r="H131" s="660"/>
      <c r="I131" s="660"/>
      <c r="J131" s="653" t="s">
        <v>819</v>
      </c>
      <c r="K131" s="653"/>
      <c r="L131" s="130"/>
      <c r="M131" s="130"/>
    </row>
    <row r="132" spans="2:14" ht="30" customHeight="1">
      <c r="B132" s="654" t="s">
        <v>350</v>
      </c>
      <c r="C132" s="654"/>
      <c r="D132" s="665" t="s">
        <v>388</v>
      </c>
      <c r="E132" s="665"/>
      <c r="F132" s="665"/>
      <c r="G132" s="665"/>
      <c r="H132" s="665"/>
      <c r="I132" s="665"/>
      <c r="J132" s="125" t="s">
        <v>198</v>
      </c>
      <c r="K132" s="108" t="s">
        <v>347</v>
      </c>
    </row>
    <row r="133" spans="2:14" ht="30" customHeight="1">
      <c r="B133" s="166" t="s">
        <v>341</v>
      </c>
      <c r="C133" s="166" t="s">
        <v>237</v>
      </c>
      <c r="D133" s="167" t="s">
        <v>342</v>
      </c>
      <c r="E133" s="139" t="s">
        <v>8</v>
      </c>
      <c r="F133" s="134"/>
      <c r="G133" s="192"/>
      <c r="H133" s="658"/>
      <c r="I133" s="658"/>
      <c r="J133" s="658"/>
      <c r="K133" s="658"/>
    </row>
    <row r="134" spans="2:14" ht="30" customHeight="1">
      <c r="B134" s="126"/>
      <c r="C134" s="126"/>
      <c r="D134" s="659" t="s">
        <v>199</v>
      </c>
      <c r="E134" s="659"/>
      <c r="F134" s="659"/>
      <c r="G134" s="659"/>
      <c r="H134" s="659"/>
      <c r="I134" s="659"/>
      <c r="J134" s="659"/>
      <c r="K134" s="659"/>
    </row>
    <row r="135" spans="2:14" ht="30" customHeight="1">
      <c r="B135" s="126"/>
      <c r="C135" s="126"/>
      <c r="D135" s="191" t="s">
        <v>200</v>
      </c>
      <c r="E135" s="119" t="s">
        <v>7</v>
      </c>
      <c r="F135" s="191" t="s">
        <v>3</v>
      </c>
      <c r="G135" s="191" t="s">
        <v>201</v>
      </c>
      <c r="H135" s="191" t="s">
        <v>202</v>
      </c>
      <c r="I135" s="191" t="s">
        <v>203</v>
      </c>
      <c r="J135" s="191" t="s">
        <v>204</v>
      </c>
      <c r="K135" s="191" t="s">
        <v>205</v>
      </c>
    </row>
    <row r="136" spans="2:14" ht="45">
      <c r="B136" s="134" t="s">
        <v>238</v>
      </c>
      <c r="C136" s="168">
        <v>1445</v>
      </c>
      <c r="D136" s="192" t="s">
        <v>377</v>
      </c>
      <c r="E136" s="121" t="s">
        <v>322</v>
      </c>
      <c r="F136" s="141">
        <v>0.22</v>
      </c>
      <c r="G136" s="190"/>
      <c r="H136" s="190"/>
      <c r="I136" s="499">
        <v>3.24</v>
      </c>
      <c r="J136" s="117"/>
      <c r="K136" s="117">
        <f>I136*F136</f>
        <v>0.71</v>
      </c>
    </row>
    <row r="137" spans="2:14" ht="30">
      <c r="B137" s="134" t="s">
        <v>238</v>
      </c>
      <c r="C137" s="168">
        <v>1146</v>
      </c>
      <c r="D137" s="192" t="s">
        <v>378</v>
      </c>
      <c r="E137" s="121" t="s">
        <v>322</v>
      </c>
      <c r="F137" s="140">
        <v>1E-3</v>
      </c>
      <c r="G137" s="190"/>
      <c r="H137" s="190"/>
      <c r="I137" s="499">
        <v>75.14</v>
      </c>
      <c r="J137" s="117"/>
      <c r="K137" s="117">
        <f>I137*F137</f>
        <v>0.08</v>
      </c>
    </row>
    <row r="138" spans="2:14" ht="90">
      <c r="B138" s="134" t="s">
        <v>238</v>
      </c>
      <c r="C138" s="168">
        <v>6043</v>
      </c>
      <c r="D138" s="192" t="s">
        <v>517</v>
      </c>
      <c r="E138" s="121" t="s">
        <v>322</v>
      </c>
      <c r="F138" s="151">
        <v>1.4E-2</v>
      </c>
      <c r="G138" s="190"/>
      <c r="H138" s="190"/>
      <c r="I138" s="499">
        <v>78.3</v>
      </c>
      <c r="J138" s="117"/>
      <c r="K138" s="117">
        <f>I138*F138</f>
        <v>1.1000000000000001</v>
      </c>
    </row>
    <row r="139" spans="2:14" ht="30" customHeight="1">
      <c r="B139" s="126"/>
      <c r="C139" s="126"/>
      <c r="D139" s="655" t="s">
        <v>206</v>
      </c>
      <c r="E139" s="655"/>
      <c r="F139" s="655"/>
      <c r="G139" s="655"/>
      <c r="H139" s="655"/>
      <c r="I139" s="655"/>
      <c r="J139" s="655"/>
      <c r="K139" s="117">
        <f>SUM(K136:K138)</f>
        <v>1.89</v>
      </c>
    </row>
    <row r="140" spans="2:14" ht="30" customHeight="1">
      <c r="B140" s="126"/>
      <c r="C140" s="126"/>
      <c r="D140" s="659" t="s">
        <v>207</v>
      </c>
      <c r="E140" s="659"/>
      <c r="F140" s="659"/>
      <c r="G140" s="659"/>
      <c r="H140" s="659"/>
      <c r="I140" s="659"/>
      <c r="J140" s="659"/>
      <c r="K140" s="659"/>
    </row>
    <row r="141" spans="2:14" ht="30" customHeight="1">
      <c r="B141" s="126"/>
      <c r="C141" s="126"/>
      <c r="D141" s="120" t="s">
        <v>200</v>
      </c>
      <c r="E141" s="121" t="s">
        <v>7</v>
      </c>
      <c r="F141" s="120" t="s">
        <v>3</v>
      </c>
      <c r="G141" s="190"/>
      <c r="H141" s="190"/>
      <c r="I141" s="190"/>
      <c r="J141" s="120" t="s">
        <v>208</v>
      </c>
      <c r="K141" s="120" t="s">
        <v>205</v>
      </c>
    </row>
    <row r="142" spans="2:14" ht="30" customHeight="1">
      <c r="B142" s="134"/>
      <c r="C142" s="168"/>
      <c r="D142" s="125"/>
      <c r="E142" s="101"/>
      <c r="F142" s="102"/>
      <c r="G142" s="190"/>
      <c r="H142" s="190"/>
      <c r="I142" s="190"/>
      <c r="J142" s="120"/>
      <c r="K142" s="117">
        <f>J142*F142</f>
        <v>0</v>
      </c>
    </row>
    <row r="143" spans="2:14" ht="30" customHeight="1">
      <c r="B143" s="126"/>
      <c r="C143" s="126"/>
      <c r="D143" s="655" t="s">
        <v>206</v>
      </c>
      <c r="E143" s="655"/>
      <c r="F143" s="655"/>
      <c r="G143" s="655"/>
      <c r="H143" s="655"/>
      <c r="I143" s="655"/>
      <c r="J143" s="655"/>
      <c r="K143" s="117">
        <f>SUM(K142:K142)</f>
        <v>0</v>
      </c>
    </row>
    <row r="144" spans="2:14" ht="30" customHeight="1">
      <c r="B144" s="126"/>
      <c r="C144" s="126"/>
      <c r="D144" s="659" t="s">
        <v>209</v>
      </c>
      <c r="E144" s="659"/>
      <c r="F144" s="659"/>
      <c r="G144" s="659"/>
      <c r="H144" s="659"/>
      <c r="I144" s="659"/>
      <c r="J144" s="659"/>
      <c r="K144" s="659"/>
    </row>
    <row r="145" spans="2:16" ht="30" customHeight="1">
      <c r="B145" s="126"/>
      <c r="C145" s="126"/>
      <c r="D145" s="120" t="s">
        <v>200</v>
      </c>
      <c r="E145" s="121" t="s">
        <v>7</v>
      </c>
      <c r="F145" s="120" t="s">
        <v>3</v>
      </c>
      <c r="G145" s="190"/>
      <c r="H145" s="190"/>
      <c r="I145" s="190"/>
      <c r="J145" s="120" t="s">
        <v>208</v>
      </c>
      <c r="K145" s="120" t="s">
        <v>205</v>
      </c>
    </row>
    <row r="146" spans="2:16" ht="30" customHeight="1">
      <c r="B146" s="139"/>
      <c r="C146" s="134"/>
      <c r="D146" s="169"/>
      <c r="E146" s="128"/>
      <c r="F146" s="120"/>
      <c r="G146" s="190"/>
      <c r="H146" s="190"/>
      <c r="I146" s="190"/>
      <c r="J146" s="120"/>
      <c r="K146" s="117">
        <f>J146*F146</f>
        <v>0</v>
      </c>
    </row>
    <row r="147" spans="2:16" ht="30" customHeight="1">
      <c r="B147" s="126"/>
      <c r="C147" s="126"/>
      <c r="D147" s="655" t="s">
        <v>206</v>
      </c>
      <c r="E147" s="655"/>
      <c r="F147" s="655"/>
      <c r="G147" s="655"/>
      <c r="H147" s="655"/>
      <c r="I147" s="655"/>
      <c r="J147" s="655"/>
      <c r="K147" s="117">
        <f>K146</f>
        <v>0</v>
      </c>
    </row>
    <row r="148" spans="2:16" ht="30" customHeight="1">
      <c r="B148" s="126"/>
      <c r="C148" s="126"/>
      <c r="D148" s="659" t="s">
        <v>239</v>
      </c>
      <c r="E148" s="659"/>
      <c r="F148" s="659"/>
      <c r="G148" s="659"/>
      <c r="H148" s="659"/>
      <c r="I148" s="659"/>
      <c r="J148" s="659"/>
      <c r="K148" s="659"/>
    </row>
    <row r="149" spans="2:16" ht="30" customHeight="1">
      <c r="B149" s="126"/>
      <c r="C149" s="126"/>
      <c r="D149" s="120" t="s">
        <v>200</v>
      </c>
      <c r="E149" s="121" t="s">
        <v>7</v>
      </c>
      <c r="F149" s="120" t="s">
        <v>3</v>
      </c>
      <c r="G149" s="190"/>
      <c r="H149" s="190"/>
      <c r="I149" s="190"/>
      <c r="J149" s="120" t="s">
        <v>208</v>
      </c>
      <c r="K149" s="120" t="s">
        <v>205</v>
      </c>
    </row>
    <row r="150" spans="2:16" ht="30" customHeight="1">
      <c r="B150" s="134" t="s">
        <v>238</v>
      </c>
      <c r="C150" s="168">
        <v>6111</v>
      </c>
      <c r="D150" s="125" t="s">
        <v>346</v>
      </c>
      <c r="E150" s="121" t="s">
        <v>322</v>
      </c>
      <c r="F150" s="104">
        <v>0.6</v>
      </c>
      <c r="G150" s="190"/>
      <c r="H150" s="190"/>
      <c r="I150" s="190"/>
      <c r="J150" s="117">
        <v>7.18</v>
      </c>
      <c r="K150" s="117">
        <f>J150*F150</f>
        <v>4.3099999999999996</v>
      </c>
      <c r="L150" s="59"/>
      <c r="M150" s="59"/>
    </row>
    <row r="151" spans="2:16" ht="30" customHeight="1">
      <c r="B151" s="126"/>
      <c r="C151" s="126"/>
      <c r="D151" s="655" t="s">
        <v>206</v>
      </c>
      <c r="E151" s="655"/>
      <c r="F151" s="655"/>
      <c r="G151" s="655"/>
      <c r="H151" s="655"/>
      <c r="I151" s="655"/>
      <c r="J151" s="655"/>
      <c r="K151" s="117">
        <f>SUM(K150:L150)</f>
        <v>4.3099999999999996</v>
      </c>
      <c r="L151" s="59"/>
      <c r="M151" s="59"/>
      <c r="N151" s="143"/>
      <c r="O151" s="143"/>
    </row>
    <row r="152" spans="2:16" ht="30" customHeight="1">
      <c r="B152" s="126"/>
      <c r="C152" s="126"/>
      <c r="D152" s="190" t="s">
        <v>240</v>
      </c>
      <c r="E152" s="120">
        <v>1</v>
      </c>
      <c r="F152" s="655" t="s">
        <v>241</v>
      </c>
      <c r="G152" s="655"/>
      <c r="H152" s="655"/>
      <c r="I152" s="655"/>
      <c r="J152" s="655"/>
      <c r="K152" s="117">
        <f>K151+K147+K143+K139</f>
        <v>6.2</v>
      </c>
      <c r="P152" s="144"/>
    </row>
    <row r="153" spans="2:16" ht="30" customHeight="1">
      <c r="B153" s="126"/>
      <c r="C153" s="126"/>
      <c r="D153" s="655" t="s">
        <v>17</v>
      </c>
      <c r="E153" s="655"/>
      <c r="F153" s="655"/>
      <c r="G153" s="655"/>
      <c r="H153" s="655"/>
      <c r="I153" s="655"/>
      <c r="J153" s="655"/>
      <c r="K153" s="117">
        <f>K152/E152</f>
        <v>6.2</v>
      </c>
      <c r="N153" s="145"/>
    </row>
    <row r="154" spans="2:16" ht="30" customHeight="1">
      <c r="B154" s="126"/>
      <c r="C154" s="126"/>
      <c r="D154" s="190" t="s">
        <v>242</v>
      </c>
      <c r="E154" s="113">
        <f>'BDI''s'!$C$33</f>
        <v>24.18</v>
      </c>
      <c r="F154" s="129" t="s">
        <v>214</v>
      </c>
      <c r="G154" s="129"/>
      <c r="H154" s="129"/>
      <c r="I154" s="129"/>
      <c r="J154" s="129"/>
      <c r="K154" s="117">
        <f>E154/100*K153</f>
        <v>1.5</v>
      </c>
    </row>
    <row r="155" spans="2:16" ht="30" customHeight="1">
      <c r="B155" s="126"/>
      <c r="C155" s="126"/>
      <c r="D155" s="661" t="s">
        <v>243</v>
      </c>
      <c r="E155" s="661"/>
      <c r="F155" s="661"/>
      <c r="G155" s="661"/>
      <c r="H155" s="661"/>
      <c r="I155" s="661"/>
      <c r="J155" s="661"/>
      <c r="K155" s="492">
        <f>K154+K153</f>
        <v>7.7</v>
      </c>
    </row>
    <row r="156" spans="2:16" ht="9.9499999999999993" customHeight="1">
      <c r="D156" s="170"/>
      <c r="E156" s="170"/>
      <c r="F156" s="170"/>
      <c r="G156" s="170"/>
      <c r="H156" s="170"/>
      <c r="I156" s="170"/>
      <c r="J156" s="170"/>
      <c r="K156" s="171"/>
      <c r="N156" s="114"/>
    </row>
    <row r="158" spans="2:16" s="123" customFormat="1" ht="30" customHeight="1">
      <c r="B158" s="656" t="s">
        <v>196</v>
      </c>
      <c r="C158" s="656"/>
      <c r="D158" s="656"/>
      <c r="E158" s="165" t="str">
        <f>'Planilha Orçamentária'!B57</f>
        <v>3.4.3</v>
      </c>
      <c r="F158" s="657" t="s">
        <v>197</v>
      </c>
      <c r="G158" s="657"/>
      <c r="H158" s="657"/>
      <c r="I158" s="657"/>
      <c r="J158" s="657"/>
      <c r="K158" s="657"/>
      <c r="L158" s="135" t="s">
        <v>266</v>
      </c>
      <c r="M158" s="135"/>
      <c r="N158" s="135"/>
    </row>
    <row r="159" spans="2:16" s="131" customFormat="1" ht="47.25" customHeight="1">
      <c r="B159" s="660" t="str">
        <f>B3</f>
        <v>IMPLANTAÇÃO DO SISTEMA SIMPLIFICADO DE ABASTECIMENTO DE ÁGUA BRUTA DE MARAVILHA, MUNICÍPIO DE CUSTÓDIA, EM ÁREA DE ATUAÇÃO DA CODEVASF/3ªSR</v>
      </c>
      <c r="C159" s="660"/>
      <c r="D159" s="660"/>
      <c r="E159" s="660"/>
      <c r="F159" s="660"/>
      <c r="G159" s="660"/>
      <c r="H159" s="660"/>
      <c r="I159" s="660"/>
      <c r="J159" s="653" t="s">
        <v>819</v>
      </c>
      <c r="K159" s="653"/>
      <c r="L159" s="130"/>
      <c r="M159" s="130"/>
    </row>
    <row r="160" spans="2:16" ht="30" customHeight="1">
      <c r="B160" s="654" t="s">
        <v>350</v>
      </c>
      <c r="C160" s="654"/>
      <c r="D160" s="665" t="s">
        <v>454</v>
      </c>
      <c r="E160" s="665"/>
      <c r="F160" s="665"/>
      <c r="G160" s="665"/>
      <c r="H160" s="665"/>
      <c r="I160" s="665"/>
      <c r="J160" s="125" t="s">
        <v>198</v>
      </c>
      <c r="K160" s="119" t="s">
        <v>344</v>
      </c>
    </row>
    <row r="161" spans="2:11" ht="30" customHeight="1">
      <c r="B161" s="166" t="s">
        <v>341</v>
      </c>
      <c r="C161" s="166" t="s">
        <v>237</v>
      </c>
      <c r="D161" s="167" t="s">
        <v>342</v>
      </c>
      <c r="E161" s="139" t="s">
        <v>8</v>
      </c>
      <c r="F161" s="134"/>
      <c r="G161" s="192"/>
      <c r="H161" s="658"/>
      <c r="I161" s="658"/>
      <c r="J161" s="658"/>
      <c r="K161" s="658"/>
    </row>
    <row r="162" spans="2:11" ht="30" customHeight="1">
      <c r="B162" s="126"/>
      <c r="C162" s="126"/>
      <c r="D162" s="659" t="s">
        <v>199</v>
      </c>
      <c r="E162" s="659"/>
      <c r="F162" s="659"/>
      <c r="G162" s="659"/>
      <c r="H162" s="659"/>
      <c r="I162" s="659"/>
      <c r="J162" s="659"/>
      <c r="K162" s="659"/>
    </row>
    <row r="163" spans="2:11" ht="30" customHeight="1">
      <c r="B163" s="126"/>
      <c r="C163" s="126"/>
      <c r="D163" s="191" t="s">
        <v>200</v>
      </c>
      <c r="E163" s="119" t="s">
        <v>7</v>
      </c>
      <c r="F163" s="191" t="s">
        <v>3</v>
      </c>
      <c r="G163" s="191" t="s">
        <v>201</v>
      </c>
      <c r="H163" s="191" t="s">
        <v>202</v>
      </c>
      <c r="I163" s="191" t="s">
        <v>203</v>
      </c>
      <c r="J163" s="191" t="s">
        <v>204</v>
      </c>
      <c r="K163" s="191" t="s">
        <v>205</v>
      </c>
    </row>
    <row r="164" spans="2:11" ht="30">
      <c r="B164" s="134" t="s">
        <v>238</v>
      </c>
      <c r="C164" s="168">
        <v>1146</v>
      </c>
      <c r="D164" s="192" t="s">
        <v>378</v>
      </c>
      <c r="E164" s="109" t="s">
        <v>322</v>
      </c>
      <c r="F164" s="153">
        <v>1E-3</v>
      </c>
      <c r="G164" s="190"/>
      <c r="H164" s="190"/>
      <c r="I164" s="117">
        <v>75.14</v>
      </c>
      <c r="J164" s="126"/>
      <c r="K164" s="117">
        <f>I164*F164</f>
        <v>0.08</v>
      </c>
    </row>
    <row r="165" spans="2:11" ht="30">
      <c r="B165" s="134" t="s">
        <v>238</v>
      </c>
      <c r="C165" s="168">
        <v>10753</v>
      </c>
      <c r="D165" s="169" t="s">
        <v>391</v>
      </c>
      <c r="E165" s="109" t="s">
        <v>322</v>
      </c>
      <c r="F165" s="154">
        <v>0.01</v>
      </c>
      <c r="G165" s="190"/>
      <c r="H165" s="190"/>
      <c r="I165" s="117">
        <v>1.3</v>
      </c>
      <c r="J165" s="126"/>
      <c r="K165" s="117">
        <f>I165*F165</f>
        <v>0.01</v>
      </c>
    </row>
    <row r="166" spans="2:11" ht="30" customHeight="1">
      <c r="B166" s="126"/>
      <c r="C166" s="126"/>
      <c r="D166" s="655" t="s">
        <v>206</v>
      </c>
      <c r="E166" s="655"/>
      <c r="F166" s="655"/>
      <c r="G166" s="655"/>
      <c r="H166" s="655"/>
      <c r="I166" s="655"/>
      <c r="J166" s="655"/>
      <c r="K166" s="117">
        <f>SUM(K164:K165)</f>
        <v>0.09</v>
      </c>
    </row>
    <row r="167" spans="2:11" ht="30" customHeight="1">
      <c r="B167" s="126"/>
      <c r="C167" s="126"/>
      <c r="D167" s="659" t="s">
        <v>207</v>
      </c>
      <c r="E167" s="659"/>
      <c r="F167" s="659"/>
      <c r="G167" s="659"/>
      <c r="H167" s="659"/>
      <c r="I167" s="659"/>
      <c r="J167" s="659"/>
      <c r="K167" s="659"/>
    </row>
    <row r="168" spans="2:11" ht="30" customHeight="1">
      <c r="B168" s="126"/>
      <c r="C168" s="126"/>
      <c r="D168" s="120" t="s">
        <v>200</v>
      </c>
      <c r="E168" s="121" t="s">
        <v>7</v>
      </c>
      <c r="F168" s="120" t="s">
        <v>3</v>
      </c>
      <c r="G168" s="190"/>
      <c r="H168" s="190"/>
      <c r="I168" s="190"/>
      <c r="J168" s="120" t="s">
        <v>208</v>
      </c>
      <c r="K168" s="120" t="s">
        <v>205</v>
      </c>
    </row>
    <row r="169" spans="2:11" ht="30" customHeight="1">
      <c r="B169" s="134"/>
      <c r="C169" s="168"/>
      <c r="D169" s="133"/>
      <c r="E169" s="110"/>
      <c r="F169" s="152"/>
      <c r="G169" s="190"/>
      <c r="H169" s="190"/>
      <c r="I169" s="190"/>
      <c r="J169" s="120"/>
      <c r="K169" s="117">
        <f>J169*F169</f>
        <v>0</v>
      </c>
    </row>
    <row r="170" spans="2:11" ht="30" customHeight="1">
      <c r="B170" s="126"/>
      <c r="C170" s="126"/>
      <c r="D170" s="655" t="s">
        <v>206</v>
      </c>
      <c r="E170" s="655"/>
      <c r="F170" s="655"/>
      <c r="G170" s="655"/>
      <c r="H170" s="655"/>
      <c r="I170" s="655"/>
      <c r="J170" s="655"/>
      <c r="K170" s="117">
        <f>SUM(K169:K169)</f>
        <v>0</v>
      </c>
    </row>
    <row r="171" spans="2:11" ht="30" customHeight="1">
      <c r="B171" s="126"/>
      <c r="C171" s="126"/>
      <c r="D171" s="659" t="s">
        <v>209</v>
      </c>
      <c r="E171" s="659"/>
      <c r="F171" s="659"/>
      <c r="G171" s="659"/>
      <c r="H171" s="659"/>
      <c r="I171" s="659"/>
      <c r="J171" s="659"/>
      <c r="K171" s="659"/>
    </row>
    <row r="172" spans="2:11" ht="30" customHeight="1">
      <c r="B172" s="126"/>
      <c r="C172" s="126"/>
      <c r="D172" s="120" t="s">
        <v>200</v>
      </c>
      <c r="E172" s="121" t="s">
        <v>7</v>
      </c>
      <c r="F172" s="120" t="s">
        <v>3</v>
      </c>
      <c r="G172" s="190"/>
      <c r="H172" s="190"/>
      <c r="I172" s="190"/>
      <c r="J172" s="120" t="s">
        <v>208</v>
      </c>
      <c r="K172" s="120" t="s">
        <v>205</v>
      </c>
    </row>
    <row r="173" spans="2:11" ht="30" customHeight="1">
      <c r="B173" s="139"/>
      <c r="C173" s="134"/>
      <c r="D173" s="169"/>
      <c r="E173" s="128"/>
      <c r="F173" s="120"/>
      <c r="G173" s="190"/>
      <c r="H173" s="190"/>
      <c r="I173" s="190"/>
      <c r="J173" s="120"/>
      <c r="K173" s="117">
        <f>J173*F173</f>
        <v>0</v>
      </c>
    </row>
    <row r="174" spans="2:11" ht="30" customHeight="1">
      <c r="B174" s="126"/>
      <c r="C174" s="126"/>
      <c r="D174" s="655" t="s">
        <v>206</v>
      </c>
      <c r="E174" s="655"/>
      <c r="F174" s="655"/>
      <c r="G174" s="655"/>
      <c r="H174" s="655"/>
      <c r="I174" s="655"/>
      <c r="J174" s="655"/>
      <c r="K174" s="117">
        <f>K173</f>
        <v>0</v>
      </c>
    </row>
    <row r="175" spans="2:11" ht="30" customHeight="1">
      <c r="B175" s="126"/>
      <c r="C175" s="126"/>
      <c r="D175" s="659" t="s">
        <v>239</v>
      </c>
      <c r="E175" s="659"/>
      <c r="F175" s="659"/>
      <c r="G175" s="659"/>
      <c r="H175" s="659"/>
      <c r="I175" s="659"/>
      <c r="J175" s="659"/>
      <c r="K175" s="659"/>
    </row>
    <row r="176" spans="2:11" ht="30" customHeight="1">
      <c r="B176" s="126"/>
      <c r="C176" s="126"/>
      <c r="D176" s="120" t="s">
        <v>200</v>
      </c>
      <c r="E176" s="121" t="s">
        <v>7</v>
      </c>
      <c r="F176" s="120" t="s">
        <v>3</v>
      </c>
      <c r="G176" s="190"/>
      <c r="H176" s="190"/>
      <c r="I176" s="190"/>
      <c r="J176" s="120" t="s">
        <v>208</v>
      </c>
      <c r="K176" s="120" t="s">
        <v>205</v>
      </c>
    </row>
    <row r="177" spans="2:15" ht="30" customHeight="1">
      <c r="B177" s="134" t="s">
        <v>238</v>
      </c>
      <c r="C177" s="168">
        <v>2696</v>
      </c>
      <c r="D177" s="168" t="s">
        <v>371</v>
      </c>
      <c r="E177" s="121" t="s">
        <v>322</v>
      </c>
      <c r="F177" s="103">
        <v>1.7000000000000001E-2</v>
      </c>
      <c r="G177" s="190"/>
      <c r="H177" s="190"/>
      <c r="I177" s="190"/>
      <c r="J177" s="117">
        <v>9.5299999999999994</v>
      </c>
      <c r="K177" s="117">
        <f>J177*F177</f>
        <v>0.16</v>
      </c>
    </row>
    <row r="178" spans="2:15" ht="30" customHeight="1">
      <c r="B178" s="134" t="s">
        <v>238</v>
      </c>
      <c r="C178" s="168">
        <v>246</v>
      </c>
      <c r="D178" s="168" t="s">
        <v>680</v>
      </c>
      <c r="E178" s="121" t="s">
        <v>322</v>
      </c>
      <c r="F178" s="103">
        <v>1.7000000000000001E-2</v>
      </c>
      <c r="G178" s="190"/>
      <c r="H178" s="190"/>
      <c r="I178" s="190"/>
      <c r="J178" s="117">
        <v>7.16</v>
      </c>
      <c r="K178" s="117">
        <f>J178*F178</f>
        <v>0.12</v>
      </c>
      <c r="L178" s="59"/>
      <c r="M178" s="59"/>
    </row>
    <row r="179" spans="2:15" ht="30" customHeight="1">
      <c r="B179" s="126"/>
      <c r="C179" s="126"/>
      <c r="D179" s="655" t="s">
        <v>206</v>
      </c>
      <c r="E179" s="655"/>
      <c r="F179" s="655"/>
      <c r="G179" s="655"/>
      <c r="H179" s="655"/>
      <c r="I179" s="655"/>
      <c r="J179" s="655"/>
      <c r="K179" s="117">
        <f>SUM(K177:L178)</f>
        <v>0.28000000000000003</v>
      </c>
      <c r="L179" s="59"/>
      <c r="M179" s="59"/>
    </row>
    <row r="180" spans="2:15" ht="30" customHeight="1">
      <c r="B180" s="126"/>
      <c r="C180" s="126"/>
      <c r="D180" s="190" t="s">
        <v>240</v>
      </c>
      <c r="E180" s="120">
        <v>1</v>
      </c>
      <c r="F180" s="655" t="s">
        <v>241</v>
      </c>
      <c r="G180" s="655"/>
      <c r="H180" s="655"/>
      <c r="I180" s="655"/>
      <c r="J180" s="655"/>
      <c r="K180" s="117">
        <f>K179+K174+K170+K166</f>
        <v>0.37</v>
      </c>
      <c r="N180" s="59" t="s">
        <v>334</v>
      </c>
      <c r="O180" s="59">
        <v>215.35</v>
      </c>
    </row>
    <row r="181" spans="2:15" ht="30" customHeight="1">
      <c r="B181" s="126"/>
      <c r="C181" s="126"/>
      <c r="D181" s="655" t="s">
        <v>17</v>
      </c>
      <c r="E181" s="655"/>
      <c r="F181" s="655"/>
      <c r="G181" s="655"/>
      <c r="H181" s="655"/>
      <c r="I181" s="655"/>
      <c r="J181" s="655"/>
      <c r="K181" s="117">
        <f>K180/E180</f>
        <v>0.37</v>
      </c>
    </row>
    <row r="182" spans="2:15" ht="30" customHeight="1">
      <c r="B182" s="126"/>
      <c r="C182" s="126"/>
      <c r="D182" s="190" t="s">
        <v>242</v>
      </c>
      <c r="E182" s="113">
        <f>'BDI''s'!$C$33</f>
        <v>24.18</v>
      </c>
      <c r="F182" s="129" t="s">
        <v>214</v>
      </c>
      <c r="G182" s="129"/>
      <c r="H182" s="129"/>
      <c r="I182" s="129"/>
      <c r="J182" s="129"/>
      <c r="K182" s="117">
        <f>E182/100*K181</f>
        <v>0.09</v>
      </c>
    </row>
    <row r="183" spans="2:15" ht="30" customHeight="1">
      <c r="B183" s="126"/>
      <c r="C183" s="126"/>
      <c r="D183" s="661" t="s">
        <v>243</v>
      </c>
      <c r="E183" s="661"/>
      <c r="F183" s="661"/>
      <c r="G183" s="661"/>
      <c r="H183" s="661"/>
      <c r="I183" s="661"/>
      <c r="J183" s="661"/>
      <c r="K183" s="492">
        <f>K182+K181</f>
        <v>0.46</v>
      </c>
      <c r="N183" s="107" t="s">
        <v>333</v>
      </c>
    </row>
  </sheetData>
  <mergeCells count="109">
    <mergeCell ref="B158:D158"/>
    <mergeCell ref="F158:K158"/>
    <mergeCell ref="B159:I159"/>
    <mergeCell ref="J159:K159"/>
    <mergeCell ref="F180:J180"/>
    <mergeCell ref="D181:J181"/>
    <mergeCell ref="D155:J155"/>
    <mergeCell ref="D147:J147"/>
    <mergeCell ref="D148:K148"/>
    <mergeCell ref="D151:J151"/>
    <mergeCell ref="F152:J152"/>
    <mergeCell ref="D153:J153"/>
    <mergeCell ref="D183:J183"/>
    <mergeCell ref="D170:J170"/>
    <mergeCell ref="D171:K171"/>
    <mergeCell ref="D174:J174"/>
    <mergeCell ref="D175:K175"/>
    <mergeCell ref="D179:J179"/>
    <mergeCell ref="B160:C160"/>
    <mergeCell ref="D160:I160"/>
    <mergeCell ref="H161:K161"/>
    <mergeCell ref="D162:K162"/>
    <mergeCell ref="D166:J166"/>
    <mergeCell ref="D167:K167"/>
    <mergeCell ref="H133:K133"/>
    <mergeCell ref="D134:K134"/>
    <mergeCell ref="D139:J139"/>
    <mergeCell ref="D140:K140"/>
    <mergeCell ref="D143:J143"/>
    <mergeCell ref="D144:K144"/>
    <mergeCell ref="B131:I131"/>
    <mergeCell ref="J131:K131"/>
    <mergeCell ref="B132:C132"/>
    <mergeCell ref="D132:I132"/>
    <mergeCell ref="D126:J126"/>
    <mergeCell ref="D117:J117"/>
    <mergeCell ref="D118:K118"/>
    <mergeCell ref="D124:J124"/>
    <mergeCell ref="D122:J122"/>
    <mergeCell ref="D67:J67"/>
    <mergeCell ref="B102:D102"/>
    <mergeCell ref="F130:K130"/>
    <mergeCell ref="B130:D130"/>
    <mergeCell ref="I127:J127"/>
    <mergeCell ref="D114:K114"/>
    <mergeCell ref="D113:J113"/>
    <mergeCell ref="D110:K110"/>
    <mergeCell ref="F123:J123"/>
    <mergeCell ref="F102:K102"/>
    <mergeCell ref="D87:K87"/>
    <mergeCell ref="D90:J90"/>
    <mergeCell ref="D91:K91"/>
    <mergeCell ref="D95:J95"/>
    <mergeCell ref="J103:K103"/>
    <mergeCell ref="D68:K68"/>
    <mergeCell ref="D86:J86"/>
    <mergeCell ref="F96:J96"/>
    <mergeCell ref="D97:J97"/>
    <mergeCell ref="D109:J109"/>
    <mergeCell ref="D45:J45"/>
    <mergeCell ref="B103:I103"/>
    <mergeCell ref="D106:K106"/>
    <mergeCell ref="D6:K6"/>
    <mergeCell ref="D12:J12"/>
    <mergeCell ref="D13:K13"/>
    <mergeCell ref="D16:J16"/>
    <mergeCell ref="D28:J28"/>
    <mergeCell ref="H105:K105"/>
    <mergeCell ref="D50:K50"/>
    <mergeCell ref="D53:J53"/>
    <mergeCell ref="D46:K46"/>
    <mergeCell ref="D49:J49"/>
    <mergeCell ref="F54:J54"/>
    <mergeCell ref="D33:I33"/>
    <mergeCell ref="H63:K63"/>
    <mergeCell ref="D99:J99"/>
    <mergeCell ref="D64:K64"/>
    <mergeCell ref="B104:C104"/>
    <mergeCell ref="D104:I104"/>
    <mergeCell ref="B62:C62"/>
    <mergeCell ref="D62:I62"/>
    <mergeCell ref="B61:I61"/>
    <mergeCell ref="B4:C4"/>
    <mergeCell ref="D21:K21"/>
    <mergeCell ref="B2:D2"/>
    <mergeCell ref="F2:K2"/>
    <mergeCell ref="B3:I3"/>
    <mergeCell ref="D4:I4"/>
    <mergeCell ref="D17:K17"/>
    <mergeCell ref="D26:J26"/>
    <mergeCell ref="D24:J24"/>
    <mergeCell ref="J3:K3"/>
    <mergeCell ref="H5:K5"/>
    <mergeCell ref="D20:J20"/>
    <mergeCell ref="J61:K61"/>
    <mergeCell ref="B33:C33"/>
    <mergeCell ref="F25:J25"/>
    <mergeCell ref="B60:D60"/>
    <mergeCell ref="F60:K60"/>
    <mergeCell ref="H34:K34"/>
    <mergeCell ref="D35:K35"/>
    <mergeCell ref="D41:J41"/>
    <mergeCell ref="D42:K42"/>
    <mergeCell ref="B32:I32"/>
    <mergeCell ref="J32:K32"/>
    <mergeCell ref="D55:J55"/>
    <mergeCell ref="D57:J57"/>
    <mergeCell ref="B31:D31"/>
    <mergeCell ref="F31:K31"/>
  </mergeCells>
  <phoneticPr fontId="9" type="noConversion"/>
  <printOptions horizontalCentered="1"/>
  <pageMargins left="0.11811023622047245" right="0" top="0.78740157480314965" bottom="0" header="0.11811023622047245" footer="0"/>
  <pageSetup paperSize="9" scale="45" orientation="portrait" r:id="rId1"/>
  <rowBreaks count="5" manualBreakCount="5">
    <brk id="29" max="12" man="1"/>
    <brk id="58" max="12" man="1"/>
    <brk id="100" max="12" man="1"/>
    <brk id="128" max="12" man="1"/>
    <brk id="156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559"/>
  <sheetViews>
    <sheetView view="pageBreakPreview" zoomScale="90" zoomScaleNormal="100" zoomScaleSheetLayoutView="90" workbookViewId="0"/>
  </sheetViews>
  <sheetFormatPr defaultRowHeight="12.75"/>
  <cols>
    <col min="1" max="1" width="3.85546875" style="335" customWidth="1"/>
    <col min="2" max="2" width="52.140625" style="335" customWidth="1"/>
    <col min="3" max="3" width="11.140625" style="357" customWidth="1"/>
    <col min="4" max="4" width="11.28515625" style="357" customWidth="1"/>
    <col min="5" max="5" width="9" style="335" customWidth="1"/>
    <col min="6" max="6" width="9.28515625" style="335" customWidth="1"/>
    <col min="7" max="7" width="10.85546875" style="335" customWidth="1"/>
    <col min="8" max="8" width="10.42578125" style="335" customWidth="1"/>
    <col min="9" max="9" width="12" style="357" customWidth="1"/>
    <col min="10" max="10" width="7.140625" style="335" customWidth="1"/>
    <col min="11" max="11" width="9.140625" style="335"/>
    <col min="12" max="12" width="9.42578125" style="335" bestFit="1" customWidth="1"/>
    <col min="13" max="16384" width="9.140625" style="335"/>
  </cols>
  <sheetData>
    <row r="1" spans="2:10" ht="13.5" thickBot="1">
      <c r="B1" s="607"/>
      <c r="C1" s="606"/>
      <c r="D1" s="606"/>
      <c r="E1" s="607"/>
      <c r="F1" s="607"/>
      <c r="G1" s="607"/>
      <c r="H1" s="607"/>
      <c r="I1" s="606"/>
    </row>
    <row r="2" spans="2:10" s="329" customFormat="1" ht="30" customHeight="1">
      <c r="B2" s="530" t="s">
        <v>8</v>
      </c>
      <c r="C2" s="529" t="str">
        <f>'Planilha Orçamentária'!B19</f>
        <v>2.1.1</v>
      </c>
      <c r="D2" s="686" t="s">
        <v>197</v>
      </c>
      <c r="E2" s="686"/>
      <c r="F2" s="686"/>
      <c r="G2" s="686"/>
      <c r="H2" s="686"/>
      <c r="I2" s="686"/>
    </row>
    <row r="3" spans="2:10" s="329" customFormat="1" ht="30" customHeight="1">
      <c r="B3" s="680" t="s">
        <v>566</v>
      </c>
      <c r="C3" s="681"/>
      <c r="D3" s="681"/>
      <c r="E3" s="681"/>
      <c r="F3" s="681"/>
      <c r="G3" s="682"/>
      <c r="H3" s="677" t="s">
        <v>819</v>
      </c>
      <c r="I3" s="678"/>
    </row>
    <row r="4" spans="2:10" s="329" customFormat="1" ht="30" customHeight="1">
      <c r="B4" s="694" t="s">
        <v>817</v>
      </c>
      <c r="C4" s="694"/>
      <c r="D4" s="694"/>
      <c r="E4" s="694"/>
      <c r="F4" s="694"/>
      <c r="G4" s="694"/>
      <c r="H4" s="330" t="s">
        <v>198</v>
      </c>
      <c r="I4" s="331" t="s">
        <v>567</v>
      </c>
    </row>
    <row r="5" spans="2:10" s="329" customFormat="1" ht="30" customHeight="1">
      <c r="B5" s="683" t="s">
        <v>199</v>
      </c>
      <c r="C5" s="683"/>
      <c r="D5" s="683"/>
      <c r="E5" s="683"/>
      <c r="F5" s="683"/>
      <c r="G5" s="683"/>
      <c r="H5" s="683"/>
      <c r="I5" s="683"/>
    </row>
    <row r="6" spans="2:10" ht="25.5">
      <c r="B6" s="541" t="s">
        <v>200</v>
      </c>
      <c r="C6" s="354" t="s">
        <v>7</v>
      </c>
      <c r="D6" s="338" t="s">
        <v>3</v>
      </c>
      <c r="E6" s="338" t="s">
        <v>201</v>
      </c>
      <c r="F6" s="338" t="s">
        <v>202</v>
      </c>
      <c r="G6" s="333" t="s">
        <v>203</v>
      </c>
      <c r="H6" s="333" t="s">
        <v>204</v>
      </c>
      <c r="I6" s="343" t="s">
        <v>205</v>
      </c>
    </row>
    <row r="7" spans="2:10" ht="15.95" customHeight="1">
      <c r="B7" s="605" t="s">
        <v>816</v>
      </c>
      <c r="C7" s="358" t="s">
        <v>19</v>
      </c>
      <c r="D7" s="359">
        <v>4</v>
      </c>
      <c r="E7" s="500">
        <v>1</v>
      </c>
      <c r="F7" s="500"/>
      <c r="G7" s="524">
        <f>'Insumos poços'!E36</f>
        <v>3.17</v>
      </c>
      <c r="H7" s="500"/>
      <c r="I7" s="501">
        <f>D7*E7*G7+D7*F7*H7</f>
        <v>12.68</v>
      </c>
      <c r="J7" s="352"/>
    </row>
    <row r="8" spans="2:10" ht="15.95" customHeight="1">
      <c r="B8" s="336" t="s">
        <v>815</v>
      </c>
      <c r="C8" s="355" t="s">
        <v>19</v>
      </c>
      <c r="D8" s="355">
        <f>D7</f>
        <v>4</v>
      </c>
      <c r="E8" s="339">
        <v>1</v>
      </c>
      <c r="F8" s="339"/>
      <c r="G8" s="524">
        <f>'Insumos poços'!E30</f>
        <v>8.6300000000000008</v>
      </c>
      <c r="H8" s="338"/>
      <c r="I8" s="501">
        <f>D8*E8*G8+D8*F8*H8</f>
        <v>34.520000000000003</v>
      </c>
    </row>
    <row r="9" spans="2:10" ht="15.95" customHeight="1">
      <c r="B9" s="684" t="s">
        <v>206</v>
      </c>
      <c r="C9" s="684"/>
      <c r="D9" s="684"/>
      <c r="E9" s="684"/>
      <c r="F9" s="684"/>
      <c r="G9" s="684"/>
      <c r="H9" s="684"/>
      <c r="I9" s="523">
        <f>SUM(I7:I8)</f>
        <v>47.2</v>
      </c>
    </row>
    <row r="10" spans="2:10" s="329" customFormat="1" ht="30" customHeight="1">
      <c r="B10" s="683" t="s">
        <v>207</v>
      </c>
      <c r="C10" s="683"/>
      <c r="D10" s="683"/>
      <c r="E10" s="683"/>
      <c r="F10" s="683"/>
      <c r="G10" s="683"/>
      <c r="H10" s="683"/>
      <c r="I10" s="683"/>
    </row>
    <row r="11" spans="2:10" ht="15.95" customHeight="1">
      <c r="B11" s="556" t="s">
        <v>200</v>
      </c>
      <c r="C11" s="528" t="s">
        <v>7</v>
      </c>
      <c r="D11" s="339" t="s">
        <v>3</v>
      </c>
      <c r="E11" s="340"/>
      <c r="F11" s="340"/>
      <c r="G11" s="340"/>
      <c r="H11" s="339" t="s">
        <v>208</v>
      </c>
      <c r="I11" s="341" t="s">
        <v>205</v>
      </c>
    </row>
    <row r="12" spans="2:10" ht="15.95" customHeight="1">
      <c r="B12" s="336" t="s">
        <v>814</v>
      </c>
      <c r="C12" s="337" t="s">
        <v>572</v>
      </c>
      <c r="D12" s="508">
        <v>60</v>
      </c>
      <c r="E12" s="338"/>
      <c r="F12" s="338"/>
      <c r="G12" s="500"/>
      <c r="H12" s="524">
        <f>'Insumos poços'!E41</f>
        <v>2.97</v>
      </c>
      <c r="I12" s="501">
        <f>H12*D12</f>
        <v>178.2</v>
      </c>
    </row>
    <row r="13" spans="2:10" ht="15.95" customHeight="1">
      <c r="B13" s="692" t="s">
        <v>206</v>
      </c>
      <c r="C13" s="692"/>
      <c r="D13" s="692"/>
      <c r="E13" s="692"/>
      <c r="F13" s="692"/>
      <c r="G13" s="692"/>
      <c r="H13" s="692"/>
      <c r="I13" s="343">
        <f>SUM(I12:I12)</f>
        <v>178.2</v>
      </c>
    </row>
    <row r="14" spans="2:10" s="329" customFormat="1" ht="30" customHeight="1">
      <c r="B14" s="683" t="s">
        <v>209</v>
      </c>
      <c r="C14" s="683"/>
      <c r="D14" s="683"/>
      <c r="E14" s="683"/>
      <c r="F14" s="683"/>
      <c r="G14" s="683"/>
      <c r="H14" s="683"/>
      <c r="I14" s="683"/>
    </row>
    <row r="15" spans="2:10" ht="15.95" customHeight="1">
      <c r="B15" s="342" t="s">
        <v>200</v>
      </c>
      <c r="C15" s="528" t="s">
        <v>7</v>
      </c>
      <c r="D15" s="338" t="s">
        <v>3</v>
      </c>
      <c r="E15" s="509"/>
      <c r="F15" s="509"/>
      <c r="G15" s="509"/>
      <c r="H15" s="338" t="s">
        <v>208</v>
      </c>
      <c r="I15" s="341" t="s">
        <v>205</v>
      </c>
    </row>
    <row r="16" spans="2:10" ht="15.95" customHeight="1">
      <c r="B16" s="542"/>
      <c r="C16" s="338"/>
      <c r="D16" s="338"/>
      <c r="E16" s="509"/>
      <c r="F16" s="509"/>
      <c r="G16" s="509"/>
      <c r="H16" s="338"/>
      <c r="I16" s="343">
        <f>D16*H16</f>
        <v>0</v>
      </c>
    </row>
    <row r="17" spans="2:9" ht="15.95" customHeight="1">
      <c r="B17" s="692" t="s">
        <v>206</v>
      </c>
      <c r="C17" s="692"/>
      <c r="D17" s="692"/>
      <c r="E17" s="692"/>
      <c r="F17" s="692"/>
      <c r="G17" s="692"/>
      <c r="H17" s="692"/>
      <c r="I17" s="343">
        <f>SUM(I16:I16)</f>
        <v>0</v>
      </c>
    </row>
    <row r="18" spans="2:9" s="329" customFormat="1" ht="30" customHeight="1">
      <c r="B18" s="683" t="s">
        <v>239</v>
      </c>
      <c r="C18" s="683"/>
      <c r="D18" s="683"/>
      <c r="E18" s="683"/>
      <c r="F18" s="683"/>
      <c r="G18" s="683"/>
      <c r="H18" s="683"/>
      <c r="I18" s="683"/>
    </row>
    <row r="19" spans="2:9" ht="15.95" customHeight="1">
      <c r="B19" s="556" t="s">
        <v>200</v>
      </c>
      <c r="C19" s="360" t="s">
        <v>7</v>
      </c>
      <c r="D19" s="339" t="s">
        <v>3</v>
      </c>
      <c r="E19" s="340"/>
      <c r="F19" s="340"/>
      <c r="G19" s="340"/>
      <c r="H19" s="339" t="s">
        <v>208</v>
      </c>
      <c r="I19" s="341" t="s">
        <v>205</v>
      </c>
    </row>
    <row r="20" spans="2:9" ht="15.95" customHeight="1">
      <c r="B20" s="525" t="s">
        <v>813</v>
      </c>
      <c r="C20" s="528" t="s">
        <v>19</v>
      </c>
      <c r="D20" s="339">
        <f>D8</f>
        <v>4</v>
      </c>
      <c r="E20" s="340"/>
      <c r="F20" s="340"/>
      <c r="G20" s="340"/>
      <c r="H20" s="537">
        <f>'Insumos poços'!E11</f>
        <v>67.290000000000006</v>
      </c>
      <c r="I20" s="341">
        <f>H20*D20</f>
        <v>269.16000000000003</v>
      </c>
    </row>
    <row r="21" spans="2:9" ht="15.95" customHeight="1">
      <c r="B21" s="525" t="s">
        <v>568</v>
      </c>
      <c r="C21" s="528" t="s">
        <v>19</v>
      </c>
      <c r="D21" s="339">
        <f>D20</f>
        <v>4</v>
      </c>
      <c r="E21" s="340"/>
      <c r="F21" s="340"/>
      <c r="G21" s="340"/>
      <c r="H21" s="537">
        <f>'Insumos poços'!E13</f>
        <v>7.18</v>
      </c>
      <c r="I21" s="341">
        <f>H21*D21</f>
        <v>28.72</v>
      </c>
    </row>
    <row r="22" spans="2:9" ht="15.95" customHeight="1">
      <c r="B22" s="690" t="s">
        <v>771</v>
      </c>
      <c r="C22" s="690"/>
      <c r="D22" s="690"/>
      <c r="E22" s="690"/>
      <c r="F22" s="690"/>
      <c r="G22" s="690"/>
      <c r="H22" s="690"/>
      <c r="I22" s="343"/>
    </row>
    <row r="23" spans="2:9" ht="15.95" customHeight="1">
      <c r="B23" s="692" t="s">
        <v>206</v>
      </c>
      <c r="C23" s="692"/>
      <c r="D23" s="692"/>
      <c r="E23" s="692"/>
      <c r="F23" s="692"/>
      <c r="G23" s="692"/>
      <c r="H23" s="692"/>
      <c r="I23" s="523">
        <f>SUM(I20:I22)</f>
        <v>297.88</v>
      </c>
    </row>
    <row r="24" spans="2:9" ht="15.95" customHeight="1">
      <c r="B24" s="532" t="s">
        <v>240</v>
      </c>
      <c r="C24" s="353">
        <v>1</v>
      </c>
      <c r="D24" s="687" t="s">
        <v>241</v>
      </c>
      <c r="E24" s="688"/>
      <c r="F24" s="688"/>
      <c r="G24" s="688"/>
      <c r="H24" s="689"/>
      <c r="I24" s="523">
        <f>I23+I17+I13+I9</f>
        <v>523.28</v>
      </c>
    </row>
    <row r="25" spans="2:9" ht="15.95" customHeight="1">
      <c r="B25" s="697"/>
      <c r="C25" s="698"/>
      <c r="D25" s="698"/>
      <c r="E25" s="698"/>
      <c r="F25" s="698"/>
      <c r="G25" s="698"/>
      <c r="H25" s="699"/>
      <c r="I25" s="523">
        <f>I24/C24</f>
        <v>523.28</v>
      </c>
    </row>
    <row r="26" spans="2:9" ht="15.95" customHeight="1">
      <c r="B26" s="346" t="s">
        <v>569</v>
      </c>
      <c r="C26" s="347">
        <f>'BDI''s'!$C$33</f>
        <v>24.18</v>
      </c>
      <c r="D26" s="348" t="s">
        <v>214</v>
      </c>
      <c r="E26" s="349"/>
      <c r="F26" s="349"/>
      <c r="G26" s="349"/>
      <c r="H26" s="350"/>
      <c r="I26" s="343">
        <f>C26/100*I25</f>
        <v>126.53</v>
      </c>
    </row>
    <row r="27" spans="2:9" s="329" customFormat="1" ht="30" customHeight="1" thickBot="1">
      <c r="B27" s="685" t="s">
        <v>243</v>
      </c>
      <c r="C27" s="685"/>
      <c r="D27" s="685"/>
      <c r="E27" s="685"/>
      <c r="F27" s="685"/>
      <c r="G27" s="685"/>
      <c r="H27" s="685"/>
      <c r="I27" s="604">
        <f>SUM(I25:I26)</f>
        <v>649.80999999999995</v>
      </c>
    </row>
    <row r="28" spans="2:9" ht="13.5" thickBot="1"/>
    <row r="29" spans="2:9" s="329" customFormat="1" ht="30" customHeight="1">
      <c r="B29" s="603" t="s">
        <v>8</v>
      </c>
      <c r="C29" s="529" t="str">
        <f>'Planilha Orçamentária'!B20</f>
        <v>2.1.2</v>
      </c>
      <c r="D29" s="700" t="s">
        <v>197</v>
      </c>
      <c r="E29" s="700"/>
      <c r="F29" s="700"/>
      <c r="G29" s="700"/>
      <c r="H29" s="700"/>
      <c r="I29" s="700"/>
    </row>
    <row r="30" spans="2:9" s="329" customFormat="1" ht="30" customHeight="1">
      <c r="B30" s="680" t="s">
        <v>566</v>
      </c>
      <c r="C30" s="681"/>
      <c r="D30" s="681"/>
      <c r="E30" s="681"/>
      <c r="F30" s="681"/>
      <c r="G30" s="682"/>
      <c r="H30" s="677" t="s">
        <v>819</v>
      </c>
      <c r="I30" s="678"/>
    </row>
    <row r="31" spans="2:9" s="329" customFormat="1" ht="30" customHeight="1">
      <c r="B31" s="702" t="s">
        <v>812</v>
      </c>
      <c r="C31" s="702"/>
      <c r="D31" s="702"/>
      <c r="E31" s="702"/>
      <c r="F31" s="702"/>
      <c r="G31" s="702"/>
      <c r="H31" s="602" t="s">
        <v>198</v>
      </c>
      <c r="I31" s="601" t="s">
        <v>5</v>
      </c>
    </row>
    <row r="32" spans="2:9" s="329" customFormat="1" ht="30" customHeight="1">
      <c r="B32" s="683" t="s">
        <v>199</v>
      </c>
      <c r="C32" s="683"/>
      <c r="D32" s="683"/>
      <c r="E32" s="683"/>
      <c r="F32" s="683"/>
      <c r="G32" s="683"/>
      <c r="H32" s="683"/>
      <c r="I32" s="683"/>
    </row>
    <row r="33" spans="2:9" ht="25.5">
      <c r="B33" s="541" t="s">
        <v>200</v>
      </c>
      <c r="C33" s="354" t="s">
        <v>7</v>
      </c>
      <c r="D33" s="338" t="s">
        <v>3</v>
      </c>
      <c r="E33" s="338" t="s">
        <v>201</v>
      </c>
      <c r="F33" s="338" t="s">
        <v>202</v>
      </c>
      <c r="G33" s="333" t="s">
        <v>203</v>
      </c>
      <c r="H33" s="333" t="s">
        <v>204</v>
      </c>
      <c r="I33" s="343" t="s">
        <v>205</v>
      </c>
    </row>
    <row r="34" spans="2:9" ht="12.75" customHeight="1">
      <c r="B34" s="336"/>
      <c r="C34" s="355"/>
      <c r="D34" s="356"/>
      <c r="E34" s="339"/>
      <c r="F34" s="339"/>
      <c r="G34" s="557"/>
      <c r="H34" s="339"/>
      <c r="I34" s="540"/>
    </row>
    <row r="35" spans="2:9" ht="12.75" customHeight="1">
      <c r="B35" s="696" t="s">
        <v>206</v>
      </c>
      <c r="C35" s="696"/>
      <c r="D35" s="696"/>
      <c r="E35" s="696"/>
      <c r="F35" s="696"/>
      <c r="G35" s="696"/>
      <c r="H35" s="696"/>
      <c r="I35" s="600">
        <f>SUM(I34:I34)</f>
        <v>0</v>
      </c>
    </row>
    <row r="36" spans="2:9" s="329" customFormat="1" ht="30" customHeight="1">
      <c r="B36" s="679" t="s">
        <v>207</v>
      </c>
      <c r="C36" s="679"/>
      <c r="D36" s="679"/>
      <c r="E36" s="679"/>
      <c r="F36" s="679"/>
      <c r="G36" s="679"/>
      <c r="H36" s="679"/>
      <c r="I36" s="679"/>
    </row>
    <row r="37" spans="2:9">
      <c r="B37" s="599" t="s">
        <v>200</v>
      </c>
      <c r="C37" s="360" t="s">
        <v>7</v>
      </c>
      <c r="D37" s="360" t="s">
        <v>3</v>
      </c>
      <c r="E37" s="598"/>
      <c r="F37" s="598"/>
      <c r="G37" s="598"/>
      <c r="H37" s="360" t="s">
        <v>208</v>
      </c>
      <c r="I37" s="597" t="s">
        <v>205</v>
      </c>
    </row>
    <row r="38" spans="2:9">
      <c r="B38" s="596"/>
      <c r="C38" s="354"/>
      <c r="D38" s="528"/>
      <c r="E38" s="595"/>
      <c r="F38" s="595"/>
      <c r="G38" s="595"/>
      <c r="H38" s="528"/>
      <c r="I38" s="594"/>
    </row>
    <row r="39" spans="2:9" ht="12.75" customHeight="1">
      <c r="B39" s="693" t="s">
        <v>811</v>
      </c>
      <c r="C39" s="693"/>
      <c r="D39" s="693"/>
      <c r="E39" s="693"/>
      <c r="F39" s="693"/>
      <c r="G39" s="693"/>
      <c r="H39" s="693"/>
      <c r="I39" s="593"/>
    </row>
    <row r="40" spans="2:9" s="329" customFormat="1" ht="30" customHeight="1">
      <c r="B40" s="679" t="s">
        <v>209</v>
      </c>
      <c r="C40" s="679"/>
      <c r="D40" s="679"/>
      <c r="E40" s="679"/>
      <c r="F40" s="679"/>
      <c r="G40" s="679"/>
      <c r="H40" s="679"/>
      <c r="I40" s="679"/>
    </row>
    <row r="41" spans="2:9">
      <c r="B41" s="592" t="s">
        <v>200</v>
      </c>
      <c r="C41" s="528" t="s">
        <v>7</v>
      </c>
      <c r="D41" s="354" t="s">
        <v>3</v>
      </c>
      <c r="E41" s="585"/>
      <c r="F41" s="585"/>
      <c r="G41" s="585"/>
      <c r="H41" s="354" t="s">
        <v>208</v>
      </c>
      <c r="I41" s="589" t="s">
        <v>205</v>
      </c>
    </row>
    <row r="42" spans="2:9">
      <c r="B42" s="591"/>
      <c r="C42" s="528"/>
      <c r="D42" s="590"/>
      <c r="E42" s="585"/>
      <c r="F42" s="585"/>
      <c r="G42" s="585"/>
      <c r="H42" s="504"/>
      <c r="I42" s="589"/>
    </row>
    <row r="43" spans="2:9">
      <c r="B43" s="691" t="s">
        <v>206</v>
      </c>
      <c r="C43" s="691"/>
      <c r="D43" s="691"/>
      <c r="E43" s="691"/>
      <c r="F43" s="691"/>
      <c r="G43" s="691"/>
      <c r="H43" s="691"/>
      <c r="I43" s="588"/>
    </row>
    <row r="44" spans="2:9" s="329" customFormat="1" ht="30" customHeight="1">
      <c r="B44" s="679" t="s">
        <v>239</v>
      </c>
      <c r="C44" s="679"/>
      <c r="D44" s="679"/>
      <c r="E44" s="679"/>
      <c r="F44" s="679"/>
      <c r="G44" s="679"/>
      <c r="H44" s="679"/>
      <c r="I44" s="679"/>
    </row>
    <row r="45" spans="2:9" ht="15.95" customHeight="1">
      <c r="B45" s="587" t="s">
        <v>200</v>
      </c>
      <c r="C45" s="354" t="s">
        <v>7</v>
      </c>
      <c r="D45" s="354" t="s">
        <v>3</v>
      </c>
      <c r="E45" s="585"/>
      <c r="F45" s="585"/>
      <c r="G45" s="585"/>
      <c r="H45" s="354" t="s">
        <v>208</v>
      </c>
      <c r="I45" s="586" t="s">
        <v>205</v>
      </c>
    </row>
    <row r="46" spans="2:9" ht="15.95" customHeight="1">
      <c r="B46" s="533" t="s">
        <v>568</v>
      </c>
      <c r="C46" s="354" t="s">
        <v>19</v>
      </c>
      <c r="D46" s="354">
        <v>0.16</v>
      </c>
      <c r="E46" s="585"/>
      <c r="F46" s="585"/>
      <c r="G46" s="585"/>
      <c r="H46" s="584">
        <f>'Insumos poços'!E13</f>
        <v>7.18</v>
      </c>
      <c r="I46" s="583">
        <f>H46*D46</f>
        <v>1.1499999999999999</v>
      </c>
    </row>
    <row r="47" spans="2:9" ht="15.95" customHeight="1">
      <c r="B47" s="690" t="s">
        <v>771</v>
      </c>
      <c r="C47" s="690"/>
      <c r="D47" s="690"/>
      <c r="E47" s="690"/>
      <c r="F47" s="690"/>
      <c r="G47" s="690"/>
      <c r="H47" s="690"/>
      <c r="I47" s="343"/>
    </row>
    <row r="48" spans="2:9" ht="15.95" customHeight="1">
      <c r="B48" s="691" t="s">
        <v>206</v>
      </c>
      <c r="C48" s="691"/>
      <c r="D48" s="691"/>
      <c r="E48" s="691"/>
      <c r="F48" s="691"/>
      <c r="G48" s="691"/>
      <c r="H48" s="691"/>
      <c r="I48" s="582">
        <f>SUM(I46:I47)</f>
        <v>1.1499999999999999</v>
      </c>
    </row>
    <row r="49" spans="2:11" ht="15.95" customHeight="1">
      <c r="B49" s="532" t="s">
        <v>240</v>
      </c>
      <c r="C49" s="353">
        <v>1</v>
      </c>
      <c r="D49" s="687" t="s">
        <v>241</v>
      </c>
      <c r="E49" s="688"/>
      <c r="F49" s="688"/>
      <c r="G49" s="688"/>
      <c r="H49" s="689"/>
      <c r="I49" s="523">
        <f>I48+I43+I39+I35</f>
        <v>1.1499999999999999</v>
      </c>
    </row>
    <row r="50" spans="2:11" ht="15.95" customHeight="1">
      <c r="B50" s="697"/>
      <c r="C50" s="698"/>
      <c r="D50" s="698"/>
      <c r="E50" s="698"/>
      <c r="F50" s="698"/>
      <c r="G50" s="698"/>
      <c r="H50" s="699"/>
      <c r="I50" s="523">
        <f>I49/C49</f>
        <v>1.1499999999999999</v>
      </c>
      <c r="K50" s="335">
        <v>1.75</v>
      </c>
    </row>
    <row r="51" spans="2:11" ht="15.95" customHeight="1">
      <c r="B51" s="346" t="s">
        <v>569</v>
      </c>
      <c r="C51" s="347">
        <f>'BDI''s'!$C$33</f>
        <v>24.18</v>
      </c>
      <c r="D51" s="348" t="s">
        <v>214</v>
      </c>
      <c r="E51" s="349"/>
      <c r="F51" s="349"/>
      <c r="G51" s="349"/>
      <c r="H51" s="350"/>
      <c r="I51" s="343">
        <f>C51/100*I50</f>
        <v>0.28000000000000003</v>
      </c>
    </row>
    <row r="52" spans="2:11" s="329" customFormat="1" ht="30" customHeight="1" thickBot="1">
      <c r="B52" s="695" t="s">
        <v>243</v>
      </c>
      <c r="C52" s="695"/>
      <c r="D52" s="695"/>
      <c r="E52" s="695"/>
      <c r="F52" s="695"/>
      <c r="G52" s="695"/>
      <c r="H52" s="695"/>
      <c r="I52" s="522">
        <f>SUM(I50:I51)</f>
        <v>1.43</v>
      </c>
    </row>
    <row r="53" spans="2:11" ht="13.5" thickBot="1"/>
    <row r="54" spans="2:11" s="329" customFormat="1" ht="30" customHeight="1">
      <c r="B54" s="530" t="s">
        <v>8</v>
      </c>
      <c r="C54" s="529" t="str">
        <f>'Planilha Orçamentária'!B21</f>
        <v>2.1.3</v>
      </c>
      <c r="D54" s="686" t="s">
        <v>197</v>
      </c>
      <c r="E54" s="686"/>
      <c r="F54" s="686"/>
      <c r="G54" s="686"/>
      <c r="H54" s="686"/>
      <c r="I54" s="686"/>
    </row>
    <row r="55" spans="2:11" s="329" customFormat="1" ht="30" customHeight="1">
      <c r="B55" s="704" t="s">
        <v>566</v>
      </c>
      <c r="C55" s="705"/>
      <c r="D55" s="705"/>
      <c r="E55" s="705"/>
      <c r="F55" s="705"/>
      <c r="G55" s="706"/>
      <c r="H55" s="677" t="s">
        <v>819</v>
      </c>
      <c r="I55" s="678"/>
    </row>
    <row r="56" spans="2:11" s="329" customFormat="1" ht="30" customHeight="1">
      <c r="B56" s="703" t="s">
        <v>810</v>
      </c>
      <c r="C56" s="703"/>
      <c r="D56" s="703"/>
      <c r="E56" s="703"/>
      <c r="F56" s="703"/>
      <c r="G56" s="703"/>
      <c r="H56" s="570" t="s">
        <v>198</v>
      </c>
      <c r="I56" s="331" t="s">
        <v>567</v>
      </c>
    </row>
    <row r="57" spans="2:11" s="329" customFormat="1" ht="30" customHeight="1">
      <c r="B57" s="701" t="s">
        <v>199</v>
      </c>
      <c r="C57" s="701"/>
      <c r="D57" s="701"/>
      <c r="E57" s="701"/>
      <c r="F57" s="701"/>
      <c r="G57" s="701"/>
      <c r="H57" s="701"/>
      <c r="I57" s="701"/>
    </row>
    <row r="58" spans="2:11" s="362" customFormat="1" ht="25.5">
      <c r="B58" s="332" t="s">
        <v>200</v>
      </c>
      <c r="C58" s="361" t="s">
        <v>7</v>
      </c>
      <c r="D58" s="333" t="s">
        <v>3</v>
      </c>
      <c r="E58" s="333" t="s">
        <v>201</v>
      </c>
      <c r="F58" s="333" t="s">
        <v>202</v>
      </c>
      <c r="G58" s="333" t="s">
        <v>203</v>
      </c>
      <c r="H58" s="333" t="s">
        <v>204</v>
      </c>
      <c r="I58" s="334" t="s">
        <v>205</v>
      </c>
    </row>
    <row r="59" spans="2:11" ht="15.95" customHeight="1">
      <c r="B59" s="363" t="s">
        <v>806</v>
      </c>
      <c r="C59" s="358" t="s">
        <v>19</v>
      </c>
      <c r="D59" s="359">
        <v>8</v>
      </c>
      <c r="E59" s="500">
        <v>1</v>
      </c>
      <c r="F59" s="500"/>
      <c r="G59" s="524">
        <f>'Insumos poços'!E35</f>
        <v>3.17</v>
      </c>
      <c r="H59" s="500"/>
      <c r="I59" s="501">
        <f>D59*E59*G59+D59*F59*H59</f>
        <v>25.36</v>
      </c>
      <c r="J59" s="352"/>
    </row>
    <row r="60" spans="2:11" ht="15.95" customHeight="1">
      <c r="B60" s="692" t="s">
        <v>206</v>
      </c>
      <c r="C60" s="692"/>
      <c r="D60" s="692"/>
      <c r="E60" s="692"/>
      <c r="F60" s="692"/>
      <c r="G60" s="692"/>
      <c r="H60" s="692"/>
      <c r="I60" s="523">
        <f>SUM(I59:I59)</f>
        <v>25.36</v>
      </c>
    </row>
    <row r="61" spans="2:11" s="329" customFormat="1" ht="30" customHeight="1">
      <c r="B61" s="701" t="s">
        <v>207</v>
      </c>
      <c r="C61" s="701"/>
      <c r="D61" s="701"/>
      <c r="E61" s="701"/>
      <c r="F61" s="701"/>
      <c r="G61" s="701"/>
      <c r="H61" s="701"/>
      <c r="I61" s="701"/>
    </row>
    <row r="62" spans="2:11" ht="15.95" customHeight="1">
      <c r="B62" s="364" t="s">
        <v>200</v>
      </c>
      <c r="C62" s="365" t="s">
        <v>7</v>
      </c>
      <c r="D62" s="338" t="s">
        <v>3</v>
      </c>
      <c r="E62" s="509"/>
      <c r="F62" s="509"/>
      <c r="G62" s="509"/>
      <c r="H62" s="338" t="s">
        <v>208</v>
      </c>
      <c r="I62" s="343" t="s">
        <v>205</v>
      </c>
    </row>
    <row r="63" spans="2:11" ht="15.95" customHeight="1">
      <c r="B63" s="366" t="s">
        <v>809</v>
      </c>
      <c r="C63" s="337" t="s">
        <v>572</v>
      </c>
      <c r="D63" s="508">
        <v>0.1</v>
      </c>
      <c r="E63" s="509"/>
      <c r="F63" s="509"/>
      <c r="G63" s="509"/>
      <c r="H63" s="524">
        <f>'Insumos poços'!E20</f>
        <v>12</v>
      </c>
      <c r="I63" s="343">
        <f>H63*D63</f>
        <v>1.2</v>
      </c>
    </row>
    <row r="64" spans="2:11" ht="15.95" customHeight="1">
      <c r="B64" s="336" t="s">
        <v>784</v>
      </c>
      <c r="C64" s="337" t="s">
        <v>572</v>
      </c>
      <c r="D64" s="508">
        <v>41.45</v>
      </c>
      <c r="E64" s="509"/>
      <c r="F64" s="509"/>
      <c r="G64" s="509"/>
      <c r="H64" s="524">
        <f>'Insumos poços'!E19</f>
        <v>2.4500000000000002</v>
      </c>
      <c r="I64" s="343">
        <f>H64*D64</f>
        <v>101.55</v>
      </c>
    </row>
    <row r="65" spans="2:9" ht="15.95" customHeight="1">
      <c r="B65" s="692" t="s">
        <v>206</v>
      </c>
      <c r="C65" s="692"/>
      <c r="D65" s="692"/>
      <c r="E65" s="692"/>
      <c r="F65" s="692"/>
      <c r="G65" s="692"/>
      <c r="H65" s="692"/>
      <c r="I65" s="343">
        <f>SUM(I63:I64)</f>
        <v>102.75</v>
      </c>
    </row>
    <row r="66" spans="2:9" s="329" customFormat="1" ht="30" customHeight="1">
      <c r="B66" s="701" t="s">
        <v>209</v>
      </c>
      <c r="C66" s="701"/>
      <c r="D66" s="701"/>
      <c r="E66" s="701"/>
      <c r="F66" s="701"/>
      <c r="G66" s="701"/>
      <c r="H66" s="701"/>
      <c r="I66" s="701"/>
    </row>
    <row r="67" spans="2:9" ht="15.95" customHeight="1">
      <c r="B67" s="342" t="s">
        <v>200</v>
      </c>
      <c r="C67" s="528" t="s">
        <v>7</v>
      </c>
      <c r="D67" s="338" t="s">
        <v>3</v>
      </c>
      <c r="E67" s="509"/>
      <c r="F67" s="509"/>
      <c r="G67" s="509"/>
      <c r="H67" s="338" t="s">
        <v>208</v>
      </c>
      <c r="I67" s="341" t="s">
        <v>205</v>
      </c>
    </row>
    <row r="68" spans="2:9" ht="15.95" customHeight="1">
      <c r="B68" s="542"/>
      <c r="C68" s="338"/>
      <c r="D68" s="338"/>
      <c r="E68" s="509"/>
      <c r="F68" s="509"/>
      <c r="G68" s="509"/>
      <c r="H68" s="338"/>
      <c r="I68" s="343">
        <f>D68*H68</f>
        <v>0</v>
      </c>
    </row>
    <row r="69" spans="2:9" ht="15.95" customHeight="1">
      <c r="B69" s="692" t="s">
        <v>206</v>
      </c>
      <c r="C69" s="692"/>
      <c r="D69" s="692"/>
      <c r="E69" s="692"/>
      <c r="F69" s="692"/>
      <c r="G69" s="692"/>
      <c r="H69" s="692"/>
      <c r="I69" s="343">
        <f>SUM(I68:I68)</f>
        <v>0</v>
      </c>
    </row>
    <row r="70" spans="2:9" s="329" customFormat="1" ht="30" customHeight="1">
      <c r="B70" s="701" t="s">
        <v>239</v>
      </c>
      <c r="C70" s="701"/>
      <c r="D70" s="701"/>
      <c r="E70" s="701"/>
      <c r="F70" s="701"/>
      <c r="G70" s="701"/>
      <c r="H70" s="701"/>
      <c r="I70" s="701"/>
    </row>
    <row r="71" spans="2:9" ht="15.95" customHeight="1">
      <c r="B71" s="364" t="s">
        <v>200</v>
      </c>
      <c r="C71" s="365" t="s">
        <v>7</v>
      </c>
      <c r="D71" s="345" t="s">
        <v>3</v>
      </c>
      <c r="E71" s="509"/>
      <c r="F71" s="509"/>
      <c r="G71" s="509"/>
      <c r="H71" s="338" t="s">
        <v>208</v>
      </c>
      <c r="I71" s="343" t="s">
        <v>205</v>
      </c>
    </row>
    <row r="72" spans="2:9" ht="15.95" customHeight="1">
      <c r="B72" s="526" t="s">
        <v>573</v>
      </c>
      <c r="C72" s="354" t="s">
        <v>19</v>
      </c>
      <c r="D72" s="338">
        <v>2</v>
      </c>
      <c r="E72" s="509"/>
      <c r="F72" s="509"/>
      <c r="G72" s="509"/>
      <c r="H72" s="524">
        <f>'Insumos poços'!E14</f>
        <v>20.82</v>
      </c>
      <c r="I72" s="343">
        <f>H72*D72</f>
        <v>41.64</v>
      </c>
    </row>
    <row r="73" spans="2:9" ht="15.95" customHeight="1">
      <c r="B73" s="525" t="s">
        <v>568</v>
      </c>
      <c r="C73" s="354" t="s">
        <v>19</v>
      </c>
      <c r="D73" s="338">
        <v>5</v>
      </c>
      <c r="E73" s="509"/>
      <c r="F73" s="509"/>
      <c r="G73" s="509"/>
      <c r="H73" s="524">
        <f>'Insumos poços'!E13</f>
        <v>7.18</v>
      </c>
      <c r="I73" s="343">
        <f>H73*D73</f>
        <v>35.9</v>
      </c>
    </row>
    <row r="74" spans="2:9" ht="15.95" customHeight="1">
      <c r="B74" s="525" t="s">
        <v>319</v>
      </c>
      <c r="C74" s="354" t="s">
        <v>19</v>
      </c>
      <c r="D74" s="338">
        <v>2</v>
      </c>
      <c r="E74" s="509"/>
      <c r="F74" s="509"/>
      <c r="G74" s="509"/>
      <c r="H74" s="524">
        <f>'Insumos poços'!E12</f>
        <v>19.46</v>
      </c>
      <c r="I74" s="343">
        <f>H74*D74</f>
        <v>38.92</v>
      </c>
    </row>
    <row r="75" spans="2:9" ht="15.95" customHeight="1">
      <c r="B75" s="690" t="s">
        <v>771</v>
      </c>
      <c r="C75" s="690"/>
      <c r="D75" s="690"/>
      <c r="E75" s="690"/>
      <c r="F75" s="690"/>
      <c r="G75" s="690"/>
      <c r="H75" s="690"/>
      <c r="I75" s="343"/>
    </row>
    <row r="76" spans="2:9" ht="15.95" customHeight="1">
      <c r="B76" s="692" t="s">
        <v>206</v>
      </c>
      <c r="C76" s="692"/>
      <c r="D76" s="692"/>
      <c r="E76" s="692"/>
      <c r="F76" s="692"/>
      <c r="G76" s="692"/>
      <c r="H76" s="692"/>
      <c r="I76" s="523">
        <f>SUM(I72:I75)</f>
        <v>116.46</v>
      </c>
    </row>
    <row r="77" spans="2:9" ht="15.95" customHeight="1">
      <c r="B77" s="532" t="s">
        <v>240</v>
      </c>
      <c r="C77" s="353">
        <v>1</v>
      </c>
      <c r="D77" s="687" t="s">
        <v>241</v>
      </c>
      <c r="E77" s="688"/>
      <c r="F77" s="688"/>
      <c r="G77" s="688"/>
      <c r="H77" s="689"/>
      <c r="I77" s="523">
        <f>I76+I69+I65+I60</f>
        <v>244.57</v>
      </c>
    </row>
    <row r="78" spans="2:9" ht="15.95" customHeight="1">
      <c r="B78" s="697"/>
      <c r="C78" s="698"/>
      <c r="D78" s="698"/>
      <c r="E78" s="698"/>
      <c r="F78" s="698"/>
      <c r="G78" s="698"/>
      <c r="H78" s="699"/>
      <c r="I78" s="523">
        <f>I77/C77</f>
        <v>244.57</v>
      </c>
    </row>
    <row r="79" spans="2:9" ht="15.95" customHeight="1">
      <c r="B79" s="346" t="s">
        <v>569</v>
      </c>
      <c r="C79" s="347">
        <f>'BDI''s'!$C$33</f>
        <v>24.18</v>
      </c>
      <c r="D79" s="348" t="s">
        <v>214</v>
      </c>
      <c r="E79" s="349"/>
      <c r="F79" s="349"/>
      <c r="G79" s="349"/>
      <c r="H79" s="350"/>
      <c r="I79" s="343">
        <f>C79/100*I78</f>
        <v>59.14</v>
      </c>
    </row>
    <row r="80" spans="2:9" s="329" customFormat="1" ht="30" customHeight="1" thickBot="1">
      <c r="B80" s="685" t="s">
        <v>243</v>
      </c>
      <c r="C80" s="685"/>
      <c r="D80" s="685"/>
      <c r="E80" s="685"/>
      <c r="F80" s="685"/>
      <c r="G80" s="685"/>
      <c r="H80" s="685"/>
      <c r="I80" s="522">
        <f>SUM(I78:I79)</f>
        <v>303.70999999999998</v>
      </c>
    </row>
    <row r="81" spans="1:10" ht="13.5" thickBot="1"/>
    <row r="82" spans="1:10" s="329" customFormat="1" ht="30" customHeight="1">
      <c r="B82" s="530" t="s">
        <v>8</v>
      </c>
      <c r="C82" s="529" t="str">
        <f>'Planilha Orçamentária'!B22</f>
        <v>2.1.4</v>
      </c>
      <c r="D82" s="686" t="s">
        <v>197</v>
      </c>
      <c r="E82" s="686"/>
      <c r="F82" s="686"/>
      <c r="G82" s="686"/>
      <c r="H82" s="686"/>
      <c r="I82" s="686"/>
    </row>
    <row r="83" spans="1:10" s="329" customFormat="1" ht="30" customHeight="1">
      <c r="B83" s="680" t="s">
        <v>566</v>
      </c>
      <c r="C83" s="681"/>
      <c r="D83" s="681"/>
      <c r="E83" s="681"/>
      <c r="F83" s="681"/>
      <c r="G83" s="682"/>
      <c r="H83" s="677" t="s">
        <v>819</v>
      </c>
      <c r="I83" s="678"/>
    </row>
    <row r="84" spans="1:10" s="329" customFormat="1" ht="30" customHeight="1">
      <c r="B84" s="694" t="s">
        <v>808</v>
      </c>
      <c r="C84" s="694"/>
      <c r="D84" s="694"/>
      <c r="E84" s="694"/>
      <c r="F84" s="694"/>
      <c r="G84" s="694"/>
      <c r="H84" s="330" t="s">
        <v>198</v>
      </c>
      <c r="I84" s="331" t="s">
        <v>4</v>
      </c>
    </row>
    <row r="85" spans="1:10" s="329" customFormat="1" ht="30" customHeight="1">
      <c r="B85" s="701" t="s">
        <v>199</v>
      </c>
      <c r="C85" s="701"/>
      <c r="D85" s="701"/>
      <c r="E85" s="701"/>
      <c r="F85" s="701"/>
      <c r="G85" s="701"/>
      <c r="H85" s="701"/>
      <c r="I85" s="701"/>
    </row>
    <row r="86" spans="1:10" ht="25.5">
      <c r="A86" s="362"/>
      <c r="B86" s="332" t="s">
        <v>200</v>
      </c>
      <c r="C86" s="361" t="s">
        <v>7</v>
      </c>
      <c r="D86" s="333" t="s">
        <v>3</v>
      </c>
      <c r="E86" s="333" t="s">
        <v>201</v>
      </c>
      <c r="F86" s="333" t="s">
        <v>202</v>
      </c>
      <c r="G86" s="333" t="s">
        <v>203</v>
      </c>
      <c r="H86" s="333" t="s">
        <v>204</v>
      </c>
      <c r="I86" s="334" t="s">
        <v>205</v>
      </c>
    </row>
    <row r="87" spans="1:10" ht="15.95" customHeight="1">
      <c r="B87" s="363" t="s">
        <v>806</v>
      </c>
      <c r="C87" s="358" t="s">
        <v>19</v>
      </c>
      <c r="D87" s="359">
        <v>0.7</v>
      </c>
      <c r="E87" s="500">
        <v>1</v>
      </c>
      <c r="F87" s="500"/>
      <c r="G87" s="524">
        <f>'Insumos poços'!E36</f>
        <v>3.17</v>
      </c>
      <c r="H87" s="500"/>
      <c r="I87" s="501">
        <f>D87*E87*G87+D87*F87*H87</f>
        <v>2.2200000000000002</v>
      </c>
      <c r="J87" s="581"/>
    </row>
    <row r="88" spans="1:10" ht="15.95" customHeight="1">
      <c r="B88" s="366" t="s">
        <v>785</v>
      </c>
      <c r="C88" s="337" t="s">
        <v>19</v>
      </c>
      <c r="D88" s="508">
        <v>0.4</v>
      </c>
      <c r="E88" s="338">
        <v>1</v>
      </c>
      <c r="F88" s="338"/>
      <c r="G88" s="524">
        <f>'Insumos poços'!E37</f>
        <v>13.05</v>
      </c>
      <c r="H88" s="338"/>
      <c r="I88" s="501">
        <f>D88*E88*G88+D88*F88*H88</f>
        <v>5.22</v>
      </c>
    </row>
    <row r="89" spans="1:10" ht="15.95" customHeight="1">
      <c r="B89" s="692" t="s">
        <v>206</v>
      </c>
      <c r="C89" s="692"/>
      <c r="D89" s="692"/>
      <c r="E89" s="692"/>
      <c r="F89" s="692"/>
      <c r="G89" s="692"/>
      <c r="H89" s="692"/>
      <c r="I89" s="523">
        <f>SUM(I87:I88)</f>
        <v>7.44</v>
      </c>
    </row>
    <row r="90" spans="1:10" s="329" customFormat="1" ht="30" customHeight="1">
      <c r="B90" s="701" t="s">
        <v>207</v>
      </c>
      <c r="C90" s="701"/>
      <c r="D90" s="701"/>
      <c r="E90" s="701"/>
      <c r="F90" s="701"/>
      <c r="G90" s="701"/>
      <c r="H90" s="701"/>
      <c r="I90" s="701"/>
    </row>
    <row r="91" spans="1:10" ht="15.95" customHeight="1">
      <c r="B91" s="527" t="s">
        <v>200</v>
      </c>
      <c r="C91" s="360" t="s">
        <v>7</v>
      </c>
      <c r="D91" s="339" t="s">
        <v>3</v>
      </c>
      <c r="E91" s="340"/>
      <c r="F91" s="340"/>
      <c r="G91" s="340"/>
      <c r="H91" s="339" t="s">
        <v>208</v>
      </c>
      <c r="I91" s="341" t="s">
        <v>205</v>
      </c>
    </row>
    <row r="92" spans="1:10" ht="15.95" customHeight="1">
      <c r="B92" s="363" t="s">
        <v>805</v>
      </c>
      <c r="C92" s="358" t="s">
        <v>572</v>
      </c>
      <c r="D92" s="359">
        <v>0.13</v>
      </c>
      <c r="E92" s="351"/>
      <c r="F92" s="351"/>
      <c r="G92" s="351"/>
      <c r="H92" s="524">
        <f>'Insumos poços'!E20</f>
        <v>12</v>
      </c>
      <c r="I92" s="501">
        <f>H92*D92</f>
        <v>1.56</v>
      </c>
      <c r="J92" s="352"/>
    </row>
    <row r="93" spans="1:10" ht="15.95" customHeight="1">
      <c r="B93" s="363" t="s">
        <v>804</v>
      </c>
      <c r="C93" s="358" t="s">
        <v>570</v>
      </c>
      <c r="D93" s="359">
        <v>0.61</v>
      </c>
      <c r="E93" s="351"/>
      <c r="F93" s="351"/>
      <c r="G93" s="351"/>
      <c r="H93" s="524">
        <f>'Insumos poços'!E42</f>
        <v>17.62</v>
      </c>
      <c r="I93" s="501">
        <f>H93*D93</f>
        <v>10.75</v>
      </c>
      <c r="J93" s="352"/>
    </row>
    <row r="94" spans="1:10" ht="15.95" customHeight="1">
      <c r="B94" s="366" t="s">
        <v>784</v>
      </c>
      <c r="C94" s="337" t="s">
        <v>572</v>
      </c>
      <c r="D94" s="508">
        <v>7</v>
      </c>
      <c r="E94" s="509"/>
      <c r="F94" s="509"/>
      <c r="G94" s="509"/>
      <c r="H94" s="524">
        <f>'Insumos poços'!E19</f>
        <v>2.4500000000000002</v>
      </c>
      <c r="I94" s="343">
        <f>H94*D94</f>
        <v>17.149999999999999</v>
      </c>
    </row>
    <row r="95" spans="1:10" ht="15.95" customHeight="1">
      <c r="B95" s="692" t="s">
        <v>206</v>
      </c>
      <c r="C95" s="692"/>
      <c r="D95" s="692"/>
      <c r="E95" s="692"/>
      <c r="F95" s="692"/>
      <c r="G95" s="692"/>
      <c r="H95" s="692"/>
      <c r="I95" s="343">
        <f>SUM(I92:I94)</f>
        <v>29.46</v>
      </c>
    </row>
    <row r="96" spans="1:10" s="329" customFormat="1" ht="30" customHeight="1">
      <c r="B96" s="701" t="s">
        <v>209</v>
      </c>
      <c r="C96" s="701"/>
      <c r="D96" s="701"/>
      <c r="E96" s="701"/>
      <c r="F96" s="701"/>
      <c r="G96" s="701"/>
      <c r="H96" s="701"/>
      <c r="I96" s="701"/>
    </row>
    <row r="97" spans="2:9" ht="15.95" customHeight="1">
      <c r="B97" s="342" t="s">
        <v>200</v>
      </c>
      <c r="C97" s="528" t="s">
        <v>7</v>
      </c>
      <c r="D97" s="338" t="s">
        <v>3</v>
      </c>
      <c r="E97" s="509"/>
      <c r="F97" s="509"/>
      <c r="G97" s="509"/>
      <c r="H97" s="338" t="s">
        <v>208</v>
      </c>
      <c r="I97" s="341" t="s">
        <v>205</v>
      </c>
    </row>
    <row r="98" spans="2:9" ht="15.95" customHeight="1">
      <c r="B98" s="542"/>
      <c r="C98" s="338"/>
      <c r="D98" s="338"/>
      <c r="E98" s="509"/>
      <c r="F98" s="509"/>
      <c r="G98" s="509"/>
      <c r="H98" s="338"/>
      <c r="I98" s="343">
        <f>D98*H98</f>
        <v>0</v>
      </c>
    </row>
    <row r="99" spans="2:9" ht="15.95" customHeight="1">
      <c r="B99" s="692" t="s">
        <v>206</v>
      </c>
      <c r="C99" s="692"/>
      <c r="D99" s="692"/>
      <c r="E99" s="692"/>
      <c r="F99" s="692"/>
      <c r="G99" s="692"/>
      <c r="H99" s="692"/>
      <c r="I99" s="343">
        <f>SUM(I98:I98)</f>
        <v>0</v>
      </c>
    </row>
    <row r="100" spans="2:9" s="329" customFormat="1" ht="30" customHeight="1">
      <c r="B100" s="701" t="s">
        <v>239</v>
      </c>
      <c r="C100" s="701"/>
      <c r="D100" s="701"/>
      <c r="E100" s="701"/>
      <c r="F100" s="701"/>
      <c r="G100" s="701"/>
      <c r="H100" s="701"/>
      <c r="I100" s="701"/>
    </row>
    <row r="101" spans="2:9" ht="15.95" customHeight="1">
      <c r="B101" s="527" t="s">
        <v>200</v>
      </c>
      <c r="C101" s="360" t="s">
        <v>7</v>
      </c>
      <c r="D101" s="367" t="s">
        <v>3</v>
      </c>
      <c r="E101" s="340"/>
      <c r="F101" s="340"/>
      <c r="G101" s="340"/>
      <c r="H101" s="339" t="s">
        <v>208</v>
      </c>
      <c r="I101" s="341" t="s">
        <v>205</v>
      </c>
    </row>
    <row r="102" spans="2:9" ht="15.95" customHeight="1">
      <c r="B102" s="526" t="s">
        <v>573</v>
      </c>
      <c r="C102" s="354" t="s">
        <v>19</v>
      </c>
      <c r="D102" s="338">
        <v>1.5</v>
      </c>
      <c r="E102" s="509"/>
      <c r="F102" s="509"/>
      <c r="G102" s="509"/>
      <c r="H102" s="524">
        <f>'Insumos poços'!E14</f>
        <v>20.82</v>
      </c>
      <c r="I102" s="343">
        <f>H102*D102</f>
        <v>31.23</v>
      </c>
    </row>
    <row r="103" spans="2:9" ht="15.95" customHeight="1">
      <c r="B103" s="525" t="s">
        <v>568</v>
      </c>
      <c r="C103" s="354" t="s">
        <v>19</v>
      </c>
      <c r="D103" s="338">
        <f>0.25*D102</f>
        <v>0.38</v>
      </c>
      <c r="E103" s="509"/>
      <c r="F103" s="509"/>
      <c r="G103" s="509"/>
      <c r="H103" s="524">
        <f>'Insumos poços'!E13</f>
        <v>7.18</v>
      </c>
      <c r="I103" s="343">
        <f>H103*D103</f>
        <v>2.73</v>
      </c>
    </row>
    <row r="104" spans="2:9" ht="15.95" customHeight="1">
      <c r="B104" s="525" t="s">
        <v>574</v>
      </c>
      <c r="C104" s="354" t="s">
        <v>19</v>
      </c>
      <c r="D104" s="338">
        <f>D102</f>
        <v>1.5</v>
      </c>
      <c r="E104" s="509"/>
      <c r="F104" s="509"/>
      <c r="G104" s="509"/>
      <c r="H104" s="524">
        <f>'Insumos poços'!E16</f>
        <v>12.89</v>
      </c>
      <c r="I104" s="343">
        <f>H104*D104</f>
        <v>19.34</v>
      </c>
    </row>
    <row r="105" spans="2:9" ht="15.95" customHeight="1">
      <c r="B105" s="690" t="s">
        <v>771</v>
      </c>
      <c r="C105" s="690"/>
      <c r="D105" s="690"/>
      <c r="E105" s="690"/>
      <c r="F105" s="690"/>
      <c r="G105" s="690"/>
      <c r="H105" s="690"/>
      <c r="I105" s="343"/>
    </row>
    <row r="106" spans="2:9" ht="15.95" customHeight="1">
      <c r="B106" s="692" t="s">
        <v>206</v>
      </c>
      <c r="C106" s="692"/>
      <c r="D106" s="692"/>
      <c r="E106" s="692"/>
      <c r="F106" s="692"/>
      <c r="G106" s="692"/>
      <c r="H106" s="692"/>
      <c r="I106" s="523">
        <f>SUM(I102:I105)</f>
        <v>53.3</v>
      </c>
    </row>
    <row r="107" spans="2:9" ht="15.95" customHeight="1">
      <c r="B107" s="532" t="s">
        <v>240</v>
      </c>
      <c r="C107" s="353">
        <v>1</v>
      </c>
      <c r="D107" s="687" t="s">
        <v>241</v>
      </c>
      <c r="E107" s="688"/>
      <c r="F107" s="688"/>
      <c r="G107" s="688"/>
      <c r="H107" s="689"/>
      <c r="I107" s="523">
        <f>I106+I99+I95+I89</f>
        <v>90.2</v>
      </c>
    </row>
    <row r="108" spans="2:9" ht="15.95" customHeight="1">
      <c r="B108" s="697"/>
      <c r="C108" s="698"/>
      <c r="D108" s="698"/>
      <c r="E108" s="698"/>
      <c r="F108" s="698"/>
      <c r="G108" s="698"/>
      <c r="H108" s="699"/>
      <c r="I108" s="523">
        <f>I107/C107</f>
        <v>90.2</v>
      </c>
    </row>
    <row r="109" spans="2:9" ht="15.95" customHeight="1">
      <c r="B109" s="346" t="s">
        <v>569</v>
      </c>
      <c r="C109" s="347">
        <f>'BDI''s'!$C$33</f>
        <v>24.18</v>
      </c>
      <c r="D109" s="348" t="s">
        <v>214</v>
      </c>
      <c r="E109" s="349"/>
      <c r="F109" s="349"/>
      <c r="G109" s="349"/>
      <c r="H109" s="350"/>
      <c r="I109" s="343">
        <f>C109/100*I108</f>
        <v>21.81</v>
      </c>
    </row>
    <row r="110" spans="2:9" s="329" customFormat="1" ht="30" customHeight="1" thickBot="1">
      <c r="B110" s="685" t="s">
        <v>243</v>
      </c>
      <c r="C110" s="685"/>
      <c r="D110" s="685"/>
      <c r="E110" s="685"/>
      <c r="F110" s="685"/>
      <c r="G110" s="685"/>
      <c r="H110" s="685"/>
      <c r="I110" s="522">
        <f>SUM(I108:I109)</f>
        <v>112.01</v>
      </c>
    </row>
    <row r="111" spans="2:9" ht="13.5" thickBot="1"/>
    <row r="112" spans="2:9" s="329" customFormat="1" ht="30" customHeight="1">
      <c r="B112" s="530" t="s">
        <v>8</v>
      </c>
      <c r="C112" s="529" t="str">
        <f>'Planilha Orçamentária'!B23</f>
        <v>2.1.5</v>
      </c>
      <c r="D112" s="686" t="s">
        <v>197</v>
      </c>
      <c r="E112" s="686"/>
      <c r="F112" s="686"/>
      <c r="G112" s="686"/>
      <c r="H112" s="686"/>
      <c r="I112" s="686"/>
    </row>
    <row r="113" spans="1:10" s="329" customFormat="1" ht="30" customHeight="1">
      <c r="B113" s="680" t="s">
        <v>566</v>
      </c>
      <c r="C113" s="681"/>
      <c r="D113" s="681"/>
      <c r="E113" s="681"/>
      <c r="F113" s="681"/>
      <c r="G113" s="682"/>
      <c r="H113" s="677" t="s">
        <v>819</v>
      </c>
      <c r="I113" s="678"/>
    </row>
    <row r="114" spans="1:10" s="329" customFormat="1" ht="30" customHeight="1">
      <c r="B114" s="694" t="s">
        <v>807</v>
      </c>
      <c r="C114" s="694"/>
      <c r="D114" s="694"/>
      <c r="E114" s="694"/>
      <c r="F114" s="694"/>
      <c r="G114" s="694"/>
      <c r="H114" s="330" t="s">
        <v>198</v>
      </c>
      <c r="I114" s="331" t="s">
        <v>4</v>
      </c>
    </row>
    <row r="115" spans="1:10" s="329" customFormat="1" ht="30" customHeight="1">
      <c r="B115" s="701" t="s">
        <v>199</v>
      </c>
      <c r="C115" s="701"/>
      <c r="D115" s="701"/>
      <c r="E115" s="701"/>
      <c r="F115" s="701"/>
      <c r="G115" s="701"/>
      <c r="H115" s="701"/>
      <c r="I115" s="701"/>
    </row>
    <row r="116" spans="1:10" ht="25.5">
      <c r="A116" s="362"/>
      <c r="B116" s="332" t="s">
        <v>200</v>
      </c>
      <c r="C116" s="361" t="s">
        <v>7</v>
      </c>
      <c r="D116" s="333" t="s">
        <v>3</v>
      </c>
      <c r="E116" s="333" t="s">
        <v>201</v>
      </c>
      <c r="F116" s="333" t="s">
        <v>202</v>
      </c>
      <c r="G116" s="333" t="s">
        <v>203</v>
      </c>
      <c r="H116" s="333" t="s">
        <v>204</v>
      </c>
      <c r="I116" s="334" t="s">
        <v>205</v>
      </c>
    </row>
    <row r="117" spans="1:10" ht="15.95" customHeight="1">
      <c r="A117" s="362"/>
      <c r="B117" s="366" t="s">
        <v>785</v>
      </c>
      <c r="C117" s="355" t="s">
        <v>19</v>
      </c>
      <c r="D117" s="356">
        <v>0.4</v>
      </c>
      <c r="E117" s="339">
        <v>1</v>
      </c>
      <c r="F117" s="339"/>
      <c r="G117" s="524">
        <f>'Insumos poços'!E37</f>
        <v>13.05</v>
      </c>
      <c r="H117" s="339"/>
      <c r="I117" s="501">
        <f>D117*E117*G117+D117*F117*H117</f>
        <v>5.22</v>
      </c>
    </row>
    <row r="118" spans="1:10" ht="15.95" customHeight="1">
      <c r="B118" s="366" t="s">
        <v>806</v>
      </c>
      <c r="C118" s="355" t="s">
        <v>19</v>
      </c>
      <c r="D118" s="356">
        <v>0.48</v>
      </c>
      <c r="E118" s="339">
        <v>1</v>
      </c>
      <c r="F118" s="339"/>
      <c r="G118" s="524">
        <f>'Insumos poços'!E36</f>
        <v>3.17</v>
      </c>
      <c r="H118" s="339"/>
      <c r="I118" s="501">
        <f>D118*E118*G118+D118*F118*H118</f>
        <v>1.52</v>
      </c>
    </row>
    <row r="119" spans="1:10" ht="15.95" customHeight="1">
      <c r="B119" s="692" t="s">
        <v>206</v>
      </c>
      <c r="C119" s="692"/>
      <c r="D119" s="692"/>
      <c r="E119" s="692"/>
      <c r="F119" s="692"/>
      <c r="G119" s="692"/>
      <c r="H119" s="692"/>
      <c r="I119" s="523">
        <f>SUM(I117:I118)</f>
        <v>6.74</v>
      </c>
    </row>
    <row r="120" spans="1:10" s="329" customFormat="1" ht="30" customHeight="1">
      <c r="B120" s="701" t="s">
        <v>207</v>
      </c>
      <c r="C120" s="701"/>
      <c r="D120" s="701"/>
      <c r="E120" s="701"/>
      <c r="F120" s="701"/>
      <c r="G120" s="701"/>
      <c r="H120" s="701"/>
      <c r="I120" s="701"/>
    </row>
    <row r="121" spans="1:10" ht="15.95" customHeight="1">
      <c r="B121" s="527" t="s">
        <v>200</v>
      </c>
      <c r="C121" s="360" t="s">
        <v>7</v>
      </c>
      <c r="D121" s="339" t="s">
        <v>3</v>
      </c>
      <c r="E121" s="340"/>
      <c r="F121" s="340"/>
      <c r="G121" s="340"/>
      <c r="H121" s="339" t="s">
        <v>208</v>
      </c>
      <c r="I121" s="341" t="s">
        <v>205</v>
      </c>
    </row>
    <row r="122" spans="1:10" ht="15.95" customHeight="1">
      <c r="B122" s="363" t="s">
        <v>805</v>
      </c>
      <c r="C122" s="580" t="s">
        <v>572</v>
      </c>
      <c r="D122" s="579">
        <v>0.14000000000000001</v>
      </c>
      <c r="E122" s="571"/>
      <c r="F122" s="571"/>
      <c r="G122" s="571"/>
      <c r="H122" s="537">
        <f>'Insumos poços'!E20</f>
        <v>12</v>
      </c>
      <c r="I122" s="501">
        <f>H122*D122</f>
        <v>1.68</v>
      </c>
      <c r="J122" s="352"/>
    </row>
    <row r="123" spans="1:10" ht="15.95" customHeight="1">
      <c r="B123" s="363" t="s">
        <v>804</v>
      </c>
      <c r="C123" s="580" t="s">
        <v>570</v>
      </c>
      <c r="D123" s="579">
        <v>0.09</v>
      </c>
      <c r="E123" s="571"/>
      <c r="F123" s="571"/>
      <c r="G123" s="571"/>
      <c r="H123" s="537">
        <f>'Insumos poços'!E42</f>
        <v>17.62</v>
      </c>
      <c r="I123" s="501">
        <f>H123*D123</f>
        <v>1.59</v>
      </c>
      <c r="J123" s="352"/>
    </row>
    <row r="124" spans="1:10" ht="15.95" customHeight="1">
      <c r="B124" s="366" t="s">
        <v>784</v>
      </c>
      <c r="C124" s="355" t="s">
        <v>572</v>
      </c>
      <c r="D124" s="356">
        <v>6</v>
      </c>
      <c r="E124" s="340"/>
      <c r="F124" s="340"/>
      <c r="G124" s="340"/>
      <c r="H124" s="537">
        <f>'Insumos poços'!E19</f>
        <v>2.4500000000000002</v>
      </c>
      <c r="I124" s="343">
        <f>H124*D124</f>
        <v>14.7</v>
      </c>
    </row>
    <row r="125" spans="1:10" ht="15.95" customHeight="1">
      <c r="B125" s="692" t="s">
        <v>206</v>
      </c>
      <c r="C125" s="692"/>
      <c r="D125" s="692"/>
      <c r="E125" s="692"/>
      <c r="F125" s="692"/>
      <c r="G125" s="692"/>
      <c r="H125" s="692"/>
      <c r="I125" s="343">
        <f>SUM(I122:I124)</f>
        <v>17.97</v>
      </c>
    </row>
    <row r="126" spans="1:10" s="329" customFormat="1" ht="30" customHeight="1">
      <c r="B126" s="701" t="s">
        <v>209</v>
      </c>
      <c r="C126" s="701"/>
      <c r="D126" s="701"/>
      <c r="E126" s="701"/>
      <c r="F126" s="701"/>
      <c r="G126" s="701"/>
      <c r="H126" s="701"/>
      <c r="I126" s="701"/>
    </row>
    <row r="127" spans="1:10" ht="15.95" customHeight="1">
      <c r="B127" s="342" t="s">
        <v>200</v>
      </c>
      <c r="C127" s="528" t="s">
        <v>7</v>
      </c>
      <c r="D127" s="338" t="s">
        <v>3</v>
      </c>
      <c r="E127" s="509"/>
      <c r="F127" s="509"/>
      <c r="G127" s="509"/>
      <c r="H127" s="338" t="s">
        <v>208</v>
      </c>
      <c r="I127" s="341" t="s">
        <v>205</v>
      </c>
    </row>
    <row r="128" spans="1:10" ht="15.95" customHeight="1">
      <c r="B128" s="542"/>
      <c r="C128" s="338"/>
      <c r="D128" s="338"/>
      <c r="E128" s="509"/>
      <c r="F128" s="509"/>
      <c r="G128" s="509"/>
      <c r="H128" s="338"/>
      <c r="I128" s="343">
        <f>D128*H128</f>
        <v>0</v>
      </c>
    </row>
    <row r="129" spans="2:9" ht="15.95" customHeight="1">
      <c r="B129" s="692" t="s">
        <v>206</v>
      </c>
      <c r="C129" s="692"/>
      <c r="D129" s="692"/>
      <c r="E129" s="692"/>
      <c r="F129" s="692"/>
      <c r="G129" s="692"/>
      <c r="H129" s="692"/>
      <c r="I129" s="343">
        <f>SUM(I128:I128)</f>
        <v>0</v>
      </c>
    </row>
    <row r="130" spans="2:9" s="329" customFormat="1" ht="30" customHeight="1">
      <c r="B130" s="701" t="s">
        <v>239</v>
      </c>
      <c r="C130" s="701"/>
      <c r="D130" s="701"/>
      <c r="E130" s="701"/>
      <c r="F130" s="701"/>
      <c r="G130" s="701"/>
      <c r="H130" s="701"/>
      <c r="I130" s="701"/>
    </row>
    <row r="131" spans="2:9" ht="15.95" customHeight="1">
      <c r="B131" s="527" t="s">
        <v>200</v>
      </c>
      <c r="C131" s="360" t="s">
        <v>7</v>
      </c>
      <c r="D131" s="367" t="s">
        <v>3</v>
      </c>
      <c r="E131" s="340"/>
      <c r="F131" s="340"/>
      <c r="G131" s="340"/>
      <c r="H131" s="339" t="s">
        <v>208</v>
      </c>
      <c r="I131" s="341" t="s">
        <v>205</v>
      </c>
    </row>
    <row r="132" spans="2:9" ht="15.95" customHeight="1">
      <c r="B132" s="526" t="s">
        <v>573</v>
      </c>
      <c r="C132" s="354" t="s">
        <v>19</v>
      </c>
      <c r="D132" s="338">
        <v>1.5</v>
      </c>
      <c r="E132" s="509"/>
      <c r="F132" s="509"/>
      <c r="G132" s="509"/>
      <c r="H132" s="524">
        <f>'Insumos poços'!E14</f>
        <v>20.82</v>
      </c>
      <c r="I132" s="343">
        <f>H132*D132</f>
        <v>31.23</v>
      </c>
    </row>
    <row r="133" spans="2:9" ht="15.95" customHeight="1">
      <c r="B133" s="525" t="s">
        <v>568</v>
      </c>
      <c r="C133" s="354" t="s">
        <v>19</v>
      </c>
      <c r="D133" s="338">
        <f>0.35/2*D132</f>
        <v>0.26</v>
      </c>
      <c r="E133" s="509"/>
      <c r="F133" s="509"/>
      <c r="G133" s="509"/>
      <c r="H133" s="524">
        <f>'Insumos poços'!E13</f>
        <v>7.18</v>
      </c>
      <c r="I133" s="343">
        <f>H133*D133</f>
        <v>1.87</v>
      </c>
    </row>
    <row r="134" spans="2:9" ht="15.95" customHeight="1">
      <c r="B134" s="525" t="s">
        <v>574</v>
      </c>
      <c r="C134" s="354" t="s">
        <v>19</v>
      </c>
      <c r="D134" s="338">
        <f>D132</f>
        <v>1.5</v>
      </c>
      <c r="E134" s="509"/>
      <c r="F134" s="509"/>
      <c r="G134" s="509"/>
      <c r="H134" s="524">
        <f>'Insumos poços'!E16</f>
        <v>12.89</v>
      </c>
      <c r="I134" s="343">
        <f>H134*D134</f>
        <v>19.34</v>
      </c>
    </row>
    <row r="135" spans="2:9" ht="15.95" customHeight="1">
      <c r="B135" s="690" t="s">
        <v>771</v>
      </c>
      <c r="C135" s="690"/>
      <c r="D135" s="690"/>
      <c r="E135" s="690"/>
      <c r="F135" s="690"/>
      <c r="G135" s="690"/>
      <c r="H135" s="690"/>
      <c r="I135" s="343"/>
    </row>
    <row r="136" spans="2:9" ht="15.95" customHeight="1">
      <c r="B136" s="692" t="s">
        <v>206</v>
      </c>
      <c r="C136" s="692"/>
      <c r="D136" s="692"/>
      <c r="E136" s="692"/>
      <c r="F136" s="692"/>
      <c r="G136" s="692"/>
      <c r="H136" s="692"/>
      <c r="I136" s="531">
        <f>SUM(I132:I135)</f>
        <v>52.44</v>
      </c>
    </row>
    <row r="137" spans="2:9" ht="15.95" customHeight="1">
      <c r="B137" s="532" t="s">
        <v>240</v>
      </c>
      <c r="C137" s="353">
        <v>1</v>
      </c>
      <c r="D137" s="687" t="s">
        <v>241</v>
      </c>
      <c r="E137" s="688"/>
      <c r="F137" s="688"/>
      <c r="G137" s="688"/>
      <c r="H137" s="689"/>
      <c r="I137" s="531">
        <f>I136+I129+I125+I119</f>
        <v>77.150000000000006</v>
      </c>
    </row>
    <row r="138" spans="2:9" ht="15.95" customHeight="1">
      <c r="B138" s="697"/>
      <c r="C138" s="698"/>
      <c r="D138" s="698"/>
      <c r="E138" s="698"/>
      <c r="F138" s="698"/>
      <c r="G138" s="698"/>
      <c r="H138" s="699"/>
      <c r="I138" s="531">
        <f>I137/C137</f>
        <v>77.150000000000006</v>
      </c>
    </row>
    <row r="139" spans="2:9" ht="15.95" customHeight="1">
      <c r="B139" s="346" t="s">
        <v>569</v>
      </c>
      <c r="C139" s="347">
        <f>'BDI''s'!$C$33</f>
        <v>24.18</v>
      </c>
      <c r="D139" s="348" t="s">
        <v>214</v>
      </c>
      <c r="E139" s="349"/>
      <c r="F139" s="349"/>
      <c r="G139" s="349"/>
      <c r="H139" s="350"/>
      <c r="I139" s="343">
        <f>C139/100*I138</f>
        <v>18.649999999999999</v>
      </c>
    </row>
    <row r="140" spans="2:9" s="329" customFormat="1" ht="30" customHeight="1" thickBot="1">
      <c r="B140" s="685" t="s">
        <v>243</v>
      </c>
      <c r="C140" s="685"/>
      <c r="D140" s="685"/>
      <c r="E140" s="685"/>
      <c r="F140" s="685"/>
      <c r="G140" s="685"/>
      <c r="H140" s="685"/>
      <c r="I140" s="522">
        <f>SUM(I138:I139)</f>
        <v>95.8</v>
      </c>
    </row>
    <row r="141" spans="2:9" ht="13.5" thickBot="1"/>
    <row r="142" spans="2:9" s="329" customFormat="1" ht="30" customHeight="1">
      <c r="B142" s="530" t="s">
        <v>8</v>
      </c>
      <c r="C142" s="529" t="str">
        <f>'Planilha Orçamentária'!B24</f>
        <v>2.1.6</v>
      </c>
      <c r="D142" s="686" t="s">
        <v>197</v>
      </c>
      <c r="E142" s="686"/>
      <c r="F142" s="686"/>
      <c r="G142" s="686"/>
      <c r="H142" s="686"/>
      <c r="I142" s="686"/>
    </row>
    <row r="143" spans="2:9" s="329" customFormat="1" ht="30" customHeight="1">
      <c r="B143" s="680" t="s">
        <v>566</v>
      </c>
      <c r="C143" s="681"/>
      <c r="D143" s="681"/>
      <c r="E143" s="681"/>
      <c r="F143" s="681"/>
      <c r="G143" s="682"/>
      <c r="H143" s="677" t="s">
        <v>819</v>
      </c>
      <c r="I143" s="678"/>
    </row>
    <row r="144" spans="2:9" s="329" customFormat="1" ht="30" customHeight="1">
      <c r="B144" s="694" t="s">
        <v>803</v>
      </c>
      <c r="C144" s="694"/>
      <c r="D144" s="694"/>
      <c r="E144" s="694"/>
      <c r="F144" s="694"/>
      <c r="G144" s="694"/>
      <c r="H144" s="330" t="s">
        <v>198</v>
      </c>
      <c r="I144" s="331" t="s">
        <v>4</v>
      </c>
    </row>
    <row r="145" spans="1:9" s="329" customFormat="1" ht="30" customHeight="1">
      <c r="B145" s="701" t="s">
        <v>199</v>
      </c>
      <c r="C145" s="701"/>
      <c r="D145" s="701"/>
      <c r="E145" s="701"/>
      <c r="F145" s="701"/>
      <c r="G145" s="701"/>
      <c r="H145" s="701"/>
      <c r="I145" s="701"/>
    </row>
    <row r="146" spans="1:9" ht="25.5">
      <c r="A146" s="362"/>
      <c r="B146" s="332" t="s">
        <v>200</v>
      </c>
      <c r="C146" s="361" t="s">
        <v>7</v>
      </c>
      <c r="D146" s="333" t="s">
        <v>3</v>
      </c>
      <c r="E146" s="333" t="s">
        <v>201</v>
      </c>
      <c r="F146" s="333" t="s">
        <v>202</v>
      </c>
      <c r="G146" s="333" t="s">
        <v>203</v>
      </c>
      <c r="H146" s="333" t="s">
        <v>204</v>
      </c>
      <c r="I146" s="334" t="s">
        <v>205</v>
      </c>
    </row>
    <row r="147" spans="1:9" ht="15.95" customHeight="1">
      <c r="B147" s="366"/>
      <c r="C147" s="355"/>
      <c r="D147" s="356"/>
      <c r="E147" s="339"/>
      <c r="F147" s="339"/>
      <c r="G147" s="339"/>
      <c r="H147" s="339"/>
      <c r="I147" s="501">
        <f>D147*E147*G147+D147*F147*H147</f>
        <v>0</v>
      </c>
    </row>
    <row r="148" spans="1:9" ht="15.95" customHeight="1">
      <c r="B148" s="692" t="s">
        <v>206</v>
      </c>
      <c r="C148" s="692"/>
      <c r="D148" s="692"/>
      <c r="E148" s="692"/>
      <c r="F148" s="692"/>
      <c r="G148" s="692"/>
      <c r="H148" s="692"/>
      <c r="I148" s="523">
        <f>SUM(I147:I147)</f>
        <v>0</v>
      </c>
    </row>
    <row r="149" spans="1:9" s="329" customFormat="1" ht="30" customHeight="1">
      <c r="B149" s="701" t="s">
        <v>207</v>
      </c>
      <c r="C149" s="701"/>
      <c r="D149" s="701"/>
      <c r="E149" s="701"/>
      <c r="F149" s="701"/>
      <c r="G149" s="701"/>
      <c r="H149" s="701"/>
      <c r="I149" s="701"/>
    </row>
    <row r="150" spans="1:9">
      <c r="B150" s="527" t="s">
        <v>200</v>
      </c>
      <c r="C150" s="360" t="s">
        <v>7</v>
      </c>
      <c r="D150" s="339" t="s">
        <v>3</v>
      </c>
      <c r="E150" s="340"/>
      <c r="F150" s="340"/>
      <c r="G150" s="340"/>
      <c r="H150" s="339" t="s">
        <v>208</v>
      </c>
      <c r="I150" s="341" t="s">
        <v>205</v>
      </c>
    </row>
    <row r="151" spans="1:9" ht="15.75" customHeight="1">
      <c r="B151" s="578" t="s">
        <v>802</v>
      </c>
      <c r="C151" s="577" t="s">
        <v>4</v>
      </c>
      <c r="D151" s="576">
        <v>1</v>
      </c>
      <c r="E151" s="351"/>
      <c r="F151" s="351"/>
      <c r="G151" s="351"/>
      <c r="H151" s="524">
        <f>'Insumos poços'!E34</f>
        <v>60</v>
      </c>
      <c r="I151" s="501">
        <f>H151*D151</f>
        <v>60</v>
      </c>
    </row>
    <row r="152" spans="1:9" ht="15.75" customHeight="1">
      <c r="B152" s="368" t="s">
        <v>784</v>
      </c>
      <c r="C152" s="575" t="s">
        <v>572</v>
      </c>
      <c r="D152" s="369">
        <v>0.2</v>
      </c>
      <c r="E152" s="574"/>
      <c r="F152" s="351"/>
      <c r="G152" s="351"/>
      <c r="H152" s="524">
        <f>'Insumos poços'!E19</f>
        <v>2.4500000000000002</v>
      </c>
      <c r="I152" s="501">
        <f>H152*D152</f>
        <v>0.49</v>
      </c>
    </row>
    <row r="153" spans="1:9" ht="15.75" customHeight="1">
      <c r="B153" s="368" t="s">
        <v>801</v>
      </c>
      <c r="C153" s="575" t="s">
        <v>572</v>
      </c>
      <c r="D153" s="369">
        <v>0.01</v>
      </c>
      <c r="E153" s="574"/>
      <c r="F153" s="351"/>
      <c r="G153" s="351"/>
      <c r="H153" s="524">
        <f>'Insumos poços'!E20</f>
        <v>12</v>
      </c>
      <c r="I153" s="501">
        <f>H153*D153</f>
        <v>0.12</v>
      </c>
    </row>
    <row r="154" spans="1:9" ht="15.95" customHeight="1">
      <c r="B154" s="692" t="s">
        <v>206</v>
      </c>
      <c r="C154" s="692"/>
      <c r="D154" s="692"/>
      <c r="E154" s="692"/>
      <c r="F154" s="692"/>
      <c r="G154" s="692"/>
      <c r="H154" s="692"/>
      <c r="I154" s="343">
        <f>SUM(I151:I153)</f>
        <v>60.61</v>
      </c>
    </row>
    <row r="155" spans="1:9" s="329" customFormat="1" ht="30" customHeight="1">
      <c r="B155" s="701" t="s">
        <v>209</v>
      </c>
      <c r="C155" s="701"/>
      <c r="D155" s="701"/>
      <c r="E155" s="701"/>
      <c r="F155" s="701"/>
      <c r="G155" s="701"/>
      <c r="H155" s="701"/>
      <c r="I155" s="701"/>
    </row>
    <row r="156" spans="1:9" ht="15.95" customHeight="1">
      <c r="B156" s="342" t="s">
        <v>200</v>
      </c>
      <c r="C156" s="528" t="s">
        <v>7</v>
      </c>
      <c r="D156" s="338" t="s">
        <v>3</v>
      </c>
      <c r="E156" s="509"/>
      <c r="F156" s="509"/>
      <c r="G156" s="509"/>
      <c r="H156" s="338" t="s">
        <v>208</v>
      </c>
      <c r="I156" s="341" t="s">
        <v>205</v>
      </c>
    </row>
    <row r="157" spans="1:9" ht="15.95" customHeight="1">
      <c r="B157" s="542"/>
      <c r="C157" s="338"/>
      <c r="D157" s="338"/>
      <c r="E157" s="509"/>
      <c r="F157" s="509"/>
      <c r="G157" s="509"/>
      <c r="H157" s="338"/>
      <c r="I157" s="343">
        <f>D157*H157</f>
        <v>0</v>
      </c>
    </row>
    <row r="158" spans="1:9" ht="15.95" customHeight="1">
      <c r="B158" s="692" t="s">
        <v>206</v>
      </c>
      <c r="C158" s="692"/>
      <c r="D158" s="692"/>
      <c r="E158" s="692"/>
      <c r="F158" s="692"/>
      <c r="G158" s="692"/>
      <c r="H158" s="692"/>
      <c r="I158" s="343">
        <f>SUM(I157:I157)</f>
        <v>0</v>
      </c>
    </row>
    <row r="159" spans="1:9" s="329" customFormat="1" ht="30" customHeight="1">
      <c r="B159" s="701" t="s">
        <v>239</v>
      </c>
      <c r="C159" s="701"/>
      <c r="D159" s="701"/>
      <c r="E159" s="701"/>
      <c r="F159" s="701"/>
      <c r="G159" s="701"/>
      <c r="H159" s="701"/>
      <c r="I159" s="701"/>
    </row>
    <row r="160" spans="1:9" ht="15.95" customHeight="1">
      <c r="B160" s="527" t="s">
        <v>200</v>
      </c>
      <c r="C160" s="360" t="s">
        <v>7</v>
      </c>
      <c r="D160" s="367" t="s">
        <v>3</v>
      </c>
      <c r="E160" s="340"/>
      <c r="F160" s="340"/>
      <c r="G160" s="340"/>
      <c r="H160" s="339" t="s">
        <v>208</v>
      </c>
      <c r="I160" s="341" t="s">
        <v>205</v>
      </c>
    </row>
    <row r="161" spans="1:9" ht="15.95" customHeight="1">
      <c r="B161" s="526" t="s">
        <v>573</v>
      </c>
      <c r="C161" s="354" t="s">
        <v>19</v>
      </c>
      <c r="D161" s="338">
        <v>1</v>
      </c>
      <c r="E161" s="509"/>
      <c r="F161" s="509"/>
      <c r="G161" s="509"/>
      <c r="H161" s="524">
        <f>'Insumos poços'!E14</f>
        <v>20.82</v>
      </c>
      <c r="I161" s="343">
        <f>H161*D161</f>
        <v>20.82</v>
      </c>
    </row>
    <row r="162" spans="1:9" ht="15.95" customHeight="1">
      <c r="B162" s="525" t="s">
        <v>568</v>
      </c>
      <c r="C162" s="354" t="s">
        <v>19</v>
      </c>
      <c r="D162" s="338">
        <v>2</v>
      </c>
      <c r="E162" s="509"/>
      <c r="F162" s="509"/>
      <c r="G162" s="509"/>
      <c r="H162" s="524">
        <f>'Insumos poços'!E13</f>
        <v>7.18</v>
      </c>
      <c r="I162" s="343">
        <f>H162*D162</f>
        <v>14.36</v>
      </c>
    </row>
    <row r="163" spans="1:9" ht="15.95" customHeight="1">
      <c r="B163" s="690" t="s">
        <v>771</v>
      </c>
      <c r="C163" s="690"/>
      <c r="D163" s="690"/>
      <c r="E163" s="690"/>
      <c r="F163" s="690"/>
      <c r="G163" s="690"/>
      <c r="H163" s="690"/>
      <c r="I163" s="343"/>
    </row>
    <row r="164" spans="1:9" ht="15.95" customHeight="1">
      <c r="B164" s="692" t="s">
        <v>206</v>
      </c>
      <c r="C164" s="692"/>
      <c r="D164" s="692"/>
      <c r="E164" s="692"/>
      <c r="F164" s="692"/>
      <c r="G164" s="692"/>
      <c r="H164" s="692"/>
      <c r="I164" s="531">
        <f>SUM(I161:I163)</f>
        <v>35.18</v>
      </c>
    </row>
    <row r="165" spans="1:9" ht="15.95" customHeight="1">
      <c r="B165" s="532" t="s">
        <v>240</v>
      </c>
      <c r="C165" s="353">
        <v>1</v>
      </c>
      <c r="D165" s="687" t="s">
        <v>241</v>
      </c>
      <c r="E165" s="688"/>
      <c r="F165" s="688"/>
      <c r="G165" s="688"/>
      <c r="H165" s="689"/>
      <c r="I165" s="523">
        <f>I148+I154+I158+I164</f>
        <v>95.79</v>
      </c>
    </row>
    <row r="166" spans="1:9" ht="15.95" customHeight="1">
      <c r="B166" s="697"/>
      <c r="C166" s="698"/>
      <c r="D166" s="698"/>
      <c r="E166" s="698"/>
      <c r="F166" s="698"/>
      <c r="G166" s="698"/>
      <c r="H166" s="699"/>
      <c r="I166" s="523">
        <f>I165/C165</f>
        <v>95.79</v>
      </c>
    </row>
    <row r="167" spans="1:9" ht="15.95" customHeight="1">
      <c r="B167" s="346" t="s">
        <v>569</v>
      </c>
      <c r="C167" s="347">
        <f>'BDI''s'!$C$33</f>
        <v>24.18</v>
      </c>
      <c r="D167" s="348" t="s">
        <v>214</v>
      </c>
      <c r="E167" s="349"/>
      <c r="F167" s="349"/>
      <c r="G167" s="349"/>
      <c r="H167" s="350"/>
      <c r="I167" s="343">
        <f>C167/100*I166</f>
        <v>23.16</v>
      </c>
    </row>
    <row r="168" spans="1:9" s="329" customFormat="1" ht="30" customHeight="1" thickBot="1">
      <c r="B168" s="685" t="s">
        <v>243</v>
      </c>
      <c r="C168" s="685"/>
      <c r="D168" s="685"/>
      <c r="E168" s="685"/>
      <c r="F168" s="685"/>
      <c r="G168" s="685"/>
      <c r="H168" s="685"/>
      <c r="I168" s="522">
        <f>SUM(I166:I167)</f>
        <v>118.95</v>
      </c>
    </row>
    <row r="169" spans="1:9" ht="13.5" thickBot="1"/>
    <row r="170" spans="1:9" ht="30" customHeight="1">
      <c r="B170" s="530" t="s">
        <v>8</v>
      </c>
      <c r="C170" s="529" t="str">
        <f>'Planilha Orçamentária'!B25</f>
        <v>2.1.7</v>
      </c>
      <c r="D170" s="686" t="s">
        <v>197</v>
      </c>
      <c r="E170" s="686"/>
      <c r="F170" s="686"/>
      <c r="G170" s="686"/>
      <c r="H170" s="686"/>
      <c r="I170" s="686"/>
    </row>
    <row r="171" spans="1:9" s="329" customFormat="1" ht="30" customHeight="1">
      <c r="B171" s="680" t="s">
        <v>566</v>
      </c>
      <c r="C171" s="681"/>
      <c r="D171" s="681"/>
      <c r="E171" s="681"/>
      <c r="F171" s="681"/>
      <c r="G171" s="682"/>
      <c r="H171" s="677" t="s">
        <v>819</v>
      </c>
      <c r="I171" s="678"/>
    </row>
    <row r="172" spans="1:9" ht="30" customHeight="1">
      <c r="B172" s="694" t="s">
        <v>800</v>
      </c>
      <c r="C172" s="694"/>
      <c r="D172" s="694"/>
      <c r="E172" s="694"/>
      <c r="F172" s="694"/>
      <c r="G172" s="694"/>
      <c r="H172" s="330" t="s">
        <v>198</v>
      </c>
      <c r="I172" s="331" t="s">
        <v>6</v>
      </c>
    </row>
    <row r="173" spans="1:9" s="329" customFormat="1" ht="30" customHeight="1">
      <c r="B173" s="701" t="s">
        <v>199</v>
      </c>
      <c r="C173" s="701"/>
      <c r="D173" s="701"/>
      <c r="E173" s="701"/>
      <c r="F173" s="701"/>
      <c r="G173" s="701"/>
      <c r="H173" s="701"/>
      <c r="I173" s="701"/>
    </row>
    <row r="174" spans="1:9" ht="25.5">
      <c r="A174" s="362"/>
      <c r="B174" s="332" t="s">
        <v>200</v>
      </c>
      <c r="C174" s="361" t="s">
        <v>7</v>
      </c>
      <c r="D174" s="333" t="s">
        <v>3</v>
      </c>
      <c r="E174" s="333" t="s">
        <v>201</v>
      </c>
      <c r="F174" s="333" t="s">
        <v>202</v>
      </c>
      <c r="G174" s="333" t="s">
        <v>203</v>
      </c>
      <c r="H174" s="333" t="s">
        <v>204</v>
      </c>
      <c r="I174" s="334" t="s">
        <v>205</v>
      </c>
    </row>
    <row r="175" spans="1:9" s="329" customFormat="1" ht="15.95" customHeight="1">
      <c r="B175" s="370" t="s">
        <v>575</v>
      </c>
      <c r="C175" s="337" t="s">
        <v>19</v>
      </c>
      <c r="D175" s="573">
        <v>1.94</v>
      </c>
      <c r="E175" s="338"/>
      <c r="F175" s="338"/>
      <c r="G175" s="524">
        <f>'Insumos poços'!E27</f>
        <v>1.95</v>
      </c>
      <c r="I175" s="343">
        <f>G175*D175</f>
        <v>3.78</v>
      </c>
    </row>
    <row r="176" spans="1:9">
      <c r="B176" s="692" t="s">
        <v>206</v>
      </c>
      <c r="C176" s="692"/>
      <c r="D176" s="692"/>
      <c r="E176" s="692"/>
      <c r="F176" s="692"/>
      <c r="G176" s="692"/>
      <c r="H176" s="692"/>
      <c r="I176" s="523">
        <f>SUM(I175:I175)</f>
        <v>3.78</v>
      </c>
    </row>
    <row r="177" spans="2:9" s="329" customFormat="1" ht="30" customHeight="1">
      <c r="B177" s="701" t="s">
        <v>207</v>
      </c>
      <c r="C177" s="701"/>
      <c r="D177" s="701"/>
      <c r="E177" s="701"/>
      <c r="F177" s="701"/>
      <c r="G177" s="701"/>
      <c r="H177" s="701"/>
      <c r="I177" s="701"/>
    </row>
    <row r="178" spans="2:9" s="329" customFormat="1" ht="15.95" customHeight="1">
      <c r="B178" s="364" t="s">
        <v>200</v>
      </c>
      <c r="C178" s="365" t="s">
        <v>7</v>
      </c>
      <c r="D178" s="338" t="s">
        <v>3</v>
      </c>
      <c r="E178" s="509"/>
      <c r="F178" s="509"/>
      <c r="G178" s="509"/>
      <c r="H178" s="338" t="s">
        <v>208</v>
      </c>
      <c r="I178" s="343" t="s">
        <v>205</v>
      </c>
    </row>
    <row r="179" spans="2:9" s="329" customFormat="1" ht="15.95" customHeight="1">
      <c r="B179" s="366" t="s">
        <v>799</v>
      </c>
      <c r="C179" s="337" t="s">
        <v>570</v>
      </c>
      <c r="D179" s="508">
        <v>364.36</v>
      </c>
      <c r="E179" s="509"/>
      <c r="F179" s="509"/>
      <c r="G179" s="509"/>
      <c r="H179" s="524">
        <f>'Insumos poços'!E23</f>
        <v>0.52</v>
      </c>
      <c r="I179" s="343">
        <f>H179*D179</f>
        <v>189.47</v>
      </c>
    </row>
    <row r="180" spans="2:9" s="329" customFormat="1" ht="15.95" customHeight="1">
      <c r="B180" s="366" t="s">
        <v>798</v>
      </c>
      <c r="C180" s="337" t="s">
        <v>6</v>
      </c>
      <c r="D180" s="508">
        <v>1.34</v>
      </c>
      <c r="E180" s="509"/>
      <c r="F180" s="509"/>
      <c r="G180" s="509"/>
      <c r="H180" s="524">
        <f>'Insumos poços'!E26</f>
        <v>82.5</v>
      </c>
      <c r="I180" s="343">
        <f>H180*D180</f>
        <v>110.55</v>
      </c>
    </row>
    <row r="181" spans="2:9" s="329" customFormat="1" ht="15.95" customHeight="1">
      <c r="B181" s="692" t="s">
        <v>206</v>
      </c>
      <c r="C181" s="692"/>
      <c r="D181" s="692"/>
      <c r="E181" s="692"/>
      <c r="F181" s="692"/>
      <c r="G181" s="692"/>
      <c r="H181" s="692"/>
      <c r="I181" s="343">
        <f>SUM(I179:I180)</f>
        <v>300.02</v>
      </c>
    </row>
    <row r="182" spans="2:9" s="329" customFormat="1" ht="30" customHeight="1">
      <c r="B182" s="701" t="s">
        <v>209</v>
      </c>
      <c r="C182" s="701"/>
      <c r="D182" s="701"/>
      <c r="E182" s="701"/>
      <c r="F182" s="701"/>
      <c r="G182" s="701"/>
      <c r="H182" s="701"/>
      <c r="I182" s="701"/>
    </row>
    <row r="183" spans="2:9" s="329" customFormat="1" ht="15.95" customHeight="1">
      <c r="B183" s="342" t="s">
        <v>200</v>
      </c>
      <c r="C183" s="354" t="s">
        <v>7</v>
      </c>
      <c r="D183" s="338" t="s">
        <v>3</v>
      </c>
      <c r="E183" s="509"/>
      <c r="F183" s="509"/>
      <c r="G183" s="509"/>
      <c r="H183" s="338" t="s">
        <v>208</v>
      </c>
      <c r="I183" s="343" t="s">
        <v>205</v>
      </c>
    </row>
    <row r="184" spans="2:9" s="329" customFormat="1" ht="15.95" customHeight="1">
      <c r="B184" s="363"/>
      <c r="C184" s="338"/>
      <c r="D184" s="338"/>
      <c r="E184" s="509"/>
      <c r="F184" s="509"/>
      <c r="G184" s="509"/>
      <c r="H184" s="338"/>
      <c r="I184" s="343">
        <f>D184*H184</f>
        <v>0</v>
      </c>
    </row>
    <row r="185" spans="2:9" s="329" customFormat="1" ht="15.95" customHeight="1">
      <c r="B185" s="692" t="s">
        <v>206</v>
      </c>
      <c r="C185" s="692"/>
      <c r="D185" s="692"/>
      <c r="E185" s="692"/>
      <c r="F185" s="692"/>
      <c r="G185" s="692"/>
      <c r="H185" s="692"/>
      <c r="I185" s="343">
        <f>SUM(I184:I184)</f>
        <v>0</v>
      </c>
    </row>
    <row r="186" spans="2:9" s="329" customFormat="1" ht="30" customHeight="1">
      <c r="B186" s="701" t="s">
        <v>239</v>
      </c>
      <c r="C186" s="701"/>
      <c r="D186" s="701"/>
      <c r="E186" s="701"/>
      <c r="F186" s="701"/>
      <c r="G186" s="701"/>
      <c r="H186" s="701"/>
      <c r="I186" s="701"/>
    </row>
    <row r="187" spans="2:9" s="329" customFormat="1" ht="15.95" customHeight="1">
      <c r="B187" s="364" t="s">
        <v>200</v>
      </c>
      <c r="C187" s="365" t="s">
        <v>7</v>
      </c>
      <c r="D187" s="345" t="s">
        <v>3</v>
      </c>
      <c r="E187" s="509"/>
      <c r="F187" s="509"/>
      <c r="G187" s="509"/>
      <c r="H187" s="561" t="s">
        <v>208</v>
      </c>
      <c r="I187" s="343" t="s">
        <v>205</v>
      </c>
    </row>
    <row r="188" spans="2:9" s="329" customFormat="1" ht="15.95" customHeight="1">
      <c r="B188" s="526" t="s">
        <v>568</v>
      </c>
      <c r="C188" s="354" t="s">
        <v>19</v>
      </c>
      <c r="D188" s="338">
        <v>4</v>
      </c>
      <c r="E188" s="509"/>
      <c r="F188" s="509"/>
      <c r="G188" s="509"/>
      <c r="H188" s="524">
        <f>'Insumos poços'!E13</f>
        <v>7.18</v>
      </c>
      <c r="I188" s="343">
        <f>H188*D188</f>
        <v>28.72</v>
      </c>
    </row>
    <row r="189" spans="2:9" s="329" customFormat="1" ht="15.95" customHeight="1">
      <c r="B189" s="525" t="s">
        <v>797</v>
      </c>
      <c r="C189" s="354" t="s">
        <v>19</v>
      </c>
      <c r="D189" s="338">
        <v>4</v>
      </c>
      <c r="E189" s="509"/>
      <c r="F189" s="509"/>
      <c r="G189" s="509"/>
      <c r="H189" s="524">
        <f>'Insumos poços'!E15</f>
        <v>9.5299999999999994</v>
      </c>
      <c r="I189" s="343">
        <f>H189*D189</f>
        <v>38.119999999999997</v>
      </c>
    </row>
    <row r="190" spans="2:9" s="329" customFormat="1" ht="15.95" customHeight="1">
      <c r="B190" s="690" t="s">
        <v>771</v>
      </c>
      <c r="C190" s="690"/>
      <c r="D190" s="690"/>
      <c r="E190" s="690"/>
      <c r="F190" s="690"/>
      <c r="G190" s="690"/>
      <c r="H190" s="690"/>
      <c r="I190" s="343"/>
    </row>
    <row r="191" spans="2:9" s="329" customFormat="1" ht="15.95" customHeight="1">
      <c r="B191" s="692" t="s">
        <v>206</v>
      </c>
      <c r="C191" s="692"/>
      <c r="D191" s="692"/>
      <c r="E191" s="692"/>
      <c r="F191" s="692"/>
      <c r="G191" s="692"/>
      <c r="H191" s="692"/>
      <c r="I191" s="523">
        <f>SUM(I188:I190)</f>
        <v>66.84</v>
      </c>
    </row>
    <row r="192" spans="2:9" s="329" customFormat="1" ht="15.95" customHeight="1">
      <c r="B192" s="532" t="s">
        <v>240</v>
      </c>
      <c r="C192" s="353">
        <v>1.05</v>
      </c>
      <c r="D192" s="687" t="s">
        <v>241</v>
      </c>
      <c r="E192" s="688"/>
      <c r="F192" s="688"/>
      <c r="G192" s="688"/>
      <c r="H192" s="689"/>
      <c r="I192" s="523">
        <f>I176+I181+I185+I191</f>
        <v>370.64</v>
      </c>
    </row>
    <row r="193" spans="1:12" s="329" customFormat="1" ht="15.95" customHeight="1">
      <c r="B193" s="697"/>
      <c r="C193" s="698"/>
      <c r="D193" s="698"/>
      <c r="E193" s="698"/>
      <c r="F193" s="698"/>
      <c r="G193" s="698"/>
      <c r="H193" s="699"/>
      <c r="I193" s="523">
        <f>I192/C192</f>
        <v>352.99</v>
      </c>
      <c r="L193" s="572"/>
    </row>
    <row r="194" spans="1:12" s="329" customFormat="1" ht="15.95" customHeight="1">
      <c r="B194" s="346" t="s">
        <v>569</v>
      </c>
      <c r="C194" s="347">
        <f>'BDI''s'!$C$33</f>
        <v>24.18</v>
      </c>
      <c r="D194" s="348" t="s">
        <v>214</v>
      </c>
      <c r="E194" s="349"/>
      <c r="F194" s="349"/>
      <c r="G194" s="349"/>
      <c r="H194" s="350"/>
      <c r="I194" s="343">
        <f>C194/100*I193</f>
        <v>85.35</v>
      </c>
      <c r="L194" s="572"/>
    </row>
    <row r="195" spans="1:12" s="329" customFormat="1" ht="30" customHeight="1" thickBot="1">
      <c r="B195" s="685" t="s">
        <v>243</v>
      </c>
      <c r="C195" s="685"/>
      <c r="D195" s="685"/>
      <c r="E195" s="685"/>
      <c r="F195" s="685"/>
      <c r="G195" s="685"/>
      <c r="H195" s="685"/>
      <c r="I195" s="522">
        <f>SUM(I193:I194)</f>
        <v>438.34</v>
      </c>
    </row>
    <row r="196" spans="1:12" ht="13.5" thickBot="1"/>
    <row r="197" spans="1:12" s="329" customFormat="1" ht="30" customHeight="1">
      <c r="B197" s="530" t="s">
        <v>8</v>
      </c>
      <c r="C197" s="529" t="str">
        <f>'Planilha Orçamentária'!B26</f>
        <v>2.1.8</v>
      </c>
      <c r="D197" s="686" t="s">
        <v>197</v>
      </c>
      <c r="E197" s="686"/>
      <c r="F197" s="686"/>
      <c r="G197" s="686"/>
      <c r="H197" s="686"/>
      <c r="I197" s="686"/>
    </row>
    <row r="198" spans="1:12" s="329" customFormat="1" ht="30" customHeight="1">
      <c r="B198" s="704" t="s">
        <v>566</v>
      </c>
      <c r="C198" s="705"/>
      <c r="D198" s="705"/>
      <c r="E198" s="705"/>
      <c r="F198" s="705"/>
      <c r="G198" s="706"/>
      <c r="H198" s="677" t="s">
        <v>819</v>
      </c>
      <c r="I198" s="678"/>
    </row>
    <row r="199" spans="1:12" s="329" customFormat="1" ht="30" customHeight="1">
      <c r="B199" s="703" t="s">
        <v>796</v>
      </c>
      <c r="C199" s="703"/>
      <c r="D199" s="703"/>
      <c r="E199" s="703"/>
      <c r="F199" s="703"/>
      <c r="G199" s="703"/>
      <c r="H199" s="570" t="s">
        <v>198</v>
      </c>
      <c r="I199" s="331" t="s">
        <v>567</v>
      </c>
    </row>
    <row r="200" spans="1:12" s="329" customFormat="1" ht="30" customHeight="1">
      <c r="B200" s="701" t="s">
        <v>199</v>
      </c>
      <c r="C200" s="701"/>
      <c r="D200" s="701"/>
      <c r="E200" s="701"/>
      <c r="F200" s="701"/>
      <c r="G200" s="701"/>
      <c r="H200" s="701"/>
      <c r="I200" s="701"/>
    </row>
    <row r="201" spans="1:12" ht="25.5">
      <c r="A201" s="362"/>
      <c r="B201" s="332" t="s">
        <v>200</v>
      </c>
      <c r="C201" s="361" t="s">
        <v>7</v>
      </c>
      <c r="D201" s="333" t="s">
        <v>3</v>
      </c>
      <c r="E201" s="333" t="s">
        <v>201</v>
      </c>
      <c r="F201" s="333" t="s">
        <v>202</v>
      </c>
      <c r="G201" s="333" t="s">
        <v>203</v>
      </c>
      <c r="H201" s="333" t="s">
        <v>204</v>
      </c>
      <c r="I201" s="334" t="s">
        <v>205</v>
      </c>
    </row>
    <row r="202" spans="1:12" ht="15.95" customHeight="1">
      <c r="B202" s="363" t="s">
        <v>785</v>
      </c>
      <c r="C202" s="358" t="s">
        <v>19</v>
      </c>
      <c r="D202" s="558">
        <v>4</v>
      </c>
      <c r="E202" s="557"/>
      <c r="F202" s="557"/>
      <c r="G202" s="524">
        <f>'Insumos poços'!E37</f>
        <v>13.05</v>
      </c>
      <c r="I202" s="343">
        <f>G202*D202</f>
        <v>52.2</v>
      </c>
    </row>
    <row r="203" spans="1:12">
      <c r="B203" s="692" t="s">
        <v>206</v>
      </c>
      <c r="C203" s="692"/>
      <c r="D203" s="692"/>
      <c r="E203" s="692"/>
      <c r="F203" s="692"/>
      <c r="G203" s="692"/>
      <c r="H203" s="692"/>
      <c r="I203" s="523">
        <f>SUM(I202:I202)</f>
        <v>52.2</v>
      </c>
    </row>
    <row r="204" spans="1:12" s="329" customFormat="1" ht="30" customHeight="1">
      <c r="B204" s="701" t="s">
        <v>207</v>
      </c>
      <c r="C204" s="701"/>
      <c r="D204" s="701"/>
      <c r="E204" s="701"/>
      <c r="F204" s="701"/>
      <c r="G204" s="701"/>
      <c r="H204" s="701"/>
      <c r="I204" s="701"/>
    </row>
    <row r="205" spans="1:12" ht="15.95" customHeight="1">
      <c r="B205" s="364" t="s">
        <v>200</v>
      </c>
      <c r="C205" s="365" t="s">
        <v>7</v>
      </c>
      <c r="D205" s="338" t="s">
        <v>3</v>
      </c>
      <c r="E205" s="509"/>
      <c r="F205" s="509"/>
      <c r="G205" s="509"/>
      <c r="H205" s="338" t="s">
        <v>208</v>
      </c>
      <c r="I205" s="343" t="s">
        <v>205</v>
      </c>
    </row>
    <row r="206" spans="1:12" ht="15.95" customHeight="1">
      <c r="B206" s="366" t="s">
        <v>784</v>
      </c>
      <c r="C206" s="337" t="s">
        <v>572</v>
      </c>
      <c r="D206" s="508">
        <v>7.5</v>
      </c>
      <c r="E206" s="509"/>
      <c r="F206" s="509"/>
      <c r="G206" s="509"/>
      <c r="H206" s="524">
        <f>'Insumos poços'!E19</f>
        <v>2.4500000000000002</v>
      </c>
      <c r="I206" s="343">
        <f>H206*D206</f>
        <v>18.38</v>
      </c>
    </row>
    <row r="207" spans="1:12" ht="15.95" customHeight="1">
      <c r="B207" s="366" t="s">
        <v>783</v>
      </c>
      <c r="C207" s="337" t="s">
        <v>572</v>
      </c>
      <c r="D207" s="508">
        <v>0.28000000000000003</v>
      </c>
      <c r="E207" s="509"/>
      <c r="F207" s="509"/>
      <c r="G207" s="509"/>
      <c r="H207" s="524">
        <f>'Insumos poços'!E20</f>
        <v>12</v>
      </c>
      <c r="I207" s="343">
        <f>H207*D207</f>
        <v>3.36</v>
      </c>
    </row>
    <row r="208" spans="1:12" ht="15.95" customHeight="1">
      <c r="B208" s="692" t="s">
        <v>206</v>
      </c>
      <c r="C208" s="692"/>
      <c r="D208" s="692"/>
      <c r="E208" s="692"/>
      <c r="F208" s="692"/>
      <c r="G208" s="692"/>
      <c r="H208" s="692"/>
      <c r="I208" s="343">
        <f>SUM(I206:I207)</f>
        <v>21.74</v>
      </c>
    </row>
    <row r="209" spans="2:9" s="329" customFormat="1" ht="30" customHeight="1">
      <c r="B209" s="701" t="s">
        <v>209</v>
      </c>
      <c r="C209" s="701"/>
      <c r="D209" s="701"/>
      <c r="E209" s="701"/>
      <c r="F209" s="701"/>
      <c r="G209" s="701"/>
      <c r="H209" s="701"/>
      <c r="I209" s="701"/>
    </row>
    <row r="210" spans="2:9" ht="15.95" customHeight="1">
      <c r="B210" s="342" t="s">
        <v>200</v>
      </c>
      <c r="C210" s="354" t="s">
        <v>7</v>
      </c>
      <c r="D210" s="338" t="s">
        <v>3</v>
      </c>
      <c r="E210" s="509"/>
      <c r="F210" s="509"/>
      <c r="G210" s="509"/>
      <c r="H210" s="338" t="s">
        <v>208</v>
      </c>
      <c r="I210" s="343" t="s">
        <v>205</v>
      </c>
    </row>
    <row r="211" spans="2:9" ht="15.95" customHeight="1">
      <c r="B211" s="542"/>
      <c r="C211" s="338"/>
      <c r="D211" s="338"/>
      <c r="E211" s="509"/>
      <c r="F211" s="509"/>
      <c r="G211" s="509"/>
      <c r="H211" s="338"/>
      <c r="I211" s="343">
        <f>D211*H211</f>
        <v>0</v>
      </c>
    </row>
    <row r="212" spans="2:9" ht="15.95" customHeight="1">
      <c r="B212" s="692" t="s">
        <v>206</v>
      </c>
      <c r="C212" s="692"/>
      <c r="D212" s="692"/>
      <c r="E212" s="692"/>
      <c r="F212" s="692"/>
      <c r="G212" s="692"/>
      <c r="H212" s="692"/>
      <c r="I212" s="343">
        <f>SUM(I211:I211)</f>
        <v>0</v>
      </c>
    </row>
    <row r="213" spans="2:9" s="329" customFormat="1" ht="30" customHeight="1">
      <c r="B213" s="701" t="s">
        <v>239</v>
      </c>
      <c r="C213" s="701"/>
      <c r="D213" s="701"/>
      <c r="E213" s="701"/>
      <c r="F213" s="701"/>
      <c r="G213" s="701"/>
      <c r="H213" s="701"/>
      <c r="I213" s="701"/>
    </row>
    <row r="214" spans="2:9" ht="15.95" customHeight="1">
      <c r="B214" s="364" t="s">
        <v>200</v>
      </c>
      <c r="C214" s="365" t="s">
        <v>7</v>
      </c>
      <c r="D214" s="345" t="s">
        <v>3</v>
      </c>
      <c r="E214" s="509"/>
      <c r="F214" s="509"/>
      <c r="G214" s="509"/>
      <c r="H214" s="338" t="s">
        <v>208</v>
      </c>
      <c r="I214" s="343" t="s">
        <v>205</v>
      </c>
    </row>
    <row r="215" spans="2:9" ht="15.95" customHeight="1">
      <c r="B215" s="538" t="s">
        <v>782</v>
      </c>
      <c r="C215" s="504" t="s">
        <v>19</v>
      </c>
      <c r="D215" s="500">
        <v>1</v>
      </c>
      <c r="E215" s="571"/>
      <c r="F215" s="571"/>
      <c r="G215" s="571"/>
      <c r="H215" s="537">
        <f>'Insumos poços'!E17</f>
        <v>12.37</v>
      </c>
      <c r="I215" s="540">
        <f>H215*D215</f>
        <v>12.37</v>
      </c>
    </row>
    <row r="216" spans="2:9" ht="15.95" customHeight="1">
      <c r="B216" s="525" t="s">
        <v>568</v>
      </c>
      <c r="C216" s="354" t="s">
        <v>19</v>
      </c>
      <c r="D216" s="338">
        <v>2</v>
      </c>
      <c r="E216" s="340"/>
      <c r="F216" s="340"/>
      <c r="G216" s="340"/>
      <c r="H216" s="524">
        <f>'Insumos poços'!E13</f>
        <v>7.18</v>
      </c>
      <c r="I216" s="343">
        <f>H216*D216</f>
        <v>14.36</v>
      </c>
    </row>
    <row r="217" spans="2:9" ht="15.95" customHeight="1">
      <c r="B217" s="690" t="s">
        <v>771</v>
      </c>
      <c r="C217" s="690"/>
      <c r="D217" s="690"/>
      <c r="E217" s="690"/>
      <c r="F217" s="690"/>
      <c r="G217" s="690"/>
      <c r="H217" s="690"/>
      <c r="I217" s="343"/>
    </row>
    <row r="218" spans="2:9" ht="15.95" customHeight="1">
      <c r="B218" s="692" t="s">
        <v>206</v>
      </c>
      <c r="C218" s="692"/>
      <c r="D218" s="692"/>
      <c r="E218" s="692"/>
      <c r="F218" s="692"/>
      <c r="G218" s="692"/>
      <c r="H218" s="692"/>
      <c r="I218" s="523">
        <f>SUM(I215:I217)</f>
        <v>26.73</v>
      </c>
    </row>
    <row r="219" spans="2:9" ht="15.95" customHeight="1">
      <c r="B219" s="532" t="s">
        <v>240</v>
      </c>
      <c r="C219" s="353">
        <v>1</v>
      </c>
      <c r="D219" s="687" t="s">
        <v>241</v>
      </c>
      <c r="E219" s="688"/>
      <c r="F219" s="688"/>
      <c r="G219" s="688"/>
      <c r="H219" s="689"/>
      <c r="I219" s="523">
        <f>I203+I208+I212+I218</f>
        <v>100.67</v>
      </c>
    </row>
    <row r="220" spans="2:9" ht="15.95" customHeight="1">
      <c r="B220" s="697"/>
      <c r="C220" s="698"/>
      <c r="D220" s="698"/>
      <c r="E220" s="698"/>
      <c r="F220" s="698"/>
      <c r="G220" s="698"/>
      <c r="H220" s="699"/>
      <c r="I220" s="523">
        <f>I219/C219</f>
        <v>100.67</v>
      </c>
    </row>
    <row r="221" spans="2:9" ht="15.95" customHeight="1">
      <c r="B221" s="346" t="s">
        <v>569</v>
      </c>
      <c r="C221" s="347">
        <f>'BDI''s'!$C$33</f>
        <v>24.18</v>
      </c>
      <c r="D221" s="348" t="s">
        <v>214</v>
      </c>
      <c r="E221" s="349"/>
      <c r="F221" s="349"/>
      <c r="G221" s="349"/>
      <c r="H221" s="350"/>
      <c r="I221" s="343">
        <f>C221/100*I220</f>
        <v>24.34</v>
      </c>
    </row>
    <row r="222" spans="2:9" s="329" customFormat="1" ht="30" customHeight="1" thickBot="1">
      <c r="B222" s="685" t="s">
        <v>243</v>
      </c>
      <c r="C222" s="685"/>
      <c r="D222" s="685"/>
      <c r="E222" s="685"/>
      <c r="F222" s="685"/>
      <c r="G222" s="685"/>
      <c r="H222" s="685"/>
      <c r="I222" s="522">
        <f>SUM(I220:I221)</f>
        <v>125.01</v>
      </c>
    </row>
    <row r="223" spans="2:9" ht="13.5" thickBot="1"/>
    <row r="224" spans="2:9" s="329" customFormat="1" ht="30" customHeight="1">
      <c r="B224" s="530" t="s">
        <v>8</v>
      </c>
      <c r="C224" s="529" t="str">
        <f>'Planilha Orçamentária'!B27</f>
        <v>2.1.9</v>
      </c>
      <c r="D224" s="686" t="s">
        <v>197</v>
      </c>
      <c r="E224" s="686"/>
      <c r="F224" s="686"/>
      <c r="G224" s="686"/>
      <c r="H224" s="686"/>
      <c r="I224" s="686"/>
    </row>
    <row r="225" spans="1:9" s="329" customFormat="1" ht="30" customHeight="1">
      <c r="B225" s="704" t="s">
        <v>566</v>
      </c>
      <c r="C225" s="705"/>
      <c r="D225" s="705"/>
      <c r="E225" s="705"/>
      <c r="F225" s="705"/>
      <c r="G225" s="706"/>
      <c r="H225" s="677" t="s">
        <v>819</v>
      </c>
      <c r="I225" s="678"/>
    </row>
    <row r="226" spans="1:9" s="329" customFormat="1" ht="30" customHeight="1">
      <c r="B226" s="703" t="s">
        <v>795</v>
      </c>
      <c r="C226" s="703"/>
      <c r="D226" s="703"/>
      <c r="E226" s="703"/>
      <c r="F226" s="703"/>
      <c r="G226" s="703"/>
      <c r="H226" s="570" t="s">
        <v>198</v>
      </c>
      <c r="I226" s="331" t="s">
        <v>567</v>
      </c>
    </row>
    <row r="227" spans="1:9" s="329" customFormat="1" ht="30" customHeight="1">
      <c r="B227" s="701" t="s">
        <v>199</v>
      </c>
      <c r="C227" s="701"/>
      <c r="D227" s="701"/>
      <c r="E227" s="701"/>
      <c r="F227" s="701"/>
      <c r="G227" s="701"/>
      <c r="H227" s="701"/>
      <c r="I227" s="701"/>
    </row>
    <row r="228" spans="1:9" ht="25.5">
      <c r="A228" s="362"/>
      <c r="B228" s="332" t="s">
        <v>200</v>
      </c>
      <c r="C228" s="361" t="s">
        <v>7</v>
      </c>
      <c r="D228" s="333" t="s">
        <v>3</v>
      </c>
      <c r="E228" s="333" t="s">
        <v>201</v>
      </c>
      <c r="F228" s="333" t="s">
        <v>202</v>
      </c>
      <c r="G228" s="333" t="s">
        <v>203</v>
      </c>
      <c r="H228" s="333" t="s">
        <v>204</v>
      </c>
      <c r="I228" s="334" t="s">
        <v>205</v>
      </c>
    </row>
    <row r="229" spans="1:9" ht="15" customHeight="1">
      <c r="B229" s="363" t="s">
        <v>785</v>
      </c>
      <c r="C229" s="358" t="s">
        <v>19</v>
      </c>
      <c r="D229" s="558">
        <v>8</v>
      </c>
      <c r="E229" s="557"/>
      <c r="F229" s="557"/>
      <c r="G229" s="524">
        <f>'Insumos poços'!E37</f>
        <v>13.05</v>
      </c>
      <c r="I229" s="343">
        <f>G229*D229</f>
        <v>104.4</v>
      </c>
    </row>
    <row r="230" spans="1:9" ht="15" customHeight="1">
      <c r="B230" s="692" t="s">
        <v>206</v>
      </c>
      <c r="C230" s="692"/>
      <c r="D230" s="692"/>
      <c r="E230" s="692"/>
      <c r="F230" s="692"/>
      <c r="G230" s="692"/>
      <c r="H230" s="692"/>
      <c r="I230" s="523">
        <f>SUM(I229:I229)</f>
        <v>104.4</v>
      </c>
    </row>
    <row r="231" spans="1:9" s="329" customFormat="1" ht="30" customHeight="1">
      <c r="B231" s="701" t="s">
        <v>207</v>
      </c>
      <c r="C231" s="701"/>
      <c r="D231" s="701"/>
      <c r="E231" s="701"/>
      <c r="F231" s="701"/>
      <c r="G231" s="701"/>
      <c r="H231" s="701"/>
      <c r="I231" s="701"/>
    </row>
    <row r="232" spans="1:9" ht="15.95" customHeight="1">
      <c r="B232" s="364" t="s">
        <v>200</v>
      </c>
      <c r="C232" s="365" t="s">
        <v>7</v>
      </c>
      <c r="D232" s="338" t="s">
        <v>3</v>
      </c>
      <c r="E232" s="509"/>
      <c r="F232" s="509"/>
      <c r="G232" s="509"/>
      <c r="H232" s="338" t="s">
        <v>208</v>
      </c>
      <c r="I232" s="343" t="s">
        <v>205</v>
      </c>
    </row>
    <row r="233" spans="1:9" ht="15.95" customHeight="1">
      <c r="B233" s="366" t="s">
        <v>784</v>
      </c>
      <c r="C233" s="337" t="s">
        <v>572</v>
      </c>
      <c r="D233" s="508">
        <v>15</v>
      </c>
      <c r="E233" s="509"/>
      <c r="F233" s="509"/>
      <c r="G233" s="509"/>
      <c r="H233" s="524">
        <f>'Insumos poços'!E19</f>
        <v>2.4500000000000002</v>
      </c>
      <c r="I233" s="343">
        <f>H233*D233</f>
        <v>36.75</v>
      </c>
    </row>
    <row r="234" spans="1:9" ht="15.95" customHeight="1">
      <c r="B234" s="366" t="s">
        <v>783</v>
      </c>
      <c r="C234" s="337" t="s">
        <v>572</v>
      </c>
      <c r="D234" s="508">
        <v>0.45</v>
      </c>
      <c r="E234" s="509"/>
      <c r="F234" s="509"/>
      <c r="G234" s="509"/>
      <c r="H234" s="524">
        <f>'Insumos poços'!E20</f>
        <v>12</v>
      </c>
      <c r="I234" s="343">
        <f>H234*D234</f>
        <v>5.4</v>
      </c>
    </row>
    <row r="235" spans="1:9" ht="15.95" customHeight="1">
      <c r="B235" s="692" t="s">
        <v>206</v>
      </c>
      <c r="C235" s="692"/>
      <c r="D235" s="692"/>
      <c r="E235" s="692"/>
      <c r="F235" s="692"/>
      <c r="G235" s="692"/>
      <c r="H235" s="692"/>
      <c r="I235" s="343">
        <f>SUM(I233:I234)</f>
        <v>42.15</v>
      </c>
    </row>
    <row r="236" spans="1:9" s="329" customFormat="1" ht="30" customHeight="1">
      <c r="B236" s="701" t="s">
        <v>209</v>
      </c>
      <c r="C236" s="701"/>
      <c r="D236" s="701"/>
      <c r="E236" s="701"/>
      <c r="F236" s="701"/>
      <c r="G236" s="701"/>
      <c r="H236" s="701"/>
      <c r="I236" s="701"/>
    </row>
    <row r="237" spans="1:9" ht="15.95" customHeight="1">
      <c r="B237" s="342" t="s">
        <v>200</v>
      </c>
      <c r="C237" s="354" t="s">
        <v>7</v>
      </c>
      <c r="D237" s="338" t="s">
        <v>3</v>
      </c>
      <c r="E237" s="509"/>
      <c r="F237" s="509"/>
      <c r="G237" s="509"/>
      <c r="H237" s="338" t="s">
        <v>208</v>
      </c>
      <c r="I237" s="343" t="s">
        <v>205</v>
      </c>
    </row>
    <row r="238" spans="1:9" ht="15.95" customHeight="1">
      <c r="B238" s="542"/>
      <c r="C238" s="338"/>
      <c r="D238" s="338"/>
      <c r="E238" s="509"/>
      <c r="F238" s="509"/>
      <c r="G238" s="509"/>
      <c r="H238" s="338"/>
      <c r="I238" s="343">
        <f>D238*H238</f>
        <v>0</v>
      </c>
    </row>
    <row r="239" spans="1:9" ht="15.95" customHeight="1">
      <c r="B239" s="692" t="s">
        <v>206</v>
      </c>
      <c r="C239" s="692"/>
      <c r="D239" s="692"/>
      <c r="E239" s="692"/>
      <c r="F239" s="692"/>
      <c r="G239" s="692"/>
      <c r="H239" s="692"/>
      <c r="I239" s="343">
        <f>SUM(I238:I238)</f>
        <v>0</v>
      </c>
    </row>
    <row r="240" spans="1:9" s="329" customFormat="1" ht="30" customHeight="1">
      <c r="B240" s="701" t="s">
        <v>239</v>
      </c>
      <c r="C240" s="701"/>
      <c r="D240" s="701"/>
      <c r="E240" s="701"/>
      <c r="F240" s="701"/>
      <c r="G240" s="701"/>
      <c r="H240" s="701"/>
      <c r="I240" s="701"/>
    </row>
    <row r="241" spans="1:9" ht="15.95" customHeight="1">
      <c r="B241" s="364" t="s">
        <v>200</v>
      </c>
      <c r="C241" s="365" t="s">
        <v>7</v>
      </c>
      <c r="D241" s="345" t="s">
        <v>3</v>
      </c>
      <c r="E241" s="509"/>
      <c r="F241" s="509"/>
      <c r="G241" s="509"/>
      <c r="H241" s="338" t="s">
        <v>208</v>
      </c>
      <c r="I241" s="343" t="s">
        <v>205</v>
      </c>
    </row>
    <row r="242" spans="1:9" ht="15.95" customHeight="1">
      <c r="B242" s="538" t="s">
        <v>782</v>
      </c>
      <c r="C242" s="504" t="s">
        <v>19</v>
      </c>
      <c r="D242" s="500">
        <v>1</v>
      </c>
      <c r="E242" s="351"/>
      <c r="F242" s="351"/>
      <c r="G242" s="351"/>
      <c r="H242" s="524">
        <f>'Insumos poços'!E14</f>
        <v>20.82</v>
      </c>
      <c r="I242" s="501">
        <f>H242*D242</f>
        <v>20.82</v>
      </c>
    </row>
    <row r="243" spans="1:9" ht="15.95" customHeight="1">
      <c r="B243" s="525" t="s">
        <v>568</v>
      </c>
      <c r="C243" s="354" t="s">
        <v>19</v>
      </c>
      <c r="D243" s="338">
        <v>4</v>
      </c>
      <c r="E243" s="509"/>
      <c r="F243" s="509"/>
      <c r="G243" s="509"/>
      <c r="H243" s="524">
        <f>'Insumos poços'!E13</f>
        <v>7.18</v>
      </c>
      <c r="I243" s="343">
        <f>H243*D243</f>
        <v>28.72</v>
      </c>
    </row>
    <row r="244" spans="1:9" ht="15.95" customHeight="1">
      <c r="B244" s="690" t="s">
        <v>771</v>
      </c>
      <c r="C244" s="690"/>
      <c r="D244" s="690"/>
      <c r="E244" s="690"/>
      <c r="F244" s="690"/>
      <c r="G244" s="690"/>
      <c r="H244" s="690"/>
      <c r="I244" s="343"/>
    </row>
    <row r="245" spans="1:9" ht="15.95" customHeight="1">
      <c r="B245" s="692" t="s">
        <v>206</v>
      </c>
      <c r="C245" s="692"/>
      <c r="D245" s="692"/>
      <c r="E245" s="692"/>
      <c r="F245" s="692"/>
      <c r="G245" s="692"/>
      <c r="H245" s="692"/>
      <c r="I245" s="523">
        <f>SUM(I242:I244)</f>
        <v>49.54</v>
      </c>
    </row>
    <row r="246" spans="1:9" ht="15.95" customHeight="1">
      <c r="B246" s="532" t="s">
        <v>240</v>
      </c>
      <c r="C246" s="353">
        <v>1</v>
      </c>
      <c r="D246" s="687" t="s">
        <v>241</v>
      </c>
      <c r="E246" s="688"/>
      <c r="F246" s="688"/>
      <c r="G246" s="688"/>
      <c r="H246" s="689"/>
      <c r="I246" s="523">
        <f>I230+I235+I239+I245</f>
        <v>196.09</v>
      </c>
    </row>
    <row r="247" spans="1:9" ht="15.95" customHeight="1">
      <c r="B247" s="697"/>
      <c r="C247" s="698"/>
      <c r="D247" s="698"/>
      <c r="E247" s="698"/>
      <c r="F247" s="698"/>
      <c r="G247" s="698"/>
      <c r="H247" s="699"/>
      <c r="I247" s="523">
        <f>I246/C246</f>
        <v>196.09</v>
      </c>
    </row>
    <row r="248" spans="1:9" ht="15.95" customHeight="1">
      <c r="B248" s="346" t="s">
        <v>569</v>
      </c>
      <c r="C248" s="347">
        <f>'BDI''s'!$C$33</f>
        <v>24.18</v>
      </c>
      <c r="D248" s="348" t="s">
        <v>214</v>
      </c>
      <c r="E248" s="349"/>
      <c r="F248" s="349"/>
      <c r="G248" s="349"/>
      <c r="H248" s="350"/>
      <c r="I248" s="343">
        <f>C248/100*I247</f>
        <v>47.41</v>
      </c>
    </row>
    <row r="249" spans="1:9" s="329" customFormat="1" ht="30" customHeight="1" thickBot="1">
      <c r="B249" s="685" t="s">
        <v>243</v>
      </c>
      <c r="C249" s="685"/>
      <c r="D249" s="685"/>
      <c r="E249" s="685"/>
      <c r="F249" s="685"/>
      <c r="G249" s="685"/>
      <c r="H249" s="685"/>
      <c r="I249" s="522">
        <f>SUM(I247:I248)</f>
        <v>243.5</v>
      </c>
    </row>
    <row r="250" spans="1:9" ht="13.5" thickBot="1"/>
    <row r="251" spans="1:9" s="329" customFormat="1" ht="30" customHeight="1">
      <c r="B251" s="530" t="s">
        <v>8</v>
      </c>
      <c r="C251" s="529" t="str">
        <f>'Planilha Orçamentária'!B28</f>
        <v>2.1.10</v>
      </c>
      <c r="D251" s="686" t="s">
        <v>197</v>
      </c>
      <c r="E251" s="686"/>
      <c r="F251" s="686"/>
      <c r="G251" s="686"/>
      <c r="H251" s="686"/>
      <c r="I251" s="686"/>
    </row>
    <row r="252" spans="1:9" s="329" customFormat="1" ht="30" customHeight="1">
      <c r="B252" s="680" t="s">
        <v>566</v>
      </c>
      <c r="C252" s="681"/>
      <c r="D252" s="681"/>
      <c r="E252" s="681"/>
      <c r="F252" s="681"/>
      <c r="G252" s="682"/>
      <c r="H252" s="677" t="s">
        <v>819</v>
      </c>
      <c r="I252" s="678"/>
    </row>
    <row r="253" spans="1:9" s="329" customFormat="1" ht="30" customHeight="1">
      <c r="B253" s="718" t="s">
        <v>794</v>
      </c>
      <c r="C253" s="719"/>
      <c r="D253" s="719"/>
      <c r="E253" s="719"/>
      <c r="F253" s="719"/>
      <c r="G253" s="720"/>
      <c r="H253" s="330" t="s">
        <v>198</v>
      </c>
      <c r="I253" s="331" t="s">
        <v>567</v>
      </c>
    </row>
    <row r="254" spans="1:9" s="329" customFormat="1" ht="30" customHeight="1">
      <c r="B254" s="701" t="s">
        <v>199</v>
      </c>
      <c r="C254" s="701"/>
      <c r="D254" s="701"/>
      <c r="E254" s="701"/>
      <c r="F254" s="701"/>
      <c r="G254" s="701"/>
      <c r="H254" s="701"/>
      <c r="I254" s="701"/>
    </row>
    <row r="255" spans="1:9" ht="25.5">
      <c r="A255" s="362"/>
      <c r="B255" s="332" t="s">
        <v>200</v>
      </c>
      <c r="C255" s="361" t="s">
        <v>7</v>
      </c>
      <c r="D255" s="333" t="s">
        <v>3</v>
      </c>
      <c r="E255" s="333" t="s">
        <v>201</v>
      </c>
      <c r="F255" s="333" t="s">
        <v>202</v>
      </c>
      <c r="G255" s="333" t="s">
        <v>203</v>
      </c>
      <c r="H255" s="333" t="s">
        <v>204</v>
      </c>
      <c r="I255" s="334" t="s">
        <v>205</v>
      </c>
    </row>
    <row r="256" spans="1:9" ht="15.95" customHeight="1">
      <c r="B256" s="366"/>
      <c r="C256" s="355"/>
      <c r="D256" s="356"/>
      <c r="E256" s="339"/>
      <c r="F256" s="339"/>
      <c r="G256" s="339"/>
      <c r="H256" s="339"/>
      <c r="I256" s="501">
        <f>D256*E256*G256+D256*F256*H256</f>
        <v>0</v>
      </c>
    </row>
    <row r="257" spans="2:11" ht="15.95" customHeight="1">
      <c r="B257" s="692" t="s">
        <v>206</v>
      </c>
      <c r="C257" s="692"/>
      <c r="D257" s="692"/>
      <c r="E257" s="692"/>
      <c r="F257" s="692"/>
      <c r="G257" s="692"/>
      <c r="H257" s="692"/>
      <c r="I257" s="523">
        <f>SUM(I256:I256)</f>
        <v>0</v>
      </c>
    </row>
    <row r="258" spans="2:11" s="329" customFormat="1" ht="30" customHeight="1">
      <c r="B258" s="701" t="s">
        <v>207</v>
      </c>
      <c r="C258" s="701"/>
      <c r="D258" s="701"/>
      <c r="E258" s="701"/>
      <c r="F258" s="701"/>
      <c r="G258" s="701"/>
      <c r="H258" s="701"/>
      <c r="I258" s="701"/>
    </row>
    <row r="259" spans="2:11" ht="15.95" customHeight="1">
      <c r="B259" s="527" t="s">
        <v>200</v>
      </c>
      <c r="C259" s="360" t="s">
        <v>7</v>
      </c>
      <c r="D259" s="339" t="s">
        <v>3</v>
      </c>
      <c r="E259" s="340"/>
      <c r="F259" s="340"/>
      <c r="G259" s="340"/>
      <c r="H259" s="339" t="s">
        <v>208</v>
      </c>
      <c r="I259" s="341" t="s">
        <v>205</v>
      </c>
    </row>
    <row r="260" spans="2:11" ht="15.95" customHeight="1">
      <c r="B260" s="363" t="s">
        <v>576</v>
      </c>
      <c r="C260" s="347" t="s">
        <v>567</v>
      </c>
      <c r="D260" s="359">
        <v>1</v>
      </c>
      <c r="E260" s="351"/>
      <c r="F260" s="351"/>
      <c r="G260" s="351"/>
      <c r="H260" s="524">
        <f>'Insumos poços'!E32</f>
        <v>46.58</v>
      </c>
      <c r="I260" s="343">
        <f>H260*D260</f>
        <v>46.58</v>
      </c>
      <c r="K260" s="352" t="s">
        <v>793</v>
      </c>
    </row>
    <row r="261" spans="2:11" ht="15.95" customHeight="1">
      <c r="B261" s="366" t="s">
        <v>792</v>
      </c>
      <c r="C261" s="337" t="s">
        <v>572</v>
      </c>
      <c r="D261" s="508">
        <v>0.01</v>
      </c>
      <c r="E261" s="509"/>
      <c r="F261" s="509"/>
      <c r="G261" s="509"/>
      <c r="H261" s="524">
        <f>'Insumos poços'!E20</f>
        <v>12</v>
      </c>
      <c r="I261" s="343">
        <f>H261*D261</f>
        <v>0.12</v>
      </c>
    </row>
    <row r="262" spans="2:11" ht="15.95" customHeight="1">
      <c r="B262" s="538" t="s">
        <v>791</v>
      </c>
      <c r="C262" s="347" t="s">
        <v>567</v>
      </c>
      <c r="D262" s="359">
        <v>1</v>
      </c>
      <c r="E262" s="351"/>
      <c r="F262" s="351"/>
      <c r="G262" s="351"/>
      <c r="H262" s="524">
        <f>'Insumos poços'!E33</f>
        <v>10.029999999999999</v>
      </c>
      <c r="I262" s="343">
        <f>H262*D262</f>
        <v>10.029999999999999</v>
      </c>
    </row>
    <row r="263" spans="2:11" ht="15.95" customHeight="1">
      <c r="B263" s="692" t="s">
        <v>206</v>
      </c>
      <c r="C263" s="692"/>
      <c r="D263" s="692"/>
      <c r="E263" s="692"/>
      <c r="F263" s="692"/>
      <c r="G263" s="692"/>
      <c r="H263" s="692"/>
      <c r="I263" s="343">
        <f>SUM(I260:I262)</f>
        <v>56.73</v>
      </c>
    </row>
    <row r="264" spans="2:11" s="329" customFormat="1" ht="30" customHeight="1">
      <c r="B264" s="701" t="s">
        <v>209</v>
      </c>
      <c r="C264" s="701"/>
      <c r="D264" s="701"/>
      <c r="E264" s="701"/>
      <c r="F264" s="701"/>
      <c r="G264" s="701"/>
      <c r="H264" s="701"/>
      <c r="I264" s="701"/>
    </row>
    <row r="265" spans="2:11" ht="15.95" customHeight="1">
      <c r="B265" s="342" t="s">
        <v>200</v>
      </c>
      <c r="C265" s="528" t="s">
        <v>7</v>
      </c>
      <c r="D265" s="338" t="s">
        <v>3</v>
      </c>
      <c r="E265" s="509"/>
      <c r="F265" s="509"/>
      <c r="G265" s="509"/>
      <c r="H265" s="338" t="s">
        <v>208</v>
      </c>
      <c r="I265" s="341" t="s">
        <v>205</v>
      </c>
    </row>
    <row r="266" spans="2:11" ht="15.95" customHeight="1">
      <c r="B266" s="542"/>
      <c r="C266" s="338"/>
      <c r="D266" s="338"/>
      <c r="E266" s="509"/>
      <c r="F266" s="509"/>
      <c r="G266" s="509"/>
      <c r="H266" s="338"/>
      <c r="I266" s="343">
        <f>D266*H266</f>
        <v>0</v>
      </c>
    </row>
    <row r="267" spans="2:11" ht="15.95" customHeight="1">
      <c r="B267" s="692" t="s">
        <v>206</v>
      </c>
      <c r="C267" s="692"/>
      <c r="D267" s="692"/>
      <c r="E267" s="692"/>
      <c r="F267" s="692"/>
      <c r="G267" s="692"/>
      <c r="H267" s="692"/>
      <c r="I267" s="343">
        <f>SUM(I266:I266)</f>
        <v>0</v>
      </c>
    </row>
    <row r="268" spans="2:11" s="329" customFormat="1" ht="30" customHeight="1">
      <c r="B268" s="701" t="s">
        <v>239</v>
      </c>
      <c r="C268" s="701"/>
      <c r="D268" s="701"/>
      <c r="E268" s="701"/>
      <c r="F268" s="701"/>
      <c r="G268" s="701"/>
      <c r="H268" s="701"/>
      <c r="I268" s="701"/>
    </row>
    <row r="269" spans="2:11" ht="15.95" customHeight="1">
      <c r="B269" s="527" t="s">
        <v>200</v>
      </c>
      <c r="C269" s="360" t="s">
        <v>7</v>
      </c>
      <c r="D269" s="367" t="s">
        <v>3</v>
      </c>
      <c r="E269" s="340"/>
      <c r="F269" s="340"/>
      <c r="G269" s="340"/>
      <c r="H269" s="339" t="s">
        <v>208</v>
      </c>
      <c r="I269" s="341" t="s">
        <v>205</v>
      </c>
    </row>
    <row r="270" spans="2:11" ht="15.95" customHeight="1">
      <c r="B270" s="526" t="s">
        <v>573</v>
      </c>
      <c r="C270" s="528" t="s">
        <v>19</v>
      </c>
      <c r="D270" s="339">
        <v>0.1</v>
      </c>
      <c r="E270" s="340"/>
      <c r="F270" s="340"/>
      <c r="G270" s="340"/>
      <c r="H270" s="537">
        <f>'Insumos poços'!E14</f>
        <v>20.82</v>
      </c>
      <c r="I270" s="343">
        <f>H270*D270</f>
        <v>2.08</v>
      </c>
    </row>
    <row r="271" spans="2:11" ht="15.95" customHeight="1">
      <c r="B271" s="525" t="s">
        <v>568</v>
      </c>
      <c r="C271" s="528" t="s">
        <v>19</v>
      </c>
      <c r="D271" s="339">
        <v>0.1</v>
      </c>
      <c r="E271" s="340"/>
      <c r="F271" s="340"/>
      <c r="G271" s="340"/>
      <c r="H271" s="537">
        <f>'Insumos poços'!E13</f>
        <v>7.18</v>
      </c>
      <c r="I271" s="343">
        <f>H271*D271</f>
        <v>0.72</v>
      </c>
    </row>
    <row r="272" spans="2:11" ht="15.95" customHeight="1">
      <c r="B272" s="690" t="s">
        <v>771</v>
      </c>
      <c r="C272" s="690"/>
      <c r="D272" s="690"/>
      <c r="E272" s="690"/>
      <c r="F272" s="690"/>
      <c r="G272" s="690"/>
      <c r="H272" s="690"/>
      <c r="I272" s="343"/>
    </row>
    <row r="273" spans="1:9" ht="15.95" customHeight="1">
      <c r="B273" s="692" t="s">
        <v>206</v>
      </c>
      <c r="C273" s="692"/>
      <c r="D273" s="692"/>
      <c r="E273" s="692"/>
      <c r="F273" s="692"/>
      <c r="G273" s="692"/>
      <c r="H273" s="692"/>
      <c r="I273" s="523">
        <f>SUM(I270:I272)</f>
        <v>2.8</v>
      </c>
    </row>
    <row r="274" spans="1:9" ht="15.95" customHeight="1">
      <c r="B274" s="532" t="s">
        <v>240</v>
      </c>
      <c r="C274" s="353">
        <v>1</v>
      </c>
      <c r="D274" s="687" t="s">
        <v>241</v>
      </c>
      <c r="E274" s="688"/>
      <c r="F274" s="688"/>
      <c r="G274" s="688"/>
      <c r="H274" s="689"/>
      <c r="I274" s="523">
        <f>I257+I263+I267+I273</f>
        <v>59.53</v>
      </c>
    </row>
    <row r="275" spans="1:9" ht="15.95" customHeight="1">
      <c r="B275" s="697"/>
      <c r="C275" s="698"/>
      <c r="D275" s="698"/>
      <c r="E275" s="698"/>
      <c r="F275" s="698"/>
      <c r="G275" s="698"/>
      <c r="H275" s="699"/>
      <c r="I275" s="523">
        <f>I274/C274</f>
        <v>59.53</v>
      </c>
    </row>
    <row r="276" spans="1:9" ht="15.95" customHeight="1">
      <c r="B276" s="346" t="s">
        <v>569</v>
      </c>
      <c r="C276" s="347">
        <f>'BDI''s'!$C$33</f>
        <v>24.18</v>
      </c>
      <c r="D276" s="348" t="s">
        <v>214</v>
      </c>
      <c r="E276" s="349"/>
      <c r="F276" s="349"/>
      <c r="G276" s="349"/>
      <c r="H276" s="350"/>
      <c r="I276" s="343">
        <f>C276/100*I275</f>
        <v>14.39</v>
      </c>
    </row>
    <row r="277" spans="1:9" s="329" customFormat="1" ht="30" customHeight="1" thickBot="1">
      <c r="B277" s="685" t="s">
        <v>243</v>
      </c>
      <c r="C277" s="685"/>
      <c r="D277" s="685"/>
      <c r="E277" s="685"/>
      <c r="F277" s="685"/>
      <c r="G277" s="685"/>
      <c r="H277" s="685"/>
      <c r="I277" s="522">
        <f>SUM(I275:I276)</f>
        <v>73.92</v>
      </c>
    </row>
    <row r="278" spans="1:9" ht="13.5" thickBot="1"/>
    <row r="279" spans="1:9" s="329" customFormat="1" ht="30" customHeight="1">
      <c r="B279" s="530" t="s">
        <v>8</v>
      </c>
      <c r="C279" s="529" t="str">
        <f>'Planilha Orçamentária'!B29</f>
        <v>2.1.11</v>
      </c>
      <c r="D279" s="686" t="s">
        <v>197</v>
      </c>
      <c r="E279" s="686"/>
      <c r="F279" s="686"/>
      <c r="G279" s="686"/>
      <c r="H279" s="686"/>
      <c r="I279" s="686"/>
    </row>
    <row r="280" spans="1:9" s="329" customFormat="1" ht="30" customHeight="1">
      <c r="B280" s="680" t="s">
        <v>566</v>
      </c>
      <c r="C280" s="681"/>
      <c r="D280" s="681"/>
      <c r="E280" s="681"/>
      <c r="F280" s="681"/>
      <c r="G280" s="682"/>
      <c r="H280" s="677" t="s">
        <v>819</v>
      </c>
      <c r="I280" s="678"/>
    </row>
    <row r="281" spans="1:9" s="329" customFormat="1" ht="30" customHeight="1">
      <c r="B281" s="703" t="s">
        <v>790</v>
      </c>
      <c r="C281" s="703"/>
      <c r="D281" s="703"/>
      <c r="E281" s="703"/>
      <c r="F281" s="703"/>
      <c r="G281" s="703"/>
      <c r="H281" s="330" t="s">
        <v>198</v>
      </c>
      <c r="I281" s="331" t="s">
        <v>567</v>
      </c>
    </row>
    <row r="282" spans="1:9" s="329" customFormat="1" ht="30" customHeight="1">
      <c r="B282" s="701" t="s">
        <v>199</v>
      </c>
      <c r="C282" s="701"/>
      <c r="D282" s="701"/>
      <c r="E282" s="701"/>
      <c r="F282" s="701"/>
      <c r="G282" s="701"/>
      <c r="H282" s="701"/>
      <c r="I282" s="701"/>
    </row>
    <row r="283" spans="1:9" ht="25.5">
      <c r="A283" s="362"/>
      <c r="B283" s="332" t="s">
        <v>200</v>
      </c>
      <c r="C283" s="361" t="s">
        <v>7</v>
      </c>
      <c r="D283" s="333" t="s">
        <v>3</v>
      </c>
      <c r="E283" s="333" t="s">
        <v>201</v>
      </c>
      <c r="F283" s="333" t="s">
        <v>202</v>
      </c>
      <c r="G283" s="333" t="s">
        <v>203</v>
      </c>
      <c r="H283" s="333" t="s">
        <v>204</v>
      </c>
      <c r="I283" s="334" t="s">
        <v>205</v>
      </c>
    </row>
    <row r="284" spans="1:9" ht="15.95" customHeight="1">
      <c r="B284" s="363" t="s">
        <v>785</v>
      </c>
      <c r="C284" s="358" t="s">
        <v>19</v>
      </c>
      <c r="D284" s="558">
        <v>2</v>
      </c>
      <c r="E284" s="500"/>
      <c r="F284" s="500"/>
      <c r="G284" s="524">
        <f>'Insumos poços'!E37</f>
        <v>13.05</v>
      </c>
      <c r="I284" s="343">
        <f>G284*D284</f>
        <v>26.1</v>
      </c>
    </row>
    <row r="285" spans="1:9" ht="17.25" customHeight="1">
      <c r="B285" s="692" t="s">
        <v>206</v>
      </c>
      <c r="C285" s="692"/>
      <c r="D285" s="692"/>
      <c r="E285" s="692"/>
      <c r="F285" s="692"/>
      <c r="G285" s="692"/>
      <c r="H285" s="692"/>
      <c r="I285" s="523">
        <f>SUM(I284:I284)</f>
        <v>26.1</v>
      </c>
    </row>
    <row r="286" spans="1:9" s="329" customFormat="1" ht="30" customHeight="1">
      <c r="B286" s="701" t="s">
        <v>207</v>
      </c>
      <c r="C286" s="701"/>
      <c r="D286" s="701"/>
      <c r="E286" s="701"/>
      <c r="F286" s="701"/>
      <c r="G286" s="701"/>
      <c r="H286" s="701"/>
      <c r="I286" s="701"/>
    </row>
    <row r="287" spans="1:9" ht="15.95" customHeight="1">
      <c r="B287" s="364" t="s">
        <v>200</v>
      </c>
      <c r="C287" s="365" t="s">
        <v>7</v>
      </c>
      <c r="D287" s="338" t="s">
        <v>3</v>
      </c>
      <c r="E287" s="509"/>
      <c r="F287" s="509"/>
      <c r="G287" s="509"/>
      <c r="H287" s="338" t="s">
        <v>208</v>
      </c>
      <c r="I287" s="343" t="s">
        <v>205</v>
      </c>
    </row>
    <row r="288" spans="1:9" ht="15.95" customHeight="1">
      <c r="B288" s="366" t="s">
        <v>784</v>
      </c>
      <c r="C288" s="337" t="s">
        <v>572</v>
      </c>
      <c r="D288" s="508">
        <v>9</v>
      </c>
      <c r="E288" s="509"/>
      <c r="F288" s="509"/>
      <c r="G288" s="509"/>
      <c r="H288" s="524">
        <f>'Insumos poços'!E19</f>
        <v>2.4500000000000002</v>
      </c>
      <c r="I288" s="343">
        <f>H288*D288</f>
        <v>22.05</v>
      </c>
    </row>
    <row r="289" spans="2:9" ht="15.95" customHeight="1">
      <c r="B289" s="366" t="s">
        <v>783</v>
      </c>
      <c r="C289" s="569" t="s">
        <v>572</v>
      </c>
      <c r="D289" s="568">
        <v>0.23</v>
      </c>
      <c r="E289" s="371"/>
      <c r="F289" s="509"/>
      <c r="G289" s="509"/>
      <c r="H289" s="524">
        <f>'Insumos poços'!E20</f>
        <v>12</v>
      </c>
      <c r="I289" s="343">
        <f>H289*D289</f>
        <v>2.76</v>
      </c>
    </row>
    <row r="290" spans="2:9" ht="15.95" customHeight="1">
      <c r="B290" s="567" t="s">
        <v>577</v>
      </c>
      <c r="C290" s="347" t="s">
        <v>572</v>
      </c>
      <c r="D290" s="372">
        <v>0.4</v>
      </c>
      <c r="E290" s="507"/>
      <c r="F290" s="535"/>
      <c r="G290" s="535"/>
      <c r="H290" s="534">
        <f>'Insumos poços'!E22</f>
        <v>4.0599999999999996</v>
      </c>
      <c r="I290" s="343">
        <f>H290*D290</f>
        <v>1.62</v>
      </c>
    </row>
    <row r="291" spans="2:9" ht="15.95" customHeight="1">
      <c r="B291" s="692" t="s">
        <v>206</v>
      </c>
      <c r="C291" s="714"/>
      <c r="D291" s="714"/>
      <c r="E291" s="714"/>
      <c r="F291" s="692"/>
      <c r="G291" s="692"/>
      <c r="H291" s="692"/>
      <c r="I291" s="343">
        <f>SUM(I288:I290)</f>
        <v>26.43</v>
      </c>
    </row>
    <row r="292" spans="2:9" s="329" customFormat="1" ht="30" customHeight="1">
      <c r="B292" s="701" t="s">
        <v>209</v>
      </c>
      <c r="C292" s="701"/>
      <c r="D292" s="701"/>
      <c r="E292" s="701"/>
      <c r="F292" s="701"/>
      <c r="G292" s="701"/>
      <c r="H292" s="701"/>
      <c r="I292" s="701"/>
    </row>
    <row r="293" spans="2:9" ht="15.95" customHeight="1">
      <c r="B293" s="342" t="s">
        <v>200</v>
      </c>
      <c r="C293" s="528" t="s">
        <v>7</v>
      </c>
      <c r="D293" s="338" t="s">
        <v>3</v>
      </c>
      <c r="E293" s="509"/>
      <c r="F293" s="509"/>
      <c r="G293" s="509"/>
      <c r="H293" s="338" t="s">
        <v>208</v>
      </c>
      <c r="I293" s="341" t="s">
        <v>205</v>
      </c>
    </row>
    <row r="294" spans="2:9" ht="15.95" customHeight="1">
      <c r="B294" s="542"/>
      <c r="C294" s="338"/>
      <c r="D294" s="338"/>
      <c r="E294" s="509"/>
      <c r="F294" s="509"/>
      <c r="G294" s="509"/>
      <c r="H294" s="338"/>
      <c r="I294" s="343">
        <f>D294*H294</f>
        <v>0</v>
      </c>
    </row>
    <row r="295" spans="2:9" ht="15.95" customHeight="1">
      <c r="B295" s="692" t="s">
        <v>206</v>
      </c>
      <c r="C295" s="692"/>
      <c r="D295" s="692"/>
      <c r="E295" s="692"/>
      <c r="F295" s="692"/>
      <c r="G295" s="692"/>
      <c r="H295" s="692"/>
      <c r="I295" s="343">
        <f>SUM(I294:I294)</f>
        <v>0</v>
      </c>
    </row>
    <row r="296" spans="2:9" s="329" customFormat="1" ht="30" customHeight="1">
      <c r="B296" s="701" t="s">
        <v>239</v>
      </c>
      <c r="C296" s="701"/>
      <c r="D296" s="701"/>
      <c r="E296" s="701"/>
      <c r="F296" s="701"/>
      <c r="G296" s="701"/>
      <c r="H296" s="701"/>
      <c r="I296" s="701"/>
    </row>
    <row r="297" spans="2:9" ht="15.95" customHeight="1">
      <c r="B297" s="364" t="s">
        <v>200</v>
      </c>
      <c r="C297" s="365" t="s">
        <v>7</v>
      </c>
      <c r="D297" s="345" t="s">
        <v>3</v>
      </c>
      <c r="E297" s="509"/>
      <c r="F297" s="509"/>
      <c r="G297" s="509"/>
      <c r="H297" s="338" t="s">
        <v>208</v>
      </c>
      <c r="I297" s="343" t="s">
        <v>205</v>
      </c>
    </row>
    <row r="298" spans="2:9" ht="15.95" customHeight="1">
      <c r="B298" s="566" t="s">
        <v>782</v>
      </c>
      <c r="C298" s="565" t="s">
        <v>19</v>
      </c>
      <c r="D298" s="539">
        <v>0.5</v>
      </c>
      <c r="E298" s="564"/>
      <c r="F298" s="564"/>
      <c r="G298" s="564"/>
      <c r="H298" s="524">
        <f>'Insumos poços'!E17</f>
        <v>12.37</v>
      </c>
      <c r="I298" s="501">
        <f>H298*D298</f>
        <v>6.19</v>
      </c>
    </row>
    <row r="299" spans="2:9" ht="15.95" customHeight="1">
      <c r="B299" s="563" t="s">
        <v>568</v>
      </c>
      <c r="C299" s="562" t="s">
        <v>19</v>
      </c>
      <c r="D299" s="561">
        <v>2</v>
      </c>
      <c r="E299" s="560"/>
      <c r="F299" s="560"/>
      <c r="G299" s="560"/>
      <c r="H299" s="524">
        <f>'Insumos poços'!E13</f>
        <v>7.18</v>
      </c>
      <c r="I299" s="343">
        <f>H299*D299</f>
        <v>14.36</v>
      </c>
    </row>
    <row r="300" spans="2:9" ht="15.95" customHeight="1">
      <c r="B300" s="721" t="s">
        <v>771</v>
      </c>
      <c r="C300" s="722"/>
      <c r="D300" s="722"/>
      <c r="E300" s="722"/>
      <c r="F300" s="722"/>
      <c r="G300" s="722"/>
      <c r="H300" s="723"/>
      <c r="I300" s="343"/>
    </row>
    <row r="301" spans="2:9" ht="15.95" customHeight="1">
      <c r="B301" s="692" t="s">
        <v>206</v>
      </c>
      <c r="C301" s="692"/>
      <c r="D301" s="692"/>
      <c r="E301" s="692"/>
      <c r="F301" s="692"/>
      <c r="G301" s="692"/>
      <c r="H301" s="692"/>
      <c r="I301" s="523">
        <f>SUM(I298:I300)</f>
        <v>20.55</v>
      </c>
    </row>
    <row r="302" spans="2:9" ht="15.95" customHeight="1">
      <c r="B302" s="532" t="s">
        <v>240</v>
      </c>
      <c r="C302" s="353">
        <v>1</v>
      </c>
      <c r="D302" s="687" t="s">
        <v>241</v>
      </c>
      <c r="E302" s="688"/>
      <c r="F302" s="688"/>
      <c r="G302" s="688"/>
      <c r="H302" s="689"/>
      <c r="I302" s="523">
        <f>I285+I291+I295+I301</f>
        <v>73.08</v>
      </c>
    </row>
    <row r="303" spans="2:9" ht="15.95" customHeight="1">
      <c r="B303" s="697"/>
      <c r="C303" s="698"/>
      <c r="D303" s="698"/>
      <c r="E303" s="698"/>
      <c r="F303" s="698"/>
      <c r="G303" s="698"/>
      <c r="H303" s="699"/>
      <c r="I303" s="523">
        <f>I302/C302</f>
        <v>73.08</v>
      </c>
    </row>
    <row r="304" spans="2:9" ht="15.95" customHeight="1">
      <c r="B304" s="346" t="s">
        <v>569</v>
      </c>
      <c r="C304" s="347">
        <f>'BDI''s'!$C$33</f>
        <v>24.18</v>
      </c>
      <c r="D304" s="348" t="s">
        <v>214</v>
      </c>
      <c r="E304" s="349"/>
      <c r="F304" s="349"/>
      <c r="G304" s="349"/>
      <c r="H304" s="350"/>
      <c r="I304" s="343">
        <f>C304/100*I303</f>
        <v>17.670000000000002</v>
      </c>
    </row>
    <row r="305" spans="1:12" s="329" customFormat="1" ht="30" customHeight="1" thickBot="1">
      <c r="B305" s="685" t="s">
        <v>243</v>
      </c>
      <c r="C305" s="685"/>
      <c r="D305" s="685"/>
      <c r="E305" s="685"/>
      <c r="F305" s="685"/>
      <c r="G305" s="685"/>
      <c r="H305" s="685"/>
      <c r="I305" s="522">
        <f>SUM(I303:I304)</f>
        <v>90.75</v>
      </c>
    </row>
    <row r="306" spans="1:12" ht="13.5" thickBot="1"/>
    <row r="307" spans="1:12" s="329" customFormat="1" ht="30" customHeight="1">
      <c r="B307" s="530" t="s">
        <v>8</v>
      </c>
      <c r="C307" s="529" t="str">
        <f>'Planilha Orçamentária'!B30</f>
        <v>2.1.12</v>
      </c>
      <c r="D307" s="686" t="s">
        <v>197</v>
      </c>
      <c r="E307" s="686"/>
      <c r="F307" s="686"/>
      <c r="G307" s="686"/>
      <c r="H307" s="686"/>
      <c r="I307" s="686"/>
    </row>
    <row r="308" spans="1:12" s="329" customFormat="1" ht="30" customHeight="1">
      <c r="B308" s="680" t="s">
        <v>566</v>
      </c>
      <c r="C308" s="681"/>
      <c r="D308" s="681"/>
      <c r="E308" s="681"/>
      <c r="F308" s="681"/>
      <c r="G308" s="682"/>
      <c r="H308" s="677" t="s">
        <v>819</v>
      </c>
      <c r="I308" s="678"/>
    </row>
    <row r="309" spans="1:12" s="329" customFormat="1" ht="30" customHeight="1">
      <c r="B309" s="694" t="s">
        <v>789</v>
      </c>
      <c r="C309" s="694"/>
      <c r="D309" s="694"/>
      <c r="E309" s="694"/>
      <c r="F309" s="694"/>
      <c r="G309" s="694"/>
      <c r="H309" s="330" t="s">
        <v>198</v>
      </c>
      <c r="I309" s="331" t="s">
        <v>567</v>
      </c>
    </row>
    <row r="310" spans="1:12" s="329" customFormat="1" ht="30" customHeight="1">
      <c r="B310" s="701" t="s">
        <v>199</v>
      </c>
      <c r="C310" s="701"/>
      <c r="D310" s="701"/>
      <c r="E310" s="701"/>
      <c r="F310" s="701"/>
      <c r="G310" s="701"/>
      <c r="H310" s="701"/>
      <c r="I310" s="701"/>
    </row>
    <row r="311" spans="1:12" ht="25.5" customHeight="1">
      <c r="A311" s="362"/>
      <c r="B311" s="332" t="s">
        <v>200</v>
      </c>
      <c r="C311" s="361" t="s">
        <v>7</v>
      </c>
      <c r="D311" s="333" t="s">
        <v>3</v>
      </c>
      <c r="E311" s="333" t="s">
        <v>201</v>
      </c>
      <c r="F311" s="333" t="s">
        <v>202</v>
      </c>
      <c r="G311" s="333" t="s">
        <v>203</v>
      </c>
      <c r="H311" s="333" t="s">
        <v>204</v>
      </c>
      <c r="I311" s="334" t="s">
        <v>205</v>
      </c>
    </row>
    <row r="312" spans="1:12" ht="15.95" customHeight="1">
      <c r="B312" s="363" t="s">
        <v>788</v>
      </c>
      <c r="C312" s="358" t="s">
        <v>19</v>
      </c>
      <c r="D312" s="359">
        <v>4</v>
      </c>
      <c r="E312" s="500"/>
      <c r="F312" s="500"/>
      <c r="G312" s="524">
        <f>'Insumos poços'!E30</f>
        <v>8.6300000000000008</v>
      </c>
      <c r="I312" s="501">
        <f>G312*D312</f>
        <v>34.520000000000003</v>
      </c>
    </row>
    <row r="313" spans="1:12" ht="15.95" customHeight="1">
      <c r="B313" s="692" t="s">
        <v>206</v>
      </c>
      <c r="C313" s="692"/>
      <c r="D313" s="692"/>
      <c r="E313" s="692"/>
      <c r="F313" s="692"/>
      <c r="G313" s="692"/>
      <c r="H313" s="692"/>
      <c r="I313" s="523">
        <f>SUM(I312:I312)</f>
        <v>34.520000000000003</v>
      </c>
    </row>
    <row r="314" spans="1:12" s="329" customFormat="1" ht="30" customHeight="1">
      <c r="B314" s="701" t="s">
        <v>207</v>
      </c>
      <c r="C314" s="701"/>
      <c r="D314" s="701"/>
      <c r="E314" s="701"/>
      <c r="F314" s="701"/>
      <c r="G314" s="701"/>
      <c r="H314" s="701"/>
      <c r="I314" s="701"/>
    </row>
    <row r="315" spans="1:12">
      <c r="B315" s="527" t="s">
        <v>200</v>
      </c>
      <c r="C315" s="360" t="s">
        <v>7</v>
      </c>
      <c r="D315" s="339" t="s">
        <v>3</v>
      </c>
      <c r="E315" s="340"/>
      <c r="F315" s="340"/>
      <c r="G315" s="340"/>
      <c r="H315" s="339" t="s">
        <v>208</v>
      </c>
      <c r="I315" s="341" t="s">
        <v>205</v>
      </c>
    </row>
    <row r="316" spans="1:12">
      <c r="B316" s="366"/>
      <c r="C316" s="337"/>
      <c r="D316" s="508"/>
      <c r="E316" s="509"/>
      <c r="F316" s="509"/>
      <c r="G316" s="509"/>
      <c r="H316" s="338"/>
      <c r="I316" s="343">
        <f>H316*D316</f>
        <v>0</v>
      </c>
    </row>
    <row r="317" spans="1:12">
      <c r="B317" s="692" t="s">
        <v>206</v>
      </c>
      <c r="C317" s="692"/>
      <c r="D317" s="692"/>
      <c r="E317" s="692"/>
      <c r="F317" s="692"/>
      <c r="G317" s="692"/>
      <c r="H317" s="692"/>
      <c r="I317" s="343">
        <f>SUM(I316:I316)</f>
        <v>0</v>
      </c>
    </row>
    <row r="318" spans="1:12" s="329" customFormat="1" ht="30" customHeight="1">
      <c r="B318" s="701" t="s">
        <v>209</v>
      </c>
      <c r="C318" s="701"/>
      <c r="D318" s="701"/>
      <c r="E318" s="701"/>
      <c r="F318" s="701"/>
      <c r="G318" s="701"/>
      <c r="H318" s="701"/>
      <c r="I318" s="701"/>
    </row>
    <row r="319" spans="1:12" ht="15.95" customHeight="1">
      <c r="B319" s="342" t="s">
        <v>200</v>
      </c>
      <c r="C319" s="354" t="s">
        <v>7</v>
      </c>
      <c r="D319" s="338" t="s">
        <v>3</v>
      </c>
      <c r="E319" s="509"/>
      <c r="F319" s="509"/>
      <c r="G319" s="509"/>
      <c r="H319" s="338" t="s">
        <v>208</v>
      </c>
      <c r="I319" s="343" t="s">
        <v>205</v>
      </c>
    </row>
    <row r="320" spans="1:12" ht="15.95" customHeight="1">
      <c r="B320" s="363" t="s">
        <v>787</v>
      </c>
      <c r="C320" s="347" t="s">
        <v>567</v>
      </c>
      <c r="D320" s="500">
        <v>1</v>
      </c>
      <c r="E320" s="351"/>
      <c r="F320" s="351"/>
      <c r="G320" s="351"/>
      <c r="H320" s="524">
        <f>'Insumos poços'!E39+'Insumos poços'!E38</f>
        <v>176.02</v>
      </c>
      <c r="I320" s="501">
        <f>D320*H320</f>
        <v>176.02</v>
      </c>
      <c r="J320" s="352"/>
      <c r="L320" s="352"/>
    </row>
    <row r="321" spans="2:13" ht="15.95" customHeight="1">
      <c r="B321" s="692" t="s">
        <v>206</v>
      </c>
      <c r="C321" s="692"/>
      <c r="D321" s="692"/>
      <c r="E321" s="692"/>
      <c r="F321" s="692"/>
      <c r="G321" s="692"/>
      <c r="H321" s="692"/>
      <c r="I321" s="343">
        <f>SUM(I320:I320)</f>
        <v>176.02</v>
      </c>
      <c r="M321" s="559"/>
    </row>
    <row r="322" spans="2:13" s="329" customFormat="1" ht="30" customHeight="1">
      <c r="B322" s="701" t="s">
        <v>239</v>
      </c>
      <c r="C322" s="701"/>
      <c r="D322" s="701"/>
      <c r="E322" s="701"/>
      <c r="F322" s="701"/>
      <c r="G322" s="701"/>
      <c r="H322" s="701"/>
      <c r="I322" s="701"/>
    </row>
    <row r="323" spans="2:13" ht="15.95" customHeight="1">
      <c r="B323" s="527" t="s">
        <v>200</v>
      </c>
      <c r="C323" s="360" t="s">
        <v>7</v>
      </c>
      <c r="D323" s="367" t="s">
        <v>3</v>
      </c>
      <c r="E323" s="340"/>
      <c r="F323" s="340"/>
      <c r="G323" s="340"/>
      <c r="H323" s="339" t="s">
        <v>208</v>
      </c>
      <c r="I323" s="341" t="s">
        <v>205</v>
      </c>
    </row>
    <row r="324" spans="2:13" ht="15.95" customHeight="1">
      <c r="B324" s="526" t="s">
        <v>319</v>
      </c>
      <c r="C324" s="354" t="s">
        <v>19</v>
      </c>
      <c r="D324" s="338">
        <v>4</v>
      </c>
      <c r="E324" s="340"/>
      <c r="F324" s="340"/>
      <c r="G324" s="340"/>
      <c r="H324" s="524">
        <f>'Insumos poços'!E12</f>
        <v>19.46</v>
      </c>
      <c r="I324" s="343">
        <f>H324*D324</f>
        <v>77.84</v>
      </c>
    </row>
    <row r="325" spans="2:13" ht="15.95" customHeight="1">
      <c r="B325" s="525" t="s">
        <v>568</v>
      </c>
      <c r="C325" s="354" t="s">
        <v>19</v>
      </c>
      <c r="D325" s="338">
        <v>0.2</v>
      </c>
      <c r="E325" s="340"/>
      <c r="F325" s="340"/>
      <c r="G325" s="340"/>
      <c r="H325" s="524">
        <f>'Insumos poços'!E13</f>
        <v>7.18</v>
      </c>
      <c r="I325" s="343">
        <f>H325*D325</f>
        <v>1.44</v>
      </c>
    </row>
    <row r="326" spans="2:13" ht="15.95" customHeight="1">
      <c r="B326" s="690" t="s">
        <v>771</v>
      </c>
      <c r="C326" s="690"/>
      <c r="D326" s="690"/>
      <c r="E326" s="690"/>
      <c r="F326" s="690"/>
      <c r="G326" s="690"/>
      <c r="H326" s="690"/>
      <c r="I326" s="343"/>
    </row>
    <row r="327" spans="2:13" ht="15.95" customHeight="1">
      <c r="B327" s="692" t="s">
        <v>206</v>
      </c>
      <c r="C327" s="692"/>
      <c r="D327" s="692"/>
      <c r="E327" s="692"/>
      <c r="F327" s="692"/>
      <c r="G327" s="692"/>
      <c r="H327" s="692"/>
      <c r="I327" s="523">
        <f>SUM(I324:I326)</f>
        <v>79.28</v>
      </c>
    </row>
    <row r="328" spans="2:13" ht="15.95" customHeight="1">
      <c r="B328" s="532" t="s">
        <v>240</v>
      </c>
      <c r="C328" s="353">
        <v>1</v>
      </c>
      <c r="D328" s="687" t="s">
        <v>241</v>
      </c>
      <c r="E328" s="688"/>
      <c r="F328" s="688"/>
      <c r="G328" s="688"/>
      <c r="H328" s="689"/>
      <c r="I328" s="523">
        <f>I313+I317+I321+I327</f>
        <v>289.82</v>
      </c>
    </row>
    <row r="329" spans="2:13" ht="15.95" customHeight="1">
      <c r="B329" s="697"/>
      <c r="C329" s="698"/>
      <c r="D329" s="698"/>
      <c r="E329" s="698"/>
      <c r="F329" s="698"/>
      <c r="G329" s="698"/>
      <c r="H329" s="699"/>
      <c r="I329" s="523">
        <f>I328/C328</f>
        <v>289.82</v>
      </c>
    </row>
    <row r="330" spans="2:13" ht="15.95" customHeight="1">
      <c r="B330" s="346" t="s">
        <v>569</v>
      </c>
      <c r="C330" s="347">
        <f>'BDI''s'!$C$33</f>
        <v>24.18</v>
      </c>
      <c r="D330" s="348" t="s">
        <v>214</v>
      </c>
      <c r="E330" s="349"/>
      <c r="F330" s="349"/>
      <c r="G330" s="349"/>
      <c r="H330" s="350"/>
      <c r="I330" s="343">
        <f>C330/100*I329</f>
        <v>70.08</v>
      </c>
    </row>
    <row r="331" spans="2:13" s="329" customFormat="1" ht="30" customHeight="1" thickBot="1">
      <c r="B331" s="685" t="s">
        <v>243</v>
      </c>
      <c r="C331" s="685"/>
      <c r="D331" s="685"/>
      <c r="E331" s="685"/>
      <c r="F331" s="685"/>
      <c r="G331" s="685"/>
      <c r="H331" s="685"/>
      <c r="I331" s="522">
        <f>SUM(I329:I330)</f>
        <v>359.9</v>
      </c>
    </row>
    <row r="332" spans="2:13" ht="13.5" thickBot="1"/>
    <row r="333" spans="2:13" s="329" customFormat="1" ht="30" customHeight="1">
      <c r="B333" s="530" t="s">
        <v>8</v>
      </c>
      <c r="C333" s="529" t="str">
        <f>'Planilha Orçamentária'!B31</f>
        <v>2.1.13</v>
      </c>
      <c r="D333" s="686" t="s">
        <v>197</v>
      </c>
      <c r="E333" s="686"/>
      <c r="F333" s="686"/>
      <c r="G333" s="686"/>
      <c r="H333" s="686"/>
      <c r="I333" s="686"/>
    </row>
    <row r="334" spans="2:13" s="329" customFormat="1" ht="30" customHeight="1">
      <c r="B334" s="680" t="s">
        <v>566</v>
      </c>
      <c r="C334" s="681"/>
      <c r="D334" s="681"/>
      <c r="E334" s="681"/>
      <c r="F334" s="681"/>
      <c r="G334" s="682"/>
      <c r="H334" s="677" t="s">
        <v>819</v>
      </c>
      <c r="I334" s="678"/>
    </row>
    <row r="335" spans="2:13" s="329" customFormat="1" ht="30" customHeight="1">
      <c r="B335" s="708" t="s">
        <v>786</v>
      </c>
      <c r="C335" s="709"/>
      <c r="D335" s="709"/>
      <c r="E335" s="709"/>
      <c r="F335" s="709"/>
      <c r="G335" s="710"/>
      <c r="H335" s="330" t="s">
        <v>198</v>
      </c>
      <c r="I335" s="331" t="s">
        <v>567</v>
      </c>
    </row>
    <row r="336" spans="2:13" s="329" customFormat="1" ht="30" customHeight="1">
      <c r="B336" s="701" t="s">
        <v>199</v>
      </c>
      <c r="C336" s="701"/>
      <c r="D336" s="701"/>
      <c r="E336" s="701"/>
      <c r="F336" s="701"/>
      <c r="G336" s="701"/>
      <c r="H336" s="701"/>
      <c r="I336" s="701"/>
    </row>
    <row r="337" spans="1:9" ht="25.5">
      <c r="A337" s="362"/>
      <c r="B337" s="332" t="s">
        <v>200</v>
      </c>
      <c r="C337" s="361" t="s">
        <v>7</v>
      </c>
      <c r="D337" s="333" t="s">
        <v>3</v>
      </c>
      <c r="E337" s="333" t="s">
        <v>201</v>
      </c>
      <c r="F337" s="333" t="s">
        <v>202</v>
      </c>
      <c r="G337" s="333" t="s">
        <v>203</v>
      </c>
      <c r="H337" s="333" t="s">
        <v>204</v>
      </c>
      <c r="I337" s="334" t="s">
        <v>205</v>
      </c>
    </row>
    <row r="338" spans="1:9" ht="15.95" customHeight="1">
      <c r="B338" s="363" t="s">
        <v>785</v>
      </c>
      <c r="C338" s="358" t="s">
        <v>19</v>
      </c>
      <c r="D338" s="558">
        <v>4</v>
      </c>
      <c r="E338" s="557"/>
      <c r="F338" s="557"/>
      <c r="G338" s="524">
        <f>'Insumos poços'!E37</f>
        <v>13.05</v>
      </c>
      <c r="I338" s="343">
        <f>G338*D338</f>
        <v>52.2</v>
      </c>
    </row>
    <row r="339" spans="1:9">
      <c r="B339" s="692" t="s">
        <v>206</v>
      </c>
      <c r="C339" s="692"/>
      <c r="D339" s="692"/>
      <c r="E339" s="692"/>
      <c r="F339" s="692"/>
      <c r="G339" s="692"/>
      <c r="H339" s="692"/>
      <c r="I339" s="523">
        <f>SUM(I338:I338)</f>
        <v>52.2</v>
      </c>
    </row>
    <row r="340" spans="1:9" s="329" customFormat="1" ht="30" customHeight="1">
      <c r="B340" s="701" t="s">
        <v>207</v>
      </c>
      <c r="C340" s="701"/>
      <c r="D340" s="701"/>
      <c r="E340" s="701"/>
      <c r="F340" s="701"/>
      <c r="G340" s="701"/>
      <c r="H340" s="701"/>
      <c r="I340" s="701"/>
    </row>
    <row r="341" spans="1:9" ht="15.95" customHeight="1">
      <c r="B341" s="527" t="s">
        <v>200</v>
      </c>
      <c r="C341" s="360" t="s">
        <v>7</v>
      </c>
      <c r="D341" s="339" t="s">
        <v>3</v>
      </c>
      <c r="E341" s="340"/>
      <c r="F341" s="340"/>
      <c r="G341" s="340"/>
      <c r="H341" s="339" t="s">
        <v>208</v>
      </c>
      <c r="I341" s="341" t="s">
        <v>205</v>
      </c>
    </row>
    <row r="342" spans="1:9" ht="15.95" customHeight="1">
      <c r="B342" s="366" t="s">
        <v>784</v>
      </c>
      <c r="C342" s="337" t="s">
        <v>572</v>
      </c>
      <c r="D342" s="508">
        <v>9</v>
      </c>
      <c r="E342" s="509"/>
      <c r="F342" s="509"/>
      <c r="G342" s="509"/>
      <c r="H342" s="524">
        <f>'Insumos poços'!E19</f>
        <v>2.4500000000000002</v>
      </c>
      <c r="I342" s="343">
        <f>H342*D342</f>
        <v>22.05</v>
      </c>
    </row>
    <row r="343" spans="1:9" ht="15.95" customHeight="1">
      <c r="B343" s="366" t="s">
        <v>783</v>
      </c>
      <c r="C343" s="337" t="s">
        <v>572</v>
      </c>
      <c r="D343" s="508">
        <v>0.23</v>
      </c>
      <c r="E343" s="509"/>
      <c r="F343" s="509"/>
      <c r="G343" s="509"/>
      <c r="H343" s="524">
        <f>'Insumos poços'!E20</f>
        <v>12</v>
      </c>
      <c r="I343" s="343">
        <f>H343*D343</f>
        <v>2.76</v>
      </c>
    </row>
    <row r="344" spans="1:9" ht="15.95" customHeight="1">
      <c r="B344" s="692" t="s">
        <v>206</v>
      </c>
      <c r="C344" s="692"/>
      <c r="D344" s="692"/>
      <c r="E344" s="692"/>
      <c r="F344" s="692"/>
      <c r="G344" s="692"/>
      <c r="H344" s="692"/>
      <c r="I344" s="343">
        <f>SUM(I342:I343)</f>
        <v>24.81</v>
      </c>
    </row>
    <row r="345" spans="1:9" s="329" customFormat="1" ht="30" customHeight="1">
      <c r="B345" s="701" t="s">
        <v>209</v>
      </c>
      <c r="C345" s="701"/>
      <c r="D345" s="701"/>
      <c r="E345" s="701"/>
      <c r="F345" s="701"/>
      <c r="G345" s="701"/>
      <c r="H345" s="701"/>
      <c r="I345" s="701"/>
    </row>
    <row r="346" spans="1:9" ht="15.95" customHeight="1">
      <c r="B346" s="342" t="s">
        <v>200</v>
      </c>
      <c r="C346" s="528" t="s">
        <v>7</v>
      </c>
      <c r="D346" s="338" t="s">
        <v>3</v>
      </c>
      <c r="E346" s="509"/>
      <c r="F346" s="509"/>
      <c r="G346" s="509"/>
      <c r="H346" s="338" t="s">
        <v>208</v>
      </c>
      <c r="I346" s="341" t="s">
        <v>205</v>
      </c>
    </row>
    <row r="347" spans="1:9" ht="15.95" customHeight="1">
      <c r="B347" s="542"/>
      <c r="C347" s="338"/>
      <c r="D347" s="338"/>
      <c r="E347" s="509"/>
      <c r="F347" s="509"/>
      <c r="G347" s="509"/>
      <c r="H347" s="338"/>
      <c r="I347" s="343">
        <f>D347*H347</f>
        <v>0</v>
      </c>
    </row>
    <row r="348" spans="1:9" ht="15.95" customHeight="1">
      <c r="B348" s="692" t="s">
        <v>206</v>
      </c>
      <c r="C348" s="692"/>
      <c r="D348" s="692"/>
      <c r="E348" s="692"/>
      <c r="F348" s="692"/>
      <c r="G348" s="692"/>
      <c r="H348" s="692"/>
      <c r="I348" s="343">
        <f>SUM(I347:I347)</f>
        <v>0</v>
      </c>
    </row>
    <row r="349" spans="1:9" s="329" customFormat="1" ht="30" customHeight="1">
      <c r="B349" s="701" t="s">
        <v>239</v>
      </c>
      <c r="C349" s="701"/>
      <c r="D349" s="701"/>
      <c r="E349" s="701"/>
      <c r="F349" s="701"/>
      <c r="G349" s="701"/>
      <c r="H349" s="701"/>
      <c r="I349" s="701"/>
    </row>
    <row r="350" spans="1:9" ht="15.95" customHeight="1">
      <c r="B350" s="527" t="s">
        <v>200</v>
      </c>
      <c r="C350" s="360" t="s">
        <v>7</v>
      </c>
      <c r="D350" s="367" t="s">
        <v>3</v>
      </c>
      <c r="E350" s="340"/>
      <c r="F350" s="340"/>
      <c r="G350" s="340"/>
      <c r="H350" s="339" t="s">
        <v>208</v>
      </c>
      <c r="I350" s="341" t="s">
        <v>205</v>
      </c>
    </row>
    <row r="351" spans="1:9" ht="15.95" customHeight="1">
      <c r="B351" s="538" t="s">
        <v>782</v>
      </c>
      <c r="C351" s="504" t="s">
        <v>19</v>
      </c>
      <c r="D351" s="500">
        <v>1</v>
      </c>
      <c r="E351" s="351"/>
      <c r="F351" s="351"/>
      <c r="G351" s="351"/>
      <c r="H351" s="524">
        <f>'Insumos poços'!E17</f>
        <v>12.37</v>
      </c>
      <c r="I351" s="501">
        <f>H351*D351</f>
        <v>12.37</v>
      </c>
    </row>
    <row r="352" spans="1:9" ht="15.95" customHeight="1">
      <c r="B352" s="525" t="s">
        <v>568</v>
      </c>
      <c r="C352" s="354" t="s">
        <v>19</v>
      </c>
      <c r="D352" s="338">
        <v>4</v>
      </c>
      <c r="E352" s="509"/>
      <c r="F352" s="509"/>
      <c r="G352" s="509"/>
      <c r="H352" s="524">
        <f>'Insumos poços'!E13</f>
        <v>7.18</v>
      </c>
      <c r="I352" s="343">
        <f>H352*D352</f>
        <v>28.72</v>
      </c>
    </row>
    <row r="353" spans="1:9" ht="15.95" customHeight="1">
      <c r="B353" s="690" t="s">
        <v>771</v>
      </c>
      <c r="C353" s="690"/>
      <c r="D353" s="690"/>
      <c r="E353" s="690"/>
      <c r="F353" s="690"/>
      <c r="G353" s="690"/>
      <c r="H353" s="690"/>
      <c r="I353" s="343"/>
    </row>
    <row r="354" spans="1:9" ht="15.95" customHeight="1">
      <c r="B354" s="692" t="s">
        <v>206</v>
      </c>
      <c r="C354" s="692"/>
      <c r="D354" s="692"/>
      <c r="E354" s="692"/>
      <c r="F354" s="692"/>
      <c r="G354" s="692"/>
      <c r="H354" s="692"/>
      <c r="I354" s="523">
        <f>SUM(I351:I353)</f>
        <v>41.09</v>
      </c>
    </row>
    <row r="355" spans="1:9" ht="15.95" customHeight="1">
      <c r="B355" s="532" t="s">
        <v>240</v>
      </c>
      <c r="C355" s="353">
        <v>1</v>
      </c>
      <c r="D355" s="687" t="s">
        <v>241</v>
      </c>
      <c r="E355" s="688"/>
      <c r="F355" s="688"/>
      <c r="G355" s="688"/>
      <c r="H355" s="689"/>
      <c r="I355" s="523">
        <f>I339+I344+I348+I354</f>
        <v>118.1</v>
      </c>
    </row>
    <row r="356" spans="1:9" ht="15.95" customHeight="1">
      <c r="B356" s="697"/>
      <c r="C356" s="698"/>
      <c r="D356" s="698"/>
      <c r="E356" s="698"/>
      <c r="F356" s="698"/>
      <c r="G356" s="698"/>
      <c r="H356" s="699"/>
      <c r="I356" s="523">
        <f>I355/C355</f>
        <v>118.1</v>
      </c>
    </row>
    <row r="357" spans="1:9" ht="15.95" customHeight="1">
      <c r="B357" s="346" t="s">
        <v>569</v>
      </c>
      <c r="C357" s="347">
        <f>'BDI''s'!$C$33</f>
        <v>24.18</v>
      </c>
      <c r="D357" s="348" t="s">
        <v>214</v>
      </c>
      <c r="E357" s="349"/>
      <c r="F357" s="349"/>
      <c r="G357" s="349"/>
      <c r="H357" s="350"/>
      <c r="I357" s="343">
        <f>C357/100*I356</f>
        <v>28.56</v>
      </c>
    </row>
    <row r="358" spans="1:9" s="329" customFormat="1" ht="30" customHeight="1" thickBot="1">
      <c r="B358" s="685" t="s">
        <v>243</v>
      </c>
      <c r="C358" s="685"/>
      <c r="D358" s="685"/>
      <c r="E358" s="685"/>
      <c r="F358" s="685"/>
      <c r="G358" s="685"/>
      <c r="H358" s="685"/>
      <c r="I358" s="522">
        <f>SUM(I356:I357)</f>
        <v>146.66</v>
      </c>
    </row>
    <row r="359" spans="1:9" ht="13.5" thickBot="1"/>
    <row r="360" spans="1:9" ht="30" customHeight="1">
      <c r="B360" s="530" t="s">
        <v>8</v>
      </c>
      <c r="C360" s="529" t="str">
        <f>'Planilha Orçamentária'!B32</f>
        <v>2.1.14</v>
      </c>
      <c r="D360" s="686" t="s">
        <v>197</v>
      </c>
      <c r="E360" s="686"/>
      <c r="F360" s="686"/>
      <c r="G360" s="686"/>
      <c r="H360" s="686"/>
      <c r="I360" s="686"/>
    </row>
    <row r="361" spans="1:9" s="329" customFormat="1" ht="30" customHeight="1">
      <c r="B361" s="680" t="s">
        <v>566</v>
      </c>
      <c r="C361" s="681"/>
      <c r="D361" s="681"/>
      <c r="E361" s="681"/>
      <c r="F361" s="681"/>
      <c r="G361" s="682"/>
      <c r="H361" s="677" t="s">
        <v>819</v>
      </c>
      <c r="I361" s="678"/>
    </row>
    <row r="362" spans="1:9" ht="30" customHeight="1">
      <c r="B362" s="694" t="s">
        <v>781</v>
      </c>
      <c r="C362" s="694"/>
      <c r="D362" s="694"/>
      <c r="E362" s="694"/>
      <c r="F362" s="694"/>
      <c r="G362" s="694"/>
      <c r="H362" s="330" t="s">
        <v>198</v>
      </c>
      <c r="I362" s="331" t="s">
        <v>567</v>
      </c>
    </row>
    <row r="363" spans="1:9" s="329" customFormat="1" ht="30" customHeight="1">
      <c r="B363" s="701" t="s">
        <v>199</v>
      </c>
      <c r="C363" s="701"/>
      <c r="D363" s="701"/>
      <c r="E363" s="701"/>
      <c r="F363" s="701"/>
      <c r="G363" s="701"/>
      <c r="H363" s="701"/>
      <c r="I363" s="701"/>
    </row>
    <row r="364" spans="1:9" ht="25.5">
      <c r="A364" s="362"/>
      <c r="B364" s="332" t="s">
        <v>200</v>
      </c>
      <c r="C364" s="361" t="s">
        <v>7</v>
      </c>
      <c r="D364" s="333" t="s">
        <v>3</v>
      </c>
      <c r="E364" s="333" t="s">
        <v>201</v>
      </c>
      <c r="F364" s="333" t="s">
        <v>202</v>
      </c>
      <c r="G364" s="333" t="s">
        <v>203</v>
      </c>
      <c r="H364" s="333" t="s">
        <v>204</v>
      </c>
      <c r="I364" s="334" t="s">
        <v>205</v>
      </c>
    </row>
    <row r="365" spans="1:9" ht="15.95" customHeight="1">
      <c r="B365" s="366"/>
      <c r="C365" s="355"/>
      <c r="D365" s="356"/>
      <c r="E365" s="339"/>
      <c r="F365" s="339"/>
      <c r="G365" s="339"/>
      <c r="H365" s="339"/>
      <c r="I365" s="341">
        <f>H365*D365</f>
        <v>0</v>
      </c>
    </row>
    <row r="366" spans="1:9" ht="15.95" customHeight="1">
      <c r="B366" s="692" t="s">
        <v>206</v>
      </c>
      <c r="C366" s="692"/>
      <c r="D366" s="692"/>
      <c r="E366" s="692"/>
      <c r="F366" s="692"/>
      <c r="G366" s="692"/>
      <c r="H366" s="692"/>
      <c r="I366" s="523">
        <f>SUM(I365:I365)</f>
        <v>0</v>
      </c>
    </row>
    <row r="367" spans="1:9" s="329" customFormat="1" ht="30" customHeight="1">
      <c r="B367" s="701" t="s">
        <v>207</v>
      </c>
      <c r="C367" s="701"/>
      <c r="D367" s="701"/>
      <c r="E367" s="701"/>
      <c r="F367" s="701"/>
      <c r="G367" s="701"/>
      <c r="H367" s="701"/>
      <c r="I367" s="701"/>
    </row>
    <row r="368" spans="1:9">
      <c r="B368" s="527" t="s">
        <v>200</v>
      </c>
      <c r="C368" s="360" t="s">
        <v>7</v>
      </c>
      <c r="D368" s="339" t="s">
        <v>3</v>
      </c>
      <c r="E368" s="340"/>
      <c r="F368" s="340"/>
      <c r="G368" s="340"/>
      <c r="H368" s="339" t="s">
        <v>208</v>
      </c>
      <c r="I368" s="341" t="s">
        <v>205</v>
      </c>
    </row>
    <row r="369" spans="2:11" ht="15.95" customHeight="1">
      <c r="B369" s="366"/>
      <c r="C369" s="337"/>
      <c r="D369" s="508"/>
      <c r="E369" s="509"/>
      <c r="F369" s="509"/>
      <c r="G369" s="509"/>
      <c r="H369" s="338"/>
      <c r="I369" s="343">
        <f>H369*D369</f>
        <v>0</v>
      </c>
    </row>
    <row r="370" spans="2:11" ht="15.95" customHeight="1">
      <c r="B370" s="692" t="s">
        <v>206</v>
      </c>
      <c r="C370" s="692"/>
      <c r="D370" s="692"/>
      <c r="E370" s="692"/>
      <c r="F370" s="692"/>
      <c r="G370" s="692"/>
      <c r="H370" s="692"/>
      <c r="I370" s="343">
        <f>SUM(I369:I369)</f>
        <v>0</v>
      </c>
    </row>
    <row r="371" spans="2:11" s="329" customFormat="1" ht="30" customHeight="1">
      <c r="B371" s="701" t="s">
        <v>209</v>
      </c>
      <c r="C371" s="701"/>
      <c r="D371" s="701"/>
      <c r="E371" s="701"/>
      <c r="F371" s="701"/>
      <c r="G371" s="701"/>
      <c r="H371" s="701"/>
      <c r="I371" s="701"/>
    </row>
    <row r="372" spans="2:11" ht="15.95" customHeight="1">
      <c r="B372" s="342" t="s">
        <v>200</v>
      </c>
      <c r="C372" s="528" t="s">
        <v>7</v>
      </c>
      <c r="D372" s="338" t="s">
        <v>3</v>
      </c>
      <c r="E372" s="509"/>
      <c r="F372" s="509"/>
      <c r="G372" s="509"/>
      <c r="H372" s="338" t="s">
        <v>208</v>
      </c>
      <c r="I372" s="341" t="s">
        <v>205</v>
      </c>
    </row>
    <row r="373" spans="2:11" ht="15.95" customHeight="1">
      <c r="B373" s="363" t="s">
        <v>578</v>
      </c>
      <c r="C373" s="347" t="s">
        <v>567</v>
      </c>
      <c r="D373" s="338">
        <v>1</v>
      </c>
      <c r="E373" s="509"/>
      <c r="F373" s="509"/>
      <c r="G373" s="509"/>
      <c r="H373" s="524">
        <f>'Insumos poços'!E40</f>
        <v>745</v>
      </c>
      <c r="I373" s="343">
        <f>D373*H373</f>
        <v>745</v>
      </c>
      <c r="K373" s="352"/>
    </row>
    <row r="374" spans="2:11" ht="15.95" customHeight="1">
      <c r="B374" s="692" t="s">
        <v>206</v>
      </c>
      <c r="C374" s="692"/>
      <c r="D374" s="692"/>
      <c r="E374" s="692"/>
      <c r="F374" s="692"/>
      <c r="G374" s="692"/>
      <c r="H374" s="692"/>
      <c r="I374" s="343">
        <f>SUM(I373:I373)</f>
        <v>745</v>
      </c>
    </row>
    <row r="375" spans="2:11" s="329" customFormat="1" ht="30" customHeight="1">
      <c r="B375" s="701" t="s">
        <v>239</v>
      </c>
      <c r="C375" s="701"/>
      <c r="D375" s="701"/>
      <c r="E375" s="701"/>
      <c r="F375" s="701"/>
      <c r="G375" s="701"/>
      <c r="H375" s="701"/>
      <c r="I375" s="701"/>
    </row>
    <row r="376" spans="2:11" ht="15.95" customHeight="1">
      <c r="B376" s="527" t="s">
        <v>200</v>
      </c>
      <c r="C376" s="360" t="s">
        <v>7</v>
      </c>
      <c r="D376" s="367" t="s">
        <v>3</v>
      </c>
      <c r="E376" s="340"/>
      <c r="F376" s="340"/>
      <c r="G376" s="340"/>
      <c r="H376" s="339" t="s">
        <v>208</v>
      </c>
      <c r="I376" s="341" t="s">
        <v>205</v>
      </c>
    </row>
    <row r="377" spans="2:11" ht="15.95" customHeight="1">
      <c r="B377" s="525"/>
      <c r="C377" s="528"/>
      <c r="D377" s="339"/>
      <c r="E377" s="340"/>
      <c r="F377" s="340"/>
      <c r="G377" s="340"/>
      <c r="H377" s="339"/>
      <c r="I377" s="341">
        <f>H377*D377</f>
        <v>0</v>
      </c>
    </row>
    <row r="378" spans="2:11" ht="15.95" customHeight="1">
      <c r="B378" s="690" t="s">
        <v>771</v>
      </c>
      <c r="C378" s="690"/>
      <c r="D378" s="690"/>
      <c r="E378" s="690"/>
      <c r="F378" s="690"/>
      <c r="G378" s="690"/>
      <c r="H378" s="690"/>
      <c r="I378" s="343"/>
    </row>
    <row r="379" spans="2:11" ht="15.95" customHeight="1">
      <c r="B379" s="692" t="s">
        <v>206</v>
      </c>
      <c r="C379" s="692"/>
      <c r="D379" s="692"/>
      <c r="E379" s="692"/>
      <c r="F379" s="692"/>
      <c r="G379" s="692"/>
      <c r="H379" s="692"/>
      <c r="I379" s="531">
        <f>SUM(I377:I378)</f>
        <v>0</v>
      </c>
    </row>
    <row r="380" spans="2:11" ht="15.95" customHeight="1">
      <c r="B380" s="344" t="s">
        <v>240</v>
      </c>
      <c r="C380" s="338">
        <v>1</v>
      </c>
      <c r="D380" s="707" t="s">
        <v>241</v>
      </c>
      <c r="E380" s="707"/>
      <c r="F380" s="707"/>
      <c r="G380" s="707"/>
      <c r="H380" s="707"/>
      <c r="I380" s="523">
        <f>I379+I374+I370+I366</f>
        <v>745</v>
      </c>
    </row>
    <row r="381" spans="2:11" ht="15.95" customHeight="1">
      <c r="B381" s="697"/>
      <c r="C381" s="698"/>
      <c r="D381" s="698"/>
      <c r="E381" s="698"/>
      <c r="F381" s="698"/>
      <c r="G381" s="698"/>
      <c r="H381" s="699"/>
      <c r="I381" s="523">
        <f>I380/C380</f>
        <v>745</v>
      </c>
    </row>
    <row r="382" spans="2:11" ht="15.95" customHeight="1">
      <c r="B382" s="346" t="s">
        <v>569</v>
      </c>
      <c r="C382" s="347">
        <f>'BDI''s'!$C$33</f>
        <v>24.18</v>
      </c>
      <c r="D382" s="348" t="s">
        <v>214</v>
      </c>
      <c r="E382" s="349"/>
      <c r="F382" s="349"/>
      <c r="G382" s="349"/>
      <c r="H382" s="350"/>
      <c r="I382" s="343">
        <f>C382/100*I381</f>
        <v>180.14</v>
      </c>
    </row>
    <row r="383" spans="2:11" s="329" customFormat="1" ht="30" customHeight="1" thickBot="1">
      <c r="B383" s="685" t="s">
        <v>243</v>
      </c>
      <c r="C383" s="685"/>
      <c r="D383" s="685"/>
      <c r="E383" s="685"/>
      <c r="F383" s="685"/>
      <c r="G383" s="685"/>
      <c r="H383" s="685"/>
      <c r="I383" s="522">
        <f>SUM(I381:I382)</f>
        <v>925.14</v>
      </c>
    </row>
    <row r="384" spans="2:11" ht="13.5" thickBot="1"/>
    <row r="385" spans="2:11" ht="30" customHeight="1">
      <c r="B385" s="530" t="s">
        <v>8</v>
      </c>
      <c r="C385" s="529" t="str">
        <f>'Planilha Orçamentária'!B33</f>
        <v>2.1.15</v>
      </c>
      <c r="D385" s="686" t="s">
        <v>197</v>
      </c>
      <c r="E385" s="686"/>
      <c r="F385" s="686"/>
      <c r="G385" s="686"/>
      <c r="H385" s="686"/>
      <c r="I385" s="686"/>
    </row>
    <row r="386" spans="2:11" s="329" customFormat="1" ht="30" customHeight="1">
      <c r="B386" s="680" t="s">
        <v>566</v>
      </c>
      <c r="C386" s="681"/>
      <c r="D386" s="681"/>
      <c r="E386" s="681"/>
      <c r="F386" s="681"/>
      <c r="G386" s="682"/>
      <c r="H386" s="677" t="s">
        <v>819</v>
      </c>
      <c r="I386" s="678"/>
    </row>
    <row r="387" spans="2:11" ht="28.5" customHeight="1">
      <c r="B387" s="715" t="s">
        <v>780</v>
      </c>
      <c r="C387" s="716"/>
      <c r="D387" s="716"/>
      <c r="E387" s="716"/>
      <c r="F387" s="716"/>
      <c r="G387" s="717"/>
      <c r="H387" s="330" t="s">
        <v>198</v>
      </c>
      <c r="I387" s="331" t="s">
        <v>6</v>
      </c>
      <c r="K387" s="373"/>
    </row>
    <row r="388" spans="2:11" s="329" customFormat="1" ht="30" customHeight="1">
      <c r="B388" s="683" t="s">
        <v>199</v>
      </c>
      <c r="C388" s="683"/>
      <c r="D388" s="683"/>
      <c r="E388" s="683"/>
      <c r="F388" s="683"/>
      <c r="G388" s="683"/>
      <c r="H388" s="683"/>
      <c r="I388" s="683"/>
    </row>
    <row r="389" spans="2:11" ht="25.5">
      <c r="B389" s="332" t="s">
        <v>200</v>
      </c>
      <c r="C389" s="333" t="s">
        <v>385</v>
      </c>
      <c r="D389" s="333" t="s">
        <v>3</v>
      </c>
      <c r="E389" s="333" t="s">
        <v>201</v>
      </c>
      <c r="F389" s="333" t="s">
        <v>202</v>
      </c>
      <c r="G389" s="333" t="s">
        <v>203</v>
      </c>
      <c r="H389" s="333" t="s">
        <v>204</v>
      </c>
      <c r="I389" s="334" t="s">
        <v>205</v>
      </c>
    </row>
    <row r="390" spans="2:11" ht="15.95" customHeight="1">
      <c r="B390" s="366" t="s">
        <v>575</v>
      </c>
      <c r="C390" s="337" t="s">
        <v>19</v>
      </c>
      <c r="D390" s="508">
        <v>0.6</v>
      </c>
      <c r="E390" s="338"/>
      <c r="F390" s="338"/>
      <c r="G390" s="524">
        <f>'Insumos poços'!E27</f>
        <v>1.95</v>
      </c>
      <c r="I390" s="343">
        <f>G390*D390</f>
        <v>1.17</v>
      </c>
    </row>
    <row r="391" spans="2:11" ht="15.95" customHeight="1">
      <c r="B391" s="692" t="s">
        <v>206</v>
      </c>
      <c r="C391" s="692"/>
      <c r="D391" s="692"/>
      <c r="E391" s="692"/>
      <c r="F391" s="692"/>
      <c r="G391" s="692"/>
      <c r="H391" s="692"/>
      <c r="I391" s="531">
        <f>SUM(I390:I390)</f>
        <v>1.17</v>
      </c>
    </row>
    <row r="392" spans="2:11" s="329" customFormat="1" ht="30" customHeight="1">
      <c r="B392" s="683" t="s">
        <v>207</v>
      </c>
      <c r="C392" s="683"/>
      <c r="D392" s="683"/>
      <c r="E392" s="683"/>
      <c r="F392" s="683"/>
      <c r="G392" s="683"/>
      <c r="H392" s="683"/>
      <c r="I392" s="683"/>
    </row>
    <row r="393" spans="2:11" ht="15.95" customHeight="1">
      <c r="B393" s="556" t="s">
        <v>200</v>
      </c>
      <c r="C393" s="339" t="s">
        <v>385</v>
      </c>
      <c r="D393" s="339" t="s">
        <v>3</v>
      </c>
      <c r="E393" s="333"/>
      <c r="F393" s="333"/>
      <c r="G393" s="333"/>
      <c r="H393" s="339" t="s">
        <v>208</v>
      </c>
      <c r="I393" s="341" t="s">
        <v>205</v>
      </c>
    </row>
    <row r="394" spans="2:11" ht="15.95" customHeight="1">
      <c r="B394" s="525" t="s">
        <v>775</v>
      </c>
      <c r="C394" s="339" t="s">
        <v>570</v>
      </c>
      <c r="D394" s="339">
        <v>340</v>
      </c>
      <c r="E394" s="340"/>
      <c r="F394" s="340"/>
      <c r="G394" s="333"/>
      <c r="H394" s="537">
        <f>'Insumos poços'!E23</f>
        <v>0.52</v>
      </c>
      <c r="I394" s="341">
        <f>D394*H394</f>
        <v>176.8</v>
      </c>
    </row>
    <row r="395" spans="2:11" ht="15.95" customHeight="1">
      <c r="B395" s="525" t="s">
        <v>774</v>
      </c>
      <c r="C395" s="339" t="s">
        <v>6</v>
      </c>
      <c r="D395" s="555">
        <v>0.63200000000000001</v>
      </c>
      <c r="E395" s="340"/>
      <c r="F395" s="340"/>
      <c r="G395" s="333"/>
      <c r="H395" s="537">
        <f>'Insumos poços'!E26</f>
        <v>82.5</v>
      </c>
      <c r="I395" s="341">
        <f>D395*H395</f>
        <v>52.14</v>
      </c>
    </row>
    <row r="396" spans="2:11" ht="15.95" customHeight="1">
      <c r="B396" s="525" t="s">
        <v>773</v>
      </c>
      <c r="C396" s="339" t="s">
        <v>6</v>
      </c>
      <c r="D396" s="338">
        <v>0.37</v>
      </c>
      <c r="E396" s="340"/>
      <c r="F396" s="340"/>
      <c r="G396" s="340"/>
      <c r="H396" s="537">
        <f>'Insumos poços'!E24</f>
        <v>70.41</v>
      </c>
      <c r="I396" s="341">
        <f>H396*D396</f>
        <v>26.05</v>
      </c>
    </row>
    <row r="397" spans="2:11" ht="15.95" customHeight="1">
      <c r="B397" s="525" t="s">
        <v>772</v>
      </c>
      <c r="C397" s="339" t="s">
        <v>6</v>
      </c>
      <c r="D397" s="338">
        <v>0.37</v>
      </c>
      <c r="E397" s="340"/>
      <c r="F397" s="340"/>
      <c r="G397" s="340"/>
      <c r="H397" s="537">
        <f>'Insumos poços'!E25</f>
        <v>68</v>
      </c>
      <c r="I397" s="341">
        <f>H397*D397</f>
        <v>25.16</v>
      </c>
    </row>
    <row r="398" spans="2:11" ht="15.95" customHeight="1">
      <c r="B398" s="554" t="s">
        <v>779</v>
      </c>
      <c r="C398" s="338" t="s">
        <v>570</v>
      </c>
      <c r="D398" s="338">
        <v>20</v>
      </c>
      <c r="E398" s="509"/>
      <c r="F398" s="509"/>
      <c r="G398" s="509"/>
      <c r="H398" s="524">
        <f>'Insumos poços'!E28</f>
        <v>4.0999999999999996</v>
      </c>
      <c r="I398" s="343">
        <f>D398*H398</f>
        <v>82</v>
      </c>
      <c r="J398" s="352"/>
    </row>
    <row r="399" spans="2:11" ht="15.95" customHeight="1">
      <c r="B399" s="553" t="s">
        <v>778</v>
      </c>
      <c r="C399" s="367" t="s">
        <v>5</v>
      </c>
      <c r="D399" s="339">
        <v>0.64</v>
      </c>
      <c r="E399" s="340"/>
      <c r="F399" s="340"/>
      <c r="G399" s="340"/>
      <c r="H399" s="537">
        <f>'Insumos poços'!E31</f>
        <v>16.13</v>
      </c>
      <c r="I399" s="341">
        <f>D399*H399</f>
        <v>10.32</v>
      </c>
      <c r="K399" s="335">
        <f>70/20</f>
        <v>3.5</v>
      </c>
    </row>
    <row r="400" spans="2:11" ht="15.95" customHeight="1">
      <c r="B400" s="553" t="s">
        <v>777</v>
      </c>
      <c r="C400" s="552" t="s">
        <v>570</v>
      </c>
      <c r="D400" s="551">
        <v>0.7</v>
      </c>
      <c r="E400" s="550"/>
      <c r="F400" s="549"/>
      <c r="G400" s="549"/>
      <c r="H400" s="548">
        <f>'Insumos poços'!E21</f>
        <v>7.91</v>
      </c>
      <c r="I400" s="341">
        <f>D400*H400</f>
        <v>5.54</v>
      </c>
      <c r="K400" s="335">
        <f>2.5/3.5</f>
        <v>0.71</v>
      </c>
    </row>
    <row r="401" spans="2:11" ht="15.95" customHeight="1">
      <c r="B401" s="547" t="s">
        <v>776</v>
      </c>
      <c r="C401" s="546" t="s">
        <v>572</v>
      </c>
      <c r="D401" s="546">
        <v>0.34</v>
      </c>
      <c r="E401" s="545"/>
      <c r="F401" s="544"/>
      <c r="G401" s="544"/>
      <c r="H401" s="543">
        <f>'Insumos poços'!E29</f>
        <v>9.98</v>
      </c>
      <c r="I401" s="341">
        <f>D401*H401</f>
        <v>3.39</v>
      </c>
      <c r="K401" s="335">
        <f>1.2/3.5</f>
        <v>0.34</v>
      </c>
    </row>
    <row r="402" spans="2:11" ht="15.95" customHeight="1">
      <c r="B402" s="714" t="s">
        <v>206</v>
      </c>
      <c r="C402" s="714"/>
      <c r="D402" s="714"/>
      <c r="E402" s="714"/>
      <c r="F402" s="714"/>
      <c r="G402" s="714"/>
      <c r="H402" s="714"/>
      <c r="I402" s="531">
        <f>SUM(I394:I401)</f>
        <v>381.4</v>
      </c>
    </row>
    <row r="403" spans="2:11" s="329" customFormat="1" ht="30" customHeight="1">
      <c r="B403" s="683" t="s">
        <v>209</v>
      </c>
      <c r="C403" s="683"/>
      <c r="D403" s="683"/>
      <c r="E403" s="683"/>
      <c r="F403" s="683"/>
      <c r="G403" s="683"/>
      <c r="H403" s="683"/>
      <c r="I403" s="683"/>
    </row>
    <row r="404" spans="2:11">
      <c r="B404" s="342" t="s">
        <v>200</v>
      </c>
      <c r="C404" s="338" t="s">
        <v>385</v>
      </c>
      <c r="D404" s="338" t="s">
        <v>3</v>
      </c>
      <c r="E404" s="509"/>
      <c r="F404" s="509"/>
      <c r="G404" s="509"/>
      <c r="H404" s="338" t="s">
        <v>208</v>
      </c>
      <c r="I404" s="341" t="s">
        <v>205</v>
      </c>
    </row>
    <row r="405" spans="2:11">
      <c r="B405" s="542"/>
      <c r="C405" s="338"/>
      <c r="D405" s="338"/>
      <c r="E405" s="509"/>
      <c r="F405" s="509"/>
      <c r="G405" s="509"/>
      <c r="H405" s="338"/>
      <c r="I405" s="341">
        <v>0</v>
      </c>
    </row>
    <row r="406" spans="2:11">
      <c r="B406" s="692" t="s">
        <v>206</v>
      </c>
      <c r="C406" s="692"/>
      <c r="D406" s="692"/>
      <c r="E406" s="692"/>
      <c r="F406" s="692"/>
      <c r="G406" s="692"/>
      <c r="H406" s="692"/>
      <c r="I406" s="341">
        <v>0</v>
      </c>
    </row>
    <row r="407" spans="2:11" s="329" customFormat="1" ht="30" customHeight="1">
      <c r="B407" s="683" t="s">
        <v>239</v>
      </c>
      <c r="C407" s="683"/>
      <c r="D407" s="683"/>
      <c r="E407" s="683"/>
      <c r="F407" s="683"/>
      <c r="G407" s="683"/>
      <c r="H407" s="683"/>
      <c r="I407" s="683"/>
    </row>
    <row r="408" spans="2:11" s="329" customFormat="1" ht="15.95" customHeight="1">
      <c r="B408" s="541" t="s">
        <v>200</v>
      </c>
      <c r="C408" s="338" t="s">
        <v>385</v>
      </c>
      <c r="D408" s="338" t="s">
        <v>3</v>
      </c>
      <c r="E408" s="509"/>
      <c r="F408" s="509"/>
      <c r="G408" s="509"/>
      <c r="H408" s="338" t="s">
        <v>208</v>
      </c>
      <c r="I408" s="343" t="s">
        <v>205</v>
      </c>
    </row>
    <row r="409" spans="2:11" ht="15.95" customHeight="1">
      <c r="B409" s="525" t="s">
        <v>579</v>
      </c>
      <c r="C409" s="339" t="s">
        <v>19</v>
      </c>
      <c r="D409" s="338">
        <v>3</v>
      </c>
      <c r="E409" s="509"/>
      <c r="F409" s="509"/>
      <c r="G409" s="509"/>
      <c r="H409" s="524">
        <f>'Insumos poços'!E15</f>
        <v>9.5299999999999994</v>
      </c>
      <c r="I409" s="501">
        <f>D409*H409</f>
        <v>28.59</v>
      </c>
    </row>
    <row r="410" spans="2:11" ht="15.95" customHeight="1">
      <c r="B410" s="525" t="s">
        <v>568</v>
      </c>
      <c r="C410" s="338" t="s">
        <v>19</v>
      </c>
      <c r="D410" s="338">
        <v>13</v>
      </c>
      <c r="E410" s="509"/>
      <c r="F410" s="509"/>
      <c r="G410" s="509"/>
      <c r="H410" s="524">
        <f>'Insumos poços'!E13</f>
        <v>7.18</v>
      </c>
      <c r="I410" s="501">
        <f>D410*H410</f>
        <v>93.34</v>
      </c>
    </row>
    <row r="411" spans="2:11" ht="15.95" customHeight="1">
      <c r="B411" s="690" t="s">
        <v>771</v>
      </c>
      <c r="C411" s="690"/>
      <c r="D411" s="690"/>
      <c r="E411" s="690"/>
      <c r="F411" s="690"/>
      <c r="G411" s="690"/>
      <c r="H411" s="690"/>
      <c r="I411" s="540"/>
    </row>
    <row r="412" spans="2:11" ht="15.95" customHeight="1">
      <c r="B412" s="692" t="s">
        <v>206</v>
      </c>
      <c r="C412" s="692"/>
      <c r="D412" s="692"/>
      <c r="E412" s="692"/>
      <c r="F412" s="692"/>
      <c r="G412" s="692"/>
      <c r="H412" s="692"/>
      <c r="I412" s="531">
        <f>SUM(I409:I411)</f>
        <v>121.93</v>
      </c>
    </row>
    <row r="413" spans="2:11" ht="15.95" customHeight="1">
      <c r="B413" s="344" t="s">
        <v>240</v>
      </c>
      <c r="C413" s="338">
        <v>1</v>
      </c>
      <c r="D413" s="707" t="s">
        <v>241</v>
      </c>
      <c r="E413" s="707"/>
      <c r="F413" s="707"/>
      <c r="G413" s="707"/>
      <c r="H413" s="707"/>
      <c r="I413" s="531">
        <f>I391+I402+I406+I412</f>
        <v>504.5</v>
      </c>
    </row>
    <row r="414" spans="2:11" ht="15.95" customHeight="1">
      <c r="B414" s="697"/>
      <c r="C414" s="698"/>
      <c r="D414" s="698"/>
      <c r="E414" s="698"/>
      <c r="F414" s="698"/>
      <c r="G414" s="698"/>
      <c r="H414" s="699"/>
      <c r="I414" s="531">
        <f>I413/C413</f>
        <v>504.5</v>
      </c>
    </row>
    <row r="415" spans="2:11" ht="15.95" customHeight="1">
      <c r="B415" s="346" t="s">
        <v>569</v>
      </c>
      <c r="C415" s="347">
        <f>'BDI''s'!$C$33</f>
        <v>24.18</v>
      </c>
      <c r="D415" s="348" t="s">
        <v>214</v>
      </c>
      <c r="E415" s="349"/>
      <c r="F415" s="349"/>
      <c r="G415" s="349"/>
      <c r="H415" s="350"/>
      <c r="I415" s="343">
        <f>C415/100*I414</f>
        <v>121.99</v>
      </c>
    </row>
    <row r="416" spans="2:11" s="329" customFormat="1" ht="30" customHeight="1" thickBot="1">
      <c r="B416" s="685" t="s">
        <v>243</v>
      </c>
      <c r="C416" s="685"/>
      <c r="D416" s="685"/>
      <c r="E416" s="685"/>
      <c r="F416" s="685"/>
      <c r="G416" s="685"/>
      <c r="H416" s="685"/>
      <c r="I416" s="522">
        <f>SUM(I414:I415)</f>
        <v>626.49</v>
      </c>
    </row>
    <row r="417" spans="2:11" ht="13.5" thickBot="1"/>
    <row r="418" spans="2:11" ht="30" customHeight="1">
      <c r="B418" s="530" t="s">
        <v>8</v>
      </c>
      <c r="C418" s="529" t="str">
        <f>'Planilha Orçamentária'!B35</f>
        <v>2.2.1</v>
      </c>
      <c r="D418" s="686" t="s">
        <v>197</v>
      </c>
      <c r="E418" s="686"/>
      <c r="F418" s="686"/>
      <c r="G418" s="686"/>
      <c r="H418" s="686"/>
      <c r="I418" s="686"/>
    </row>
    <row r="419" spans="2:11" s="329" customFormat="1" ht="30" customHeight="1">
      <c r="B419" s="680" t="s">
        <v>566</v>
      </c>
      <c r="C419" s="681"/>
      <c r="D419" s="681"/>
      <c r="E419" s="681"/>
      <c r="F419" s="681"/>
      <c r="G419" s="682"/>
      <c r="H419" s="677" t="s">
        <v>819</v>
      </c>
      <c r="I419" s="678"/>
    </row>
    <row r="420" spans="2:11" ht="28.5" customHeight="1">
      <c r="B420" s="715" t="s">
        <v>580</v>
      </c>
      <c r="C420" s="716"/>
      <c r="D420" s="716"/>
      <c r="E420" s="716"/>
      <c r="F420" s="716"/>
      <c r="G420" s="717"/>
      <c r="H420" s="330" t="s">
        <v>198</v>
      </c>
      <c r="I420" s="331" t="s">
        <v>567</v>
      </c>
      <c r="K420" s="373"/>
    </row>
    <row r="421" spans="2:11" s="329" customFormat="1" ht="30" customHeight="1">
      <c r="B421" s="711" t="s">
        <v>199</v>
      </c>
      <c r="C421" s="712"/>
      <c r="D421" s="712"/>
      <c r="E421" s="712"/>
      <c r="F421" s="712"/>
      <c r="G421" s="712"/>
      <c r="H421" s="712"/>
      <c r="I421" s="713"/>
    </row>
    <row r="422" spans="2:11" ht="25.5">
      <c r="B422" s="332" t="s">
        <v>200</v>
      </c>
      <c r="C422" s="333" t="s">
        <v>7</v>
      </c>
      <c r="D422" s="333" t="s">
        <v>3</v>
      </c>
      <c r="E422" s="333" t="s">
        <v>201</v>
      </c>
      <c r="F422" s="333" t="s">
        <v>202</v>
      </c>
      <c r="G422" s="333" t="s">
        <v>203</v>
      </c>
      <c r="H422" s="333" t="s">
        <v>204</v>
      </c>
      <c r="I422" s="334" t="s">
        <v>205</v>
      </c>
    </row>
    <row r="423" spans="2:11" ht="15.95" customHeight="1">
      <c r="B423" s="366"/>
      <c r="C423" s="337"/>
      <c r="D423" s="508"/>
      <c r="E423" s="338"/>
      <c r="F423" s="338"/>
      <c r="G423" s="338"/>
      <c r="I423" s="343">
        <f>H423*D423</f>
        <v>0</v>
      </c>
    </row>
    <row r="424" spans="2:11" ht="15.95" customHeight="1">
      <c r="B424" s="692" t="s">
        <v>206</v>
      </c>
      <c r="C424" s="692"/>
      <c r="D424" s="692"/>
      <c r="E424" s="692"/>
      <c r="F424" s="692"/>
      <c r="G424" s="692"/>
      <c r="H424" s="692"/>
      <c r="I424" s="531">
        <f>SUM(I423:I423)</f>
        <v>0</v>
      </c>
    </row>
    <row r="425" spans="2:11" s="329" customFormat="1" ht="30" customHeight="1">
      <c r="B425" s="683" t="s">
        <v>207</v>
      </c>
      <c r="C425" s="683"/>
      <c r="D425" s="683"/>
      <c r="E425" s="683"/>
      <c r="F425" s="683"/>
      <c r="G425" s="683"/>
      <c r="H425" s="683"/>
      <c r="I425" s="683"/>
    </row>
    <row r="426" spans="2:11" ht="15.95" customHeight="1">
      <c r="B426" s="556" t="s">
        <v>200</v>
      </c>
      <c r="C426" s="339" t="s">
        <v>7</v>
      </c>
      <c r="D426" s="339" t="s">
        <v>3</v>
      </c>
      <c r="E426" s="333"/>
      <c r="F426" s="333"/>
      <c r="G426" s="333"/>
      <c r="H426" s="339" t="s">
        <v>208</v>
      </c>
      <c r="I426" s="341" t="s">
        <v>205</v>
      </c>
    </row>
    <row r="427" spans="2:11" ht="15.95" customHeight="1">
      <c r="B427" s="525" t="s">
        <v>658</v>
      </c>
      <c r="C427" s="339" t="s">
        <v>567</v>
      </c>
      <c r="D427" s="339">
        <v>1</v>
      </c>
      <c r="E427" s="340"/>
      <c r="F427" s="340"/>
      <c r="G427" s="333"/>
      <c r="H427" s="537">
        <v>55.73</v>
      </c>
      <c r="I427" s="341">
        <f t="shared" ref="I427:I444" si="0">H427*D427</f>
        <v>55.73</v>
      </c>
    </row>
    <row r="428" spans="2:11" ht="15.95" customHeight="1">
      <c r="B428" s="525" t="s">
        <v>659</v>
      </c>
      <c r="C428" s="339" t="s">
        <v>567</v>
      </c>
      <c r="D428" s="339">
        <v>1</v>
      </c>
      <c r="E428" s="340"/>
      <c r="F428" s="340"/>
      <c r="G428" s="333"/>
      <c r="H428" s="537">
        <v>47.78</v>
      </c>
      <c r="I428" s="341">
        <f t="shared" si="0"/>
        <v>47.78</v>
      </c>
    </row>
    <row r="429" spans="2:11" ht="15.95" customHeight="1">
      <c r="B429" s="525" t="s">
        <v>660</v>
      </c>
      <c r="C429" s="339" t="s">
        <v>567</v>
      </c>
      <c r="D429" s="339">
        <v>2</v>
      </c>
      <c r="E429" s="340"/>
      <c r="F429" s="340"/>
      <c r="G429" s="333"/>
      <c r="H429" s="537">
        <v>11.31</v>
      </c>
      <c r="I429" s="341">
        <f t="shared" si="0"/>
        <v>22.62</v>
      </c>
    </row>
    <row r="430" spans="2:11" ht="15.95" customHeight="1">
      <c r="B430" s="525" t="s">
        <v>661</v>
      </c>
      <c r="C430" s="339" t="s">
        <v>567</v>
      </c>
      <c r="D430" s="339">
        <v>1</v>
      </c>
      <c r="E430" s="340"/>
      <c r="F430" s="340"/>
      <c r="G430" s="333"/>
      <c r="H430" s="537">
        <v>18.309999999999999</v>
      </c>
      <c r="I430" s="341">
        <f t="shared" si="0"/>
        <v>18.309999999999999</v>
      </c>
    </row>
    <row r="431" spans="2:11" ht="15.95" customHeight="1">
      <c r="B431" s="525" t="s">
        <v>662</v>
      </c>
      <c r="C431" s="339" t="s">
        <v>567</v>
      </c>
      <c r="D431" s="339">
        <v>8</v>
      </c>
      <c r="E431" s="340"/>
      <c r="F431" s="340"/>
      <c r="G431" s="333"/>
      <c r="H431" s="537">
        <v>13.16</v>
      </c>
      <c r="I431" s="341">
        <f t="shared" si="0"/>
        <v>105.28</v>
      </c>
    </row>
    <row r="432" spans="2:11" ht="15.95" customHeight="1">
      <c r="B432" s="525" t="s">
        <v>820</v>
      </c>
      <c r="C432" s="339" t="s">
        <v>4</v>
      </c>
      <c r="D432" s="339">
        <v>20</v>
      </c>
      <c r="E432" s="340"/>
      <c r="F432" s="340"/>
      <c r="G432" s="333"/>
      <c r="H432" s="537">
        <v>1.79</v>
      </c>
      <c r="I432" s="341">
        <f t="shared" si="0"/>
        <v>35.799999999999997</v>
      </c>
    </row>
    <row r="433" spans="2:9" ht="15.95" customHeight="1">
      <c r="B433" s="525" t="s">
        <v>663</v>
      </c>
      <c r="C433" s="339" t="s">
        <v>567</v>
      </c>
      <c r="D433" s="339">
        <v>4</v>
      </c>
      <c r="E433" s="340"/>
      <c r="F433" s="340"/>
      <c r="G433" s="333"/>
      <c r="H433" s="537">
        <v>2.31</v>
      </c>
      <c r="I433" s="341">
        <f t="shared" si="0"/>
        <v>9.24</v>
      </c>
    </row>
    <row r="434" spans="2:9" ht="15.95" customHeight="1">
      <c r="B434" s="525" t="s">
        <v>664</v>
      </c>
      <c r="C434" s="339" t="s">
        <v>567</v>
      </c>
      <c r="D434" s="339">
        <v>3</v>
      </c>
      <c r="E434" s="340"/>
      <c r="F434" s="340"/>
      <c r="G434" s="333"/>
      <c r="H434" s="537">
        <v>8.09</v>
      </c>
      <c r="I434" s="341">
        <f t="shared" si="0"/>
        <v>24.27</v>
      </c>
    </row>
    <row r="435" spans="2:9" ht="15.95" customHeight="1">
      <c r="B435" s="525" t="s">
        <v>665</v>
      </c>
      <c r="C435" s="339" t="s">
        <v>4</v>
      </c>
      <c r="D435" s="339">
        <v>6</v>
      </c>
      <c r="E435" s="340"/>
      <c r="F435" s="340"/>
      <c r="G435" s="333"/>
      <c r="H435" s="537">
        <v>2.25</v>
      </c>
      <c r="I435" s="341">
        <f t="shared" si="0"/>
        <v>13.5</v>
      </c>
    </row>
    <row r="436" spans="2:9" ht="15.95" customHeight="1">
      <c r="B436" s="525" t="s">
        <v>666</v>
      </c>
      <c r="C436" s="339" t="s">
        <v>567</v>
      </c>
      <c r="D436" s="339">
        <v>0.08</v>
      </c>
      <c r="E436" s="340"/>
      <c r="F436" s="340"/>
      <c r="G436" s="333"/>
      <c r="H436" s="537">
        <v>1517.27</v>
      </c>
      <c r="I436" s="341">
        <f t="shared" si="0"/>
        <v>121.38</v>
      </c>
    </row>
    <row r="437" spans="2:9" ht="15.95" customHeight="1">
      <c r="B437" s="525" t="s">
        <v>667</v>
      </c>
      <c r="C437" s="339" t="s">
        <v>567</v>
      </c>
      <c r="D437" s="339">
        <v>2</v>
      </c>
      <c r="E437" s="340"/>
      <c r="F437" s="340"/>
      <c r="G437" s="333"/>
      <c r="H437" s="537">
        <v>2.72</v>
      </c>
      <c r="I437" s="341">
        <f t="shared" si="0"/>
        <v>5.44</v>
      </c>
    </row>
    <row r="438" spans="2:9" ht="15.95" customHeight="1">
      <c r="B438" s="525" t="s">
        <v>668</v>
      </c>
      <c r="C438" s="339" t="s">
        <v>567</v>
      </c>
      <c r="D438" s="339">
        <v>1</v>
      </c>
      <c r="E438" s="340"/>
      <c r="F438" s="340"/>
      <c r="G438" s="333"/>
      <c r="H438" s="537">
        <v>11.09</v>
      </c>
      <c r="I438" s="341">
        <f t="shared" si="0"/>
        <v>11.09</v>
      </c>
    </row>
    <row r="439" spans="2:9" ht="15.95" customHeight="1">
      <c r="B439" s="525" t="s">
        <v>669</v>
      </c>
      <c r="C439" s="339" t="s">
        <v>567</v>
      </c>
      <c r="D439" s="339">
        <v>1</v>
      </c>
      <c r="E439" s="340"/>
      <c r="F439" s="340"/>
      <c r="G439" s="333"/>
      <c r="H439" s="537">
        <v>1965.84</v>
      </c>
      <c r="I439" s="341">
        <f t="shared" si="0"/>
        <v>1965.84</v>
      </c>
    </row>
    <row r="440" spans="2:9" ht="15.95" customHeight="1">
      <c r="B440" s="525" t="s">
        <v>681</v>
      </c>
      <c r="C440" s="339" t="s">
        <v>567</v>
      </c>
      <c r="D440" s="339">
        <v>1</v>
      </c>
      <c r="E440" s="340"/>
      <c r="F440" s="340"/>
      <c r="G440" s="333"/>
      <c r="H440" s="537">
        <v>412</v>
      </c>
      <c r="I440" s="341">
        <f t="shared" si="0"/>
        <v>412</v>
      </c>
    </row>
    <row r="441" spans="2:9" ht="15.95" customHeight="1">
      <c r="B441" s="525" t="s">
        <v>581</v>
      </c>
      <c r="C441" s="339" t="s">
        <v>4</v>
      </c>
      <c r="D441" s="339">
        <v>50</v>
      </c>
      <c r="E441" s="340"/>
      <c r="F441" s="340"/>
      <c r="G441" s="333"/>
      <c r="H441" s="537">
        <v>17.28</v>
      </c>
      <c r="I441" s="341">
        <f t="shared" si="0"/>
        <v>864</v>
      </c>
    </row>
    <row r="442" spans="2:9" ht="15.95" customHeight="1">
      <c r="B442" s="525" t="s">
        <v>670</v>
      </c>
      <c r="C442" s="339" t="s">
        <v>567</v>
      </c>
      <c r="D442" s="339">
        <v>1</v>
      </c>
      <c r="E442" s="340"/>
      <c r="F442" s="340"/>
      <c r="G442" s="333"/>
      <c r="H442" s="537">
        <v>337.71</v>
      </c>
      <c r="I442" s="341">
        <f>H442*D442</f>
        <v>337.71</v>
      </c>
    </row>
    <row r="443" spans="2:9" ht="15.95" customHeight="1">
      <c r="B443" s="525" t="s">
        <v>671</v>
      </c>
      <c r="C443" s="339" t="s">
        <v>4</v>
      </c>
      <c r="D443" s="339">
        <v>1</v>
      </c>
      <c r="E443" s="340"/>
      <c r="F443" s="340"/>
      <c r="G443" s="333"/>
      <c r="H443" s="537">
        <v>28.5</v>
      </c>
      <c r="I443" s="341">
        <f t="shared" si="0"/>
        <v>28.5</v>
      </c>
    </row>
    <row r="444" spans="2:9" ht="15.95" customHeight="1">
      <c r="B444" s="525" t="s">
        <v>672</v>
      </c>
      <c r="C444" s="339" t="s">
        <v>4</v>
      </c>
      <c r="D444" s="339">
        <v>60</v>
      </c>
      <c r="E444" s="340"/>
      <c r="F444" s="340"/>
      <c r="G444" s="333"/>
      <c r="H444" s="537">
        <v>3.33</v>
      </c>
      <c r="I444" s="341">
        <f t="shared" si="0"/>
        <v>199.8</v>
      </c>
    </row>
    <row r="445" spans="2:9" ht="15.95" customHeight="1">
      <c r="B445" s="692" t="s">
        <v>206</v>
      </c>
      <c r="C445" s="692"/>
      <c r="D445" s="692"/>
      <c r="E445" s="692"/>
      <c r="F445" s="692"/>
      <c r="G445" s="692"/>
      <c r="H445" s="692"/>
      <c r="I445" s="531">
        <f>SUM(I427:I444)</f>
        <v>4278.29</v>
      </c>
    </row>
    <row r="446" spans="2:9" s="329" customFormat="1" ht="30" customHeight="1">
      <c r="B446" s="683" t="s">
        <v>209</v>
      </c>
      <c r="C446" s="683"/>
      <c r="D446" s="683"/>
      <c r="E446" s="683"/>
      <c r="F446" s="683"/>
      <c r="G446" s="683"/>
      <c r="H446" s="683"/>
      <c r="I446" s="683"/>
    </row>
    <row r="447" spans="2:9">
      <c r="B447" s="375" t="s">
        <v>200</v>
      </c>
      <c r="C447" s="376" t="s">
        <v>7</v>
      </c>
      <c r="D447" s="347" t="s">
        <v>3</v>
      </c>
      <c r="E447" s="507"/>
      <c r="F447" s="507"/>
      <c r="G447" s="507"/>
      <c r="H447" s="347" t="s">
        <v>208</v>
      </c>
      <c r="I447" s="377" t="s">
        <v>205</v>
      </c>
    </row>
    <row r="448" spans="2:9" ht="15.95" customHeight="1">
      <c r="B448" s="525"/>
      <c r="C448" s="339"/>
      <c r="D448" s="339"/>
      <c r="E448" s="340"/>
      <c r="F448" s="340"/>
      <c r="G448" s="333"/>
      <c r="H448" s="333"/>
      <c r="I448" s="341">
        <f>D448*H448</f>
        <v>0</v>
      </c>
    </row>
    <row r="449" spans="2:11" ht="15.95" customHeight="1">
      <c r="B449" s="692" t="s">
        <v>206</v>
      </c>
      <c r="C449" s="692"/>
      <c r="D449" s="692"/>
      <c r="E449" s="692"/>
      <c r="F449" s="692"/>
      <c r="G449" s="692"/>
      <c r="H449" s="692"/>
      <c r="I449" s="531">
        <f>SUM(I448:I448)</f>
        <v>0</v>
      </c>
    </row>
    <row r="450" spans="2:11" s="329" customFormat="1" ht="30" customHeight="1">
      <c r="B450" s="683" t="s">
        <v>239</v>
      </c>
      <c r="C450" s="683"/>
      <c r="D450" s="683"/>
      <c r="E450" s="683"/>
      <c r="F450" s="683"/>
      <c r="G450" s="683"/>
      <c r="H450" s="683"/>
      <c r="I450" s="683"/>
    </row>
    <row r="451" spans="2:11">
      <c r="B451" s="378" t="s">
        <v>200</v>
      </c>
      <c r="C451" s="360" t="s">
        <v>7</v>
      </c>
      <c r="D451" s="367" t="s">
        <v>3</v>
      </c>
      <c r="E451" s="340"/>
      <c r="F451" s="340"/>
      <c r="G451" s="340"/>
      <c r="H451" s="339" t="s">
        <v>208</v>
      </c>
      <c r="I451" s="374" t="s">
        <v>205</v>
      </c>
    </row>
    <row r="452" spans="2:11" ht="15.95" customHeight="1">
      <c r="B452" s="525" t="s">
        <v>609</v>
      </c>
      <c r="C452" s="339" t="s">
        <v>19</v>
      </c>
      <c r="D452" s="339">
        <v>8</v>
      </c>
      <c r="E452" s="340"/>
      <c r="F452" s="340"/>
      <c r="G452" s="333"/>
      <c r="H452" s="537">
        <v>7.18</v>
      </c>
      <c r="I452" s="341">
        <f>H452*D452</f>
        <v>57.44</v>
      </c>
    </row>
    <row r="453" spans="2:11" ht="15.95" customHeight="1">
      <c r="B453" s="525" t="s">
        <v>624</v>
      </c>
      <c r="C453" s="339" t="s">
        <v>19</v>
      </c>
      <c r="D453" s="339">
        <v>2</v>
      </c>
      <c r="E453" s="340"/>
      <c r="F453" s="340"/>
      <c r="G453" s="333"/>
      <c r="H453" s="537">
        <v>9.5299999999999994</v>
      </c>
      <c r="I453" s="341">
        <f>H453*D453</f>
        <v>19.059999999999999</v>
      </c>
    </row>
    <row r="454" spans="2:11" ht="15.95" customHeight="1">
      <c r="B454" s="525" t="s">
        <v>625</v>
      </c>
      <c r="C454" s="339" t="s">
        <v>19</v>
      </c>
      <c r="D454" s="339">
        <v>3</v>
      </c>
      <c r="E454" s="340"/>
      <c r="F454" s="340"/>
      <c r="G454" s="333"/>
      <c r="H454" s="537">
        <v>9.5299999999999994</v>
      </c>
      <c r="I454" s="341">
        <f>H454*D454</f>
        <v>28.59</v>
      </c>
    </row>
    <row r="455" spans="2:11" ht="15.95" customHeight="1">
      <c r="B455" s="692" t="s">
        <v>206</v>
      </c>
      <c r="C455" s="692"/>
      <c r="D455" s="692"/>
      <c r="E455" s="692"/>
      <c r="F455" s="692"/>
      <c r="G455" s="692"/>
      <c r="H455" s="692"/>
      <c r="I455" s="531">
        <f>SUM(I452:I454)</f>
        <v>105.09</v>
      </c>
    </row>
    <row r="456" spans="2:11" ht="15.95" customHeight="1">
      <c r="B456" s="344" t="s">
        <v>240</v>
      </c>
      <c r="C456" s="338">
        <v>1</v>
      </c>
      <c r="D456" s="707" t="s">
        <v>241</v>
      </c>
      <c r="E456" s="707"/>
      <c r="F456" s="707"/>
      <c r="G456" s="707"/>
      <c r="H456" s="707"/>
      <c r="I456" s="531">
        <f>I424+I445+I449+I455</f>
        <v>4383.38</v>
      </c>
    </row>
    <row r="457" spans="2:11" ht="15.95" customHeight="1">
      <c r="B457" s="697"/>
      <c r="C457" s="698"/>
      <c r="D457" s="698"/>
      <c r="E457" s="698"/>
      <c r="F457" s="698"/>
      <c r="G457" s="698"/>
      <c r="H457" s="699"/>
      <c r="I457" s="531">
        <f>I456/C456</f>
        <v>4383.38</v>
      </c>
    </row>
    <row r="458" spans="2:11" ht="15.95" customHeight="1">
      <c r="B458" s="346" t="s">
        <v>569</v>
      </c>
      <c r="C458" s="347">
        <f>'BDI''s'!C$33</f>
        <v>24.18</v>
      </c>
      <c r="D458" s="348" t="s">
        <v>214</v>
      </c>
      <c r="E458" s="349"/>
      <c r="F458" s="349"/>
      <c r="G458" s="349"/>
      <c r="H458" s="350"/>
      <c r="I458" s="343">
        <f>C458/100*I457</f>
        <v>1059.9000000000001</v>
      </c>
    </row>
    <row r="459" spans="2:11" s="329" customFormat="1" ht="30" customHeight="1" thickBot="1">
      <c r="B459" s="685" t="s">
        <v>243</v>
      </c>
      <c r="C459" s="685"/>
      <c r="D459" s="685"/>
      <c r="E459" s="685"/>
      <c r="F459" s="685"/>
      <c r="G459" s="685"/>
      <c r="H459" s="685"/>
      <c r="I459" s="522">
        <f>SUM(I457:I458)</f>
        <v>5443.28</v>
      </c>
    </row>
    <row r="460" spans="2:11" ht="13.5" thickBot="1"/>
    <row r="461" spans="2:11" ht="30" customHeight="1">
      <c r="B461" s="530" t="s">
        <v>8</v>
      </c>
      <c r="C461" s="529" t="str">
        <f>'Planilha Orçamentária'!B36</f>
        <v>2.2.2</v>
      </c>
      <c r="D461" s="686" t="s">
        <v>197</v>
      </c>
      <c r="E461" s="686"/>
      <c r="F461" s="686"/>
      <c r="G461" s="686"/>
      <c r="H461" s="686"/>
      <c r="I461" s="686"/>
    </row>
    <row r="462" spans="2:11" s="329" customFormat="1" ht="30" customHeight="1">
      <c r="B462" s="680" t="s">
        <v>566</v>
      </c>
      <c r="C462" s="681"/>
      <c r="D462" s="681"/>
      <c r="E462" s="681"/>
      <c r="F462" s="681"/>
      <c r="G462" s="682"/>
      <c r="H462" s="677" t="s">
        <v>819</v>
      </c>
      <c r="I462" s="678"/>
    </row>
    <row r="463" spans="2:11" ht="28.5" customHeight="1">
      <c r="B463" s="715" t="s">
        <v>587</v>
      </c>
      <c r="C463" s="716"/>
      <c r="D463" s="716"/>
      <c r="E463" s="716"/>
      <c r="F463" s="716"/>
      <c r="G463" s="717"/>
      <c r="H463" s="330" t="s">
        <v>198</v>
      </c>
      <c r="I463" s="331" t="s">
        <v>567</v>
      </c>
      <c r="K463" s="373"/>
    </row>
    <row r="464" spans="2:11" s="329" customFormat="1" ht="30" customHeight="1">
      <c r="B464" s="711" t="s">
        <v>199</v>
      </c>
      <c r="C464" s="712"/>
      <c r="D464" s="712"/>
      <c r="E464" s="712"/>
      <c r="F464" s="712"/>
      <c r="G464" s="712"/>
      <c r="H464" s="712"/>
      <c r="I464" s="713"/>
    </row>
    <row r="465" spans="2:9" ht="25.5">
      <c r="B465" s="332" t="s">
        <v>200</v>
      </c>
      <c r="C465" s="361" t="s">
        <v>7</v>
      </c>
      <c r="D465" s="333" t="s">
        <v>3</v>
      </c>
      <c r="E465" s="333" t="s">
        <v>201</v>
      </c>
      <c r="F465" s="333" t="s">
        <v>202</v>
      </c>
      <c r="G465" s="333" t="s">
        <v>203</v>
      </c>
      <c r="H465" s="333" t="s">
        <v>204</v>
      </c>
      <c r="I465" s="334" t="s">
        <v>205</v>
      </c>
    </row>
    <row r="466" spans="2:9" ht="15.95" customHeight="1">
      <c r="B466" s="525" t="s">
        <v>590</v>
      </c>
      <c r="C466" s="339" t="s">
        <v>19</v>
      </c>
      <c r="D466" s="339">
        <v>4</v>
      </c>
      <c r="E466" s="340">
        <v>1</v>
      </c>
      <c r="F466" s="340"/>
      <c r="G466" s="537">
        <v>63</v>
      </c>
      <c r="H466" s="340"/>
      <c r="I466" s="341">
        <f>D466*E466*G466+D466*F466*H466</f>
        <v>252</v>
      </c>
    </row>
    <row r="467" spans="2:9">
      <c r="B467" s="692" t="s">
        <v>206</v>
      </c>
      <c r="C467" s="692"/>
      <c r="D467" s="692"/>
      <c r="E467" s="692"/>
      <c r="F467" s="692"/>
      <c r="G467" s="692"/>
      <c r="H467" s="692"/>
      <c r="I467" s="502">
        <f>SUM(I466:I466)</f>
        <v>252</v>
      </c>
    </row>
    <row r="468" spans="2:9" s="329" customFormat="1" ht="30" customHeight="1">
      <c r="B468" s="711" t="s">
        <v>207</v>
      </c>
      <c r="C468" s="712"/>
      <c r="D468" s="712"/>
      <c r="E468" s="712"/>
      <c r="F468" s="712"/>
      <c r="G468" s="712"/>
      <c r="H468" s="712"/>
      <c r="I468" s="713"/>
    </row>
    <row r="469" spans="2:9" ht="15.95" customHeight="1">
      <c r="B469" s="556" t="s">
        <v>200</v>
      </c>
      <c r="C469" s="339" t="s">
        <v>7</v>
      </c>
      <c r="D469" s="339" t="s">
        <v>3</v>
      </c>
      <c r="E469" s="333"/>
      <c r="F469" s="333"/>
      <c r="G469" s="333"/>
      <c r="H469" s="339" t="s">
        <v>208</v>
      </c>
      <c r="I469" s="341" t="s">
        <v>205</v>
      </c>
    </row>
    <row r="470" spans="2:9" ht="15.95" customHeight="1">
      <c r="B470" s="525" t="s">
        <v>591</v>
      </c>
      <c r="C470" s="339" t="s">
        <v>570</v>
      </c>
      <c r="D470" s="339">
        <f>600*149/1000</f>
        <v>89.4</v>
      </c>
      <c r="E470" s="340"/>
      <c r="F470" s="340"/>
      <c r="G470" s="333"/>
      <c r="H470" s="537">
        <v>23.5</v>
      </c>
      <c r="I470" s="341">
        <f>H470*D470</f>
        <v>2100.9</v>
      </c>
    </row>
    <row r="471" spans="2:9" ht="15.95" customHeight="1">
      <c r="B471" s="525" t="s">
        <v>623</v>
      </c>
      <c r="C471" s="339" t="s">
        <v>567</v>
      </c>
      <c r="D471" s="339">
        <v>4</v>
      </c>
      <c r="E471" s="340"/>
      <c r="F471" s="340"/>
      <c r="G471" s="333"/>
      <c r="H471" s="537">
        <v>383.45</v>
      </c>
      <c r="I471" s="341">
        <f t="shared" ref="I471:I476" si="1">H471*D471</f>
        <v>1533.8</v>
      </c>
    </row>
    <row r="472" spans="2:9" ht="15.95" customHeight="1">
      <c r="B472" s="525" t="s">
        <v>592</v>
      </c>
      <c r="C472" s="339" t="s">
        <v>567</v>
      </c>
      <c r="D472" s="339">
        <v>12</v>
      </c>
      <c r="E472" s="340"/>
      <c r="F472" s="340"/>
      <c r="G472" s="333"/>
      <c r="H472" s="537">
        <v>10.19</v>
      </c>
      <c r="I472" s="341">
        <f t="shared" si="1"/>
        <v>122.28</v>
      </c>
    </row>
    <row r="473" spans="2:9" ht="15.95" customHeight="1">
      <c r="B473" s="525" t="s">
        <v>593</v>
      </c>
      <c r="C473" s="339" t="s">
        <v>567</v>
      </c>
      <c r="D473" s="339">
        <v>4</v>
      </c>
      <c r="E473" s="340"/>
      <c r="F473" s="340"/>
      <c r="G473" s="333"/>
      <c r="H473" s="537">
        <v>14</v>
      </c>
      <c r="I473" s="341">
        <f t="shared" si="1"/>
        <v>56</v>
      </c>
    </row>
    <row r="474" spans="2:9" ht="15.95" customHeight="1">
      <c r="B474" s="525" t="s">
        <v>594</v>
      </c>
      <c r="C474" s="339" t="s">
        <v>567</v>
      </c>
      <c r="D474" s="339">
        <v>12</v>
      </c>
      <c r="E474" s="340"/>
      <c r="F474" s="340"/>
      <c r="G474" s="333"/>
      <c r="H474" s="537">
        <v>1.75</v>
      </c>
      <c r="I474" s="341">
        <f t="shared" si="1"/>
        <v>21</v>
      </c>
    </row>
    <row r="475" spans="2:9" ht="15.95" customHeight="1">
      <c r="B475" s="525" t="s">
        <v>595</v>
      </c>
      <c r="C475" s="339" t="s">
        <v>567</v>
      </c>
      <c r="D475" s="339">
        <v>8</v>
      </c>
      <c r="E475" s="340"/>
      <c r="F475" s="340"/>
      <c r="G475" s="333"/>
      <c r="H475" s="537">
        <v>5.61</v>
      </c>
      <c r="I475" s="341">
        <f t="shared" si="1"/>
        <v>44.88</v>
      </c>
    </row>
    <row r="476" spans="2:9" ht="15.95" customHeight="1">
      <c r="B476" s="525" t="s">
        <v>596</v>
      </c>
      <c r="C476" s="339" t="s">
        <v>567</v>
      </c>
      <c r="D476" s="339">
        <v>8</v>
      </c>
      <c r="E476" s="340"/>
      <c r="F476" s="340"/>
      <c r="G476" s="333"/>
      <c r="H476" s="537">
        <v>3.91</v>
      </c>
      <c r="I476" s="341">
        <f t="shared" si="1"/>
        <v>31.28</v>
      </c>
    </row>
    <row r="477" spans="2:9" ht="15.95" customHeight="1">
      <c r="B477" s="692" t="s">
        <v>206</v>
      </c>
      <c r="C477" s="692"/>
      <c r="D477" s="692"/>
      <c r="E477" s="692"/>
      <c r="F477" s="692"/>
      <c r="G477" s="692"/>
      <c r="H477" s="692"/>
      <c r="I477" s="531">
        <f>SUM(I470:I476)</f>
        <v>3910.14</v>
      </c>
    </row>
    <row r="478" spans="2:9" s="329" customFormat="1" ht="30" customHeight="1">
      <c r="B478" s="711" t="s">
        <v>209</v>
      </c>
      <c r="C478" s="712"/>
      <c r="D478" s="712"/>
      <c r="E478" s="712"/>
      <c r="F478" s="712"/>
      <c r="G478" s="712"/>
      <c r="H478" s="712"/>
      <c r="I478" s="713"/>
    </row>
    <row r="479" spans="2:9" ht="15.95" customHeight="1">
      <c r="B479" s="556" t="s">
        <v>200</v>
      </c>
      <c r="C479" s="339" t="s">
        <v>7</v>
      </c>
      <c r="D479" s="339" t="s">
        <v>3</v>
      </c>
      <c r="E479" s="333"/>
      <c r="F479" s="333"/>
      <c r="G479" s="333"/>
      <c r="H479" s="339" t="s">
        <v>208</v>
      </c>
      <c r="I479" s="341" t="s">
        <v>205</v>
      </c>
    </row>
    <row r="480" spans="2:9" ht="15.95" customHeight="1">
      <c r="B480" s="525"/>
      <c r="C480" s="339"/>
      <c r="D480" s="339"/>
      <c r="E480" s="340"/>
      <c r="F480" s="340"/>
      <c r="G480" s="333"/>
      <c r="H480" s="333"/>
      <c r="I480" s="341">
        <f>D480*H480</f>
        <v>0</v>
      </c>
    </row>
    <row r="481" spans="2:9" ht="15.95" customHeight="1">
      <c r="B481" s="692" t="s">
        <v>206</v>
      </c>
      <c r="C481" s="692"/>
      <c r="D481" s="692"/>
      <c r="E481" s="692"/>
      <c r="F481" s="692"/>
      <c r="G481" s="692"/>
      <c r="H481" s="692"/>
      <c r="I481" s="531">
        <f>SUM(I480:I480)</f>
        <v>0</v>
      </c>
    </row>
    <row r="482" spans="2:9" s="329" customFormat="1" ht="30" customHeight="1">
      <c r="B482" s="711" t="s">
        <v>239</v>
      </c>
      <c r="C482" s="712"/>
      <c r="D482" s="712"/>
      <c r="E482" s="712"/>
      <c r="F482" s="712"/>
      <c r="G482" s="712"/>
      <c r="H482" s="712"/>
      <c r="I482" s="713"/>
    </row>
    <row r="483" spans="2:9" ht="15.95" customHeight="1">
      <c r="B483" s="556" t="s">
        <v>200</v>
      </c>
      <c r="C483" s="339" t="s">
        <v>7</v>
      </c>
      <c r="D483" s="339" t="s">
        <v>3</v>
      </c>
      <c r="E483" s="333"/>
      <c r="F483" s="333"/>
      <c r="G483" s="333"/>
      <c r="H483" s="339" t="s">
        <v>208</v>
      </c>
      <c r="I483" s="341" t="s">
        <v>205</v>
      </c>
    </row>
    <row r="484" spans="2:9" ht="15.95" customHeight="1">
      <c r="B484" s="525" t="s">
        <v>598</v>
      </c>
      <c r="C484" s="339" t="s">
        <v>571</v>
      </c>
      <c r="D484" s="339">
        <v>0.05</v>
      </c>
      <c r="E484" s="340"/>
      <c r="F484" s="340"/>
      <c r="G484" s="333"/>
      <c r="H484" s="537">
        <f>53.43/1.9103*1.5099*220</f>
        <v>9290.83</v>
      </c>
      <c r="I484" s="341">
        <f t="shared" ref="I484:I490" si="2">D484*H484</f>
        <v>464.54</v>
      </c>
    </row>
    <row r="485" spans="2:9" ht="15.95" customHeight="1">
      <c r="B485" s="525" t="s">
        <v>597</v>
      </c>
      <c r="C485" s="339" t="s">
        <v>571</v>
      </c>
      <c r="D485" s="339">
        <v>0.05</v>
      </c>
      <c r="E485" s="340"/>
      <c r="F485" s="340"/>
      <c r="G485" s="333"/>
      <c r="H485" s="537">
        <f>16.43/1.9103*1.5099*220</f>
        <v>2856.98</v>
      </c>
      <c r="I485" s="341">
        <f t="shared" si="2"/>
        <v>142.85</v>
      </c>
    </row>
    <row r="486" spans="2:9" ht="15.95" customHeight="1">
      <c r="B486" s="525" t="s">
        <v>599</v>
      </c>
      <c r="C486" s="339" t="s">
        <v>19</v>
      </c>
      <c r="D486" s="339">
        <v>5</v>
      </c>
      <c r="E486" s="340"/>
      <c r="F486" s="340"/>
      <c r="G486" s="333"/>
      <c r="H486" s="537">
        <v>14.31</v>
      </c>
      <c r="I486" s="341">
        <f t="shared" si="2"/>
        <v>71.55</v>
      </c>
    </row>
    <row r="487" spans="2:9" ht="15.95" customHeight="1">
      <c r="B487" s="525" t="s">
        <v>600</v>
      </c>
      <c r="C487" s="339" t="s">
        <v>19</v>
      </c>
      <c r="D487" s="339">
        <v>22.65</v>
      </c>
      <c r="E487" s="340"/>
      <c r="F487" s="340"/>
      <c r="G487" s="333"/>
      <c r="H487" s="537">
        <v>10.75</v>
      </c>
      <c r="I487" s="341">
        <f t="shared" si="2"/>
        <v>243.49</v>
      </c>
    </row>
    <row r="488" spans="2:9" ht="15.95" customHeight="1">
      <c r="B488" s="525" t="s">
        <v>601</v>
      </c>
      <c r="C488" s="339" t="s">
        <v>19</v>
      </c>
      <c r="D488" s="339">
        <v>8</v>
      </c>
      <c r="E488" s="340"/>
      <c r="F488" s="340"/>
      <c r="G488" s="333"/>
      <c r="H488" s="537">
        <v>9.5299999999999994</v>
      </c>
      <c r="I488" s="341">
        <f t="shared" si="2"/>
        <v>76.239999999999995</v>
      </c>
    </row>
    <row r="489" spans="2:9" ht="15.95" customHeight="1">
      <c r="B489" s="525" t="s">
        <v>603</v>
      </c>
      <c r="C489" s="339" t="s">
        <v>19</v>
      </c>
      <c r="D489" s="339">
        <v>13</v>
      </c>
      <c r="E489" s="340"/>
      <c r="F489" s="340"/>
      <c r="G489" s="333"/>
      <c r="H489" s="537">
        <v>7.18</v>
      </c>
      <c r="I489" s="341">
        <f t="shared" si="2"/>
        <v>93.34</v>
      </c>
    </row>
    <row r="490" spans="2:9" ht="15.95" customHeight="1">
      <c r="B490" s="525" t="s">
        <v>602</v>
      </c>
      <c r="C490" s="339" t="s">
        <v>19</v>
      </c>
      <c r="D490" s="339">
        <v>13</v>
      </c>
      <c r="E490" s="340"/>
      <c r="F490" s="340"/>
      <c r="G490" s="333"/>
      <c r="H490" s="537">
        <v>7.18</v>
      </c>
      <c r="I490" s="341">
        <f t="shared" si="2"/>
        <v>93.34</v>
      </c>
    </row>
    <row r="491" spans="2:9" ht="15.95" customHeight="1">
      <c r="B491" s="692" t="s">
        <v>206</v>
      </c>
      <c r="C491" s="692"/>
      <c r="D491" s="692"/>
      <c r="E491" s="692"/>
      <c r="F491" s="692"/>
      <c r="G491" s="692"/>
      <c r="H491" s="692"/>
      <c r="I491" s="531">
        <f>SUM(I484:I490)</f>
        <v>1185.3499999999999</v>
      </c>
    </row>
    <row r="492" spans="2:9" ht="15.95" customHeight="1">
      <c r="B492" s="344" t="s">
        <v>240</v>
      </c>
      <c r="C492" s="338">
        <v>1</v>
      </c>
      <c r="D492" s="707" t="s">
        <v>241</v>
      </c>
      <c r="E492" s="707"/>
      <c r="F492" s="707"/>
      <c r="G492" s="707"/>
      <c r="H492" s="707"/>
      <c r="I492" s="531">
        <f>I491+I481+I477+I467</f>
        <v>5347.49</v>
      </c>
    </row>
    <row r="493" spans="2:9" ht="15.95" customHeight="1">
      <c r="B493" s="697"/>
      <c r="C493" s="698"/>
      <c r="D493" s="698"/>
      <c r="E493" s="698"/>
      <c r="F493" s="698"/>
      <c r="G493" s="698"/>
      <c r="H493" s="699"/>
      <c r="I493" s="531">
        <f>I492/C492</f>
        <v>5347.49</v>
      </c>
    </row>
    <row r="494" spans="2:9" ht="15.95" customHeight="1">
      <c r="B494" s="346" t="s">
        <v>569</v>
      </c>
      <c r="C494" s="347">
        <f>'BDI''s'!C$33</f>
        <v>24.18</v>
      </c>
      <c r="D494" s="348" t="s">
        <v>214</v>
      </c>
      <c r="E494" s="349"/>
      <c r="F494" s="349"/>
      <c r="G494" s="349"/>
      <c r="H494" s="350"/>
      <c r="I494" s="343">
        <f>C494/100*I493</f>
        <v>1293.02</v>
      </c>
    </row>
    <row r="495" spans="2:9" s="329" customFormat="1" ht="30" customHeight="1" thickBot="1">
      <c r="B495" s="685" t="s">
        <v>243</v>
      </c>
      <c r="C495" s="685"/>
      <c r="D495" s="685"/>
      <c r="E495" s="685"/>
      <c r="F495" s="685"/>
      <c r="G495" s="685"/>
      <c r="H495" s="685"/>
      <c r="I495" s="522">
        <f>SUM(I493:I494)</f>
        <v>6640.51</v>
      </c>
    </row>
    <row r="496" spans="2:9" ht="13.5" thickBot="1"/>
    <row r="497" spans="2:11" ht="30" customHeight="1">
      <c r="B497" s="530" t="s">
        <v>8</v>
      </c>
      <c r="C497" s="529" t="str">
        <f>'Planilha Orçamentária'!B37</f>
        <v>2.2.3</v>
      </c>
      <c r="D497" s="686" t="s">
        <v>197</v>
      </c>
      <c r="E497" s="686"/>
      <c r="F497" s="686"/>
      <c r="G497" s="686"/>
      <c r="H497" s="686"/>
      <c r="I497" s="686"/>
    </row>
    <row r="498" spans="2:11" s="329" customFormat="1" ht="30" customHeight="1">
      <c r="B498" s="680" t="s">
        <v>583</v>
      </c>
      <c r="C498" s="681"/>
      <c r="D498" s="681"/>
      <c r="E498" s="681"/>
      <c r="F498" s="681"/>
      <c r="G498" s="682"/>
      <c r="H498" s="677" t="s">
        <v>819</v>
      </c>
      <c r="I498" s="678"/>
    </row>
    <row r="499" spans="2:11" ht="28.5" customHeight="1">
      <c r="B499" s="715" t="s">
        <v>588</v>
      </c>
      <c r="C499" s="716"/>
      <c r="D499" s="716"/>
      <c r="E499" s="716"/>
      <c r="F499" s="716"/>
      <c r="G499" s="717"/>
      <c r="H499" s="330" t="s">
        <v>198</v>
      </c>
      <c r="I499" s="331" t="s">
        <v>567</v>
      </c>
      <c r="K499" s="373"/>
    </row>
    <row r="500" spans="2:11" s="329" customFormat="1" ht="30" customHeight="1">
      <c r="B500" s="711" t="s">
        <v>199</v>
      </c>
      <c r="C500" s="712"/>
      <c r="D500" s="712"/>
      <c r="E500" s="712"/>
      <c r="F500" s="712"/>
      <c r="G500" s="712"/>
      <c r="H500" s="712"/>
      <c r="I500" s="713"/>
    </row>
    <row r="501" spans="2:11" ht="25.5">
      <c r="B501" s="332" t="s">
        <v>200</v>
      </c>
      <c r="C501" s="361" t="s">
        <v>385</v>
      </c>
      <c r="D501" s="333" t="s">
        <v>3</v>
      </c>
      <c r="E501" s="333" t="s">
        <v>201</v>
      </c>
      <c r="F501" s="333" t="s">
        <v>202</v>
      </c>
      <c r="G501" s="333" t="s">
        <v>203</v>
      </c>
      <c r="H501" s="333" t="s">
        <v>204</v>
      </c>
      <c r="I501" s="334" t="s">
        <v>205</v>
      </c>
    </row>
    <row r="502" spans="2:11" ht="15.95" customHeight="1">
      <c r="B502" s="525"/>
      <c r="C502" s="339"/>
      <c r="D502" s="339"/>
      <c r="E502" s="340"/>
      <c r="F502" s="340"/>
      <c r="G502" s="333"/>
      <c r="H502" s="333"/>
      <c r="I502" s="341">
        <f>D502*G502</f>
        <v>0</v>
      </c>
    </row>
    <row r="503" spans="2:11" ht="15.95" customHeight="1">
      <c r="B503" s="692" t="s">
        <v>206</v>
      </c>
      <c r="C503" s="692"/>
      <c r="D503" s="692"/>
      <c r="E503" s="692"/>
      <c r="F503" s="692"/>
      <c r="G503" s="692"/>
      <c r="H503" s="692"/>
      <c r="I503" s="531">
        <f>SUM(I502:I502)</f>
        <v>0</v>
      </c>
    </row>
    <row r="504" spans="2:11" s="329" customFormat="1" ht="30" customHeight="1">
      <c r="B504" s="711" t="s">
        <v>207</v>
      </c>
      <c r="C504" s="712"/>
      <c r="D504" s="712"/>
      <c r="E504" s="712"/>
      <c r="F504" s="712"/>
      <c r="G504" s="712"/>
      <c r="H504" s="712"/>
      <c r="I504" s="713"/>
    </row>
    <row r="505" spans="2:11">
      <c r="B505" s="332" t="s">
        <v>200</v>
      </c>
      <c r="C505" s="361" t="s">
        <v>385</v>
      </c>
      <c r="D505" s="333" t="s">
        <v>3</v>
      </c>
      <c r="E505" s="333"/>
      <c r="F505" s="333"/>
      <c r="G505" s="333"/>
      <c r="H505" s="333" t="s">
        <v>208</v>
      </c>
      <c r="I505" s="334" t="s">
        <v>205</v>
      </c>
    </row>
    <row r="506" spans="2:11" ht="51">
      <c r="B506" s="554" t="s">
        <v>604</v>
      </c>
      <c r="C506" s="339" t="s">
        <v>567</v>
      </c>
      <c r="D506" s="339">
        <v>1</v>
      </c>
      <c r="E506" s="340"/>
      <c r="F506" s="340"/>
      <c r="G506" s="333"/>
      <c r="H506" s="537">
        <v>129.69999999999999</v>
      </c>
      <c r="I506" s="341">
        <f>D506*H506</f>
        <v>129.69999999999999</v>
      </c>
    </row>
    <row r="507" spans="2:11" ht="15.95" customHeight="1">
      <c r="B507" s="692" t="s">
        <v>206</v>
      </c>
      <c r="C507" s="692"/>
      <c r="D507" s="692"/>
      <c r="E507" s="692"/>
      <c r="F507" s="692"/>
      <c r="G507" s="692"/>
      <c r="H507" s="692"/>
      <c r="I507" s="531">
        <f>SUM(I506:I506)</f>
        <v>129.69999999999999</v>
      </c>
    </row>
    <row r="508" spans="2:11" s="329" customFormat="1" ht="30" customHeight="1">
      <c r="B508" s="711" t="s">
        <v>209</v>
      </c>
      <c r="C508" s="712"/>
      <c r="D508" s="712"/>
      <c r="E508" s="712"/>
      <c r="F508" s="712"/>
      <c r="G508" s="712"/>
      <c r="H508" s="712"/>
      <c r="I508" s="713"/>
    </row>
    <row r="509" spans="2:11">
      <c r="B509" s="381" t="s">
        <v>200</v>
      </c>
      <c r="C509" s="333" t="s">
        <v>385</v>
      </c>
      <c r="D509" s="379" t="s">
        <v>3</v>
      </c>
      <c r="E509" s="510"/>
      <c r="F509" s="510"/>
      <c r="G509" s="510"/>
      <c r="H509" s="379" t="s">
        <v>208</v>
      </c>
      <c r="I509" s="380" t="s">
        <v>205</v>
      </c>
    </row>
    <row r="510" spans="2:11" ht="25.5">
      <c r="B510" s="554" t="s">
        <v>605</v>
      </c>
      <c r="C510" s="339" t="s">
        <v>6</v>
      </c>
      <c r="D510" s="339">
        <v>0.04</v>
      </c>
      <c r="E510" s="340"/>
      <c r="F510" s="340"/>
      <c r="G510" s="333"/>
      <c r="H510" s="537">
        <v>602.37</v>
      </c>
      <c r="I510" s="341">
        <f>D510*H510</f>
        <v>24.09</v>
      </c>
    </row>
    <row r="511" spans="2:11">
      <c r="B511" s="724" t="s">
        <v>206</v>
      </c>
      <c r="C511" s="725"/>
      <c r="D511" s="725"/>
      <c r="E511" s="725"/>
      <c r="F511" s="725"/>
      <c r="G511" s="725"/>
      <c r="H511" s="725"/>
      <c r="I511" s="503">
        <f>SUM(I510:I510)</f>
        <v>24.09</v>
      </c>
    </row>
    <row r="512" spans="2:11" s="329" customFormat="1" ht="30" customHeight="1">
      <c r="B512" s="711" t="s">
        <v>239</v>
      </c>
      <c r="C512" s="712"/>
      <c r="D512" s="712"/>
      <c r="E512" s="712"/>
      <c r="F512" s="712"/>
      <c r="G512" s="712"/>
      <c r="H512" s="712"/>
      <c r="I512" s="713"/>
    </row>
    <row r="513" spans="2:11">
      <c r="B513" s="332" t="s">
        <v>200</v>
      </c>
      <c r="C513" s="361" t="s">
        <v>385</v>
      </c>
      <c r="D513" s="333" t="s">
        <v>3</v>
      </c>
      <c r="E513" s="333"/>
      <c r="F513" s="333"/>
      <c r="G513" s="333"/>
      <c r="H513" s="333" t="s">
        <v>208</v>
      </c>
      <c r="I513" s="334" t="s">
        <v>205</v>
      </c>
    </row>
    <row r="514" spans="2:11" ht="15.95" customHeight="1">
      <c r="B514" s="525" t="s">
        <v>606</v>
      </c>
      <c r="C514" s="339" t="s">
        <v>19</v>
      </c>
      <c r="D514" s="339">
        <v>2</v>
      </c>
      <c r="E514" s="340"/>
      <c r="F514" s="340"/>
      <c r="G514" s="333"/>
      <c r="H514" s="537">
        <v>9.5299999999999994</v>
      </c>
      <c r="I514" s="341">
        <f>D514*H514</f>
        <v>19.059999999999999</v>
      </c>
    </row>
    <row r="515" spans="2:11" ht="15.95" customHeight="1">
      <c r="B515" s="525" t="s">
        <v>607</v>
      </c>
      <c r="C515" s="339" t="s">
        <v>19</v>
      </c>
      <c r="D515" s="339">
        <v>3</v>
      </c>
      <c r="E515" s="340"/>
      <c r="F515" s="340"/>
      <c r="G515" s="333"/>
      <c r="H515" s="537">
        <v>7.18</v>
      </c>
      <c r="I515" s="341">
        <f>D515*H515</f>
        <v>21.54</v>
      </c>
    </row>
    <row r="516" spans="2:11" ht="15.95" customHeight="1">
      <c r="B516" s="525" t="s">
        <v>608</v>
      </c>
      <c r="C516" s="339" t="s">
        <v>19</v>
      </c>
      <c r="D516" s="339">
        <v>1</v>
      </c>
      <c r="E516" s="340"/>
      <c r="F516" s="340"/>
      <c r="G516" s="333"/>
      <c r="H516" s="537">
        <v>9.5299999999999994</v>
      </c>
      <c r="I516" s="341">
        <f>D516*H516</f>
        <v>9.5299999999999994</v>
      </c>
    </row>
    <row r="517" spans="2:11" ht="15.95" customHeight="1">
      <c r="B517" s="692" t="s">
        <v>206</v>
      </c>
      <c r="C517" s="692"/>
      <c r="D517" s="692"/>
      <c r="E517" s="692"/>
      <c r="F517" s="692"/>
      <c r="G517" s="692"/>
      <c r="H517" s="692"/>
      <c r="I517" s="531">
        <f>SUM(I514:I516)</f>
        <v>50.13</v>
      </c>
    </row>
    <row r="518" spans="2:11" ht="15.95" customHeight="1">
      <c r="B518" s="344" t="s">
        <v>240</v>
      </c>
      <c r="C518" s="338">
        <v>1</v>
      </c>
      <c r="D518" s="707" t="s">
        <v>241</v>
      </c>
      <c r="E518" s="707"/>
      <c r="F518" s="707"/>
      <c r="G518" s="707"/>
      <c r="H518" s="707"/>
      <c r="I518" s="531">
        <f>I517+I511+I507+I503</f>
        <v>203.92</v>
      </c>
    </row>
    <row r="519" spans="2:11" ht="15.95" customHeight="1">
      <c r="B519" s="697" t="s">
        <v>584</v>
      </c>
      <c r="C519" s="698"/>
      <c r="D519" s="698"/>
      <c r="E519" s="698"/>
      <c r="F519" s="698"/>
      <c r="G519" s="698"/>
      <c r="H519" s="699"/>
      <c r="I519" s="531">
        <f>I518/C518</f>
        <v>203.92</v>
      </c>
    </row>
    <row r="520" spans="2:11" ht="15.95" customHeight="1">
      <c r="B520" s="346" t="s">
        <v>585</v>
      </c>
      <c r="C520" s="347">
        <f>'BDI''s'!C$33</f>
        <v>24.18</v>
      </c>
      <c r="D520" s="348" t="s">
        <v>214</v>
      </c>
      <c r="E520" s="349"/>
      <c r="F520" s="349"/>
      <c r="G520" s="349"/>
      <c r="H520" s="350"/>
      <c r="I520" s="343">
        <f>C520/100*I519</f>
        <v>49.31</v>
      </c>
    </row>
    <row r="521" spans="2:11" s="329" customFormat="1" ht="30" customHeight="1" thickBot="1">
      <c r="B521" s="685" t="s">
        <v>243</v>
      </c>
      <c r="C521" s="685"/>
      <c r="D521" s="685"/>
      <c r="E521" s="685"/>
      <c r="F521" s="685"/>
      <c r="G521" s="685"/>
      <c r="H521" s="685"/>
      <c r="I521" s="522">
        <f>SUM(I519:I520)</f>
        <v>253.23</v>
      </c>
    </row>
    <row r="522" spans="2:11" ht="13.5" thickBot="1"/>
    <row r="523" spans="2:11" ht="30" customHeight="1">
      <c r="B523" s="530" t="s">
        <v>8</v>
      </c>
      <c r="C523" s="529" t="str">
        <f>'Planilha Orçamentária'!B38</f>
        <v>2.2.4</v>
      </c>
      <c r="D523" s="686" t="s">
        <v>197</v>
      </c>
      <c r="E523" s="686"/>
      <c r="F523" s="686"/>
      <c r="G523" s="686"/>
      <c r="H523" s="686"/>
      <c r="I523" s="686"/>
    </row>
    <row r="524" spans="2:11" s="329" customFormat="1" ht="30" customHeight="1">
      <c r="B524" s="680" t="s">
        <v>566</v>
      </c>
      <c r="C524" s="681"/>
      <c r="D524" s="681"/>
      <c r="E524" s="681"/>
      <c r="F524" s="681"/>
      <c r="G524" s="682"/>
      <c r="H524" s="677" t="s">
        <v>819</v>
      </c>
      <c r="I524" s="678"/>
    </row>
    <row r="525" spans="2:11" ht="28.5" customHeight="1">
      <c r="B525" s="715" t="s">
        <v>589</v>
      </c>
      <c r="C525" s="716"/>
      <c r="D525" s="716"/>
      <c r="E525" s="716"/>
      <c r="F525" s="716"/>
      <c r="G525" s="717"/>
      <c r="H525" s="330" t="s">
        <v>198</v>
      </c>
      <c r="I525" s="331" t="s">
        <v>567</v>
      </c>
      <c r="K525" s="373"/>
    </row>
    <row r="526" spans="2:11" s="329" customFormat="1" ht="30" customHeight="1">
      <c r="B526" s="711" t="s">
        <v>199</v>
      </c>
      <c r="C526" s="712"/>
      <c r="D526" s="712"/>
      <c r="E526" s="712"/>
      <c r="F526" s="712"/>
      <c r="G526" s="712"/>
      <c r="H526" s="712"/>
      <c r="I526" s="713"/>
    </row>
    <row r="527" spans="2:11" ht="25.5">
      <c r="B527" s="332" t="s">
        <v>200</v>
      </c>
      <c r="C527" s="361" t="s">
        <v>7</v>
      </c>
      <c r="D527" s="333" t="s">
        <v>3</v>
      </c>
      <c r="E527" s="333" t="s">
        <v>201</v>
      </c>
      <c r="F527" s="333" t="s">
        <v>202</v>
      </c>
      <c r="G527" s="333" t="s">
        <v>203</v>
      </c>
      <c r="H527" s="333" t="s">
        <v>204</v>
      </c>
      <c r="I527" s="334" t="s">
        <v>205</v>
      </c>
    </row>
    <row r="528" spans="2:11" s="536" customFormat="1" ht="25.5">
      <c r="B528" s="609" t="s">
        <v>610</v>
      </c>
      <c r="C528" s="337" t="s">
        <v>19</v>
      </c>
      <c r="D528" s="508">
        <v>1.5</v>
      </c>
      <c r="E528" s="338"/>
      <c r="F528" s="338"/>
      <c r="G528" s="524">
        <v>1.95</v>
      </c>
      <c r="I528" s="501">
        <f>G528*D528</f>
        <v>2.93</v>
      </c>
    </row>
    <row r="529" spans="2:9" ht="15.95" customHeight="1">
      <c r="B529" s="692" t="s">
        <v>206</v>
      </c>
      <c r="C529" s="692"/>
      <c r="D529" s="692"/>
      <c r="E529" s="692"/>
      <c r="F529" s="692"/>
      <c r="G529" s="692"/>
      <c r="H529" s="692"/>
      <c r="I529" s="531">
        <f>SUM(I528:I528)</f>
        <v>2.93</v>
      </c>
    </row>
    <row r="530" spans="2:9" s="329" customFormat="1" ht="30" customHeight="1">
      <c r="B530" s="711" t="s">
        <v>207</v>
      </c>
      <c r="C530" s="712"/>
      <c r="D530" s="712"/>
      <c r="E530" s="712"/>
      <c r="F530" s="712"/>
      <c r="G530" s="712"/>
      <c r="H530" s="712"/>
      <c r="I530" s="713"/>
    </row>
    <row r="531" spans="2:9">
      <c r="B531" s="332" t="s">
        <v>200</v>
      </c>
      <c r="C531" s="361" t="s">
        <v>7</v>
      </c>
      <c r="D531" s="333" t="s">
        <v>3</v>
      </c>
      <c r="E531" s="333"/>
      <c r="F531" s="333"/>
      <c r="G531" s="333"/>
      <c r="H531" s="333" t="s">
        <v>208</v>
      </c>
      <c r="I531" s="334" t="s">
        <v>205</v>
      </c>
    </row>
    <row r="532" spans="2:9" ht="15.95" customHeight="1">
      <c r="B532" s="525" t="s">
        <v>611</v>
      </c>
      <c r="C532" s="339" t="s">
        <v>4</v>
      </c>
      <c r="D532" s="339">
        <v>2</v>
      </c>
      <c r="E532" s="340"/>
      <c r="F532" s="340"/>
      <c r="G532" s="333"/>
      <c r="H532" s="537">
        <v>2.8</v>
      </c>
      <c r="I532" s="341">
        <f>H532*D532</f>
        <v>5.6</v>
      </c>
    </row>
    <row r="533" spans="2:9" ht="15.95" customHeight="1">
      <c r="B533" s="525" t="s">
        <v>612</v>
      </c>
      <c r="C533" s="339" t="s">
        <v>5</v>
      </c>
      <c r="D533" s="339">
        <f>2*0.2*0.15+1*0.2*0.15</f>
        <v>0.09</v>
      </c>
      <c r="E533" s="340"/>
      <c r="F533" s="340"/>
      <c r="G533" s="333"/>
      <c r="H533" s="537">
        <v>16.13</v>
      </c>
      <c r="I533" s="341">
        <f t="shared" ref="I533:I545" si="3">H533*D533</f>
        <v>1.45</v>
      </c>
    </row>
    <row r="534" spans="2:9" ht="15.95" customHeight="1">
      <c r="B534" s="525" t="s">
        <v>613</v>
      </c>
      <c r="C534" s="339" t="s">
        <v>570</v>
      </c>
      <c r="D534" s="339">
        <v>24.3</v>
      </c>
      <c r="E534" s="340"/>
      <c r="F534" s="340"/>
      <c r="G534" s="333"/>
      <c r="H534" s="537">
        <v>4.0999999999999996</v>
      </c>
      <c r="I534" s="341">
        <f t="shared" si="3"/>
        <v>99.63</v>
      </c>
    </row>
    <row r="535" spans="2:9" ht="15.95" customHeight="1">
      <c r="B535" s="525" t="s">
        <v>614</v>
      </c>
      <c r="C535" s="339" t="s">
        <v>570</v>
      </c>
      <c r="D535" s="339">
        <v>0.53</v>
      </c>
      <c r="E535" s="340"/>
      <c r="F535" s="340"/>
      <c r="G535" s="333"/>
      <c r="H535" s="537">
        <v>9.44</v>
      </c>
      <c r="I535" s="341">
        <f t="shared" si="3"/>
        <v>5</v>
      </c>
    </row>
    <row r="536" spans="2:9" ht="15.95" customHeight="1">
      <c r="B536" s="525" t="s">
        <v>687</v>
      </c>
      <c r="C536" s="339" t="s">
        <v>6</v>
      </c>
      <c r="D536" s="339">
        <v>0.66</v>
      </c>
      <c r="E536" s="340"/>
      <c r="F536" s="340"/>
      <c r="G536" s="333"/>
      <c r="H536" s="537">
        <v>82.5</v>
      </c>
      <c r="I536" s="341">
        <f t="shared" si="3"/>
        <v>54.45</v>
      </c>
    </row>
    <row r="537" spans="2:9" ht="15.95" customHeight="1">
      <c r="B537" s="525" t="s">
        <v>615</v>
      </c>
      <c r="C537" s="339" t="s">
        <v>6</v>
      </c>
      <c r="D537" s="339">
        <f>3*0.03774</f>
        <v>0.11</v>
      </c>
      <c r="E537" s="340"/>
      <c r="F537" s="340"/>
      <c r="G537" s="333"/>
      <c r="H537" s="537">
        <v>80</v>
      </c>
      <c r="I537" s="341">
        <f>H537*D537</f>
        <v>8.8000000000000007</v>
      </c>
    </row>
    <row r="538" spans="2:9" ht="15.95" customHeight="1">
      <c r="B538" s="525" t="s">
        <v>616</v>
      </c>
      <c r="C538" s="339" t="s">
        <v>570</v>
      </c>
      <c r="D538" s="339">
        <v>60</v>
      </c>
      <c r="E538" s="340"/>
      <c r="F538" s="340"/>
      <c r="G538" s="333"/>
      <c r="H538" s="537">
        <v>0.52</v>
      </c>
      <c r="I538" s="341">
        <f t="shared" si="3"/>
        <v>31.2</v>
      </c>
    </row>
    <row r="539" spans="2:9" ht="15.95" customHeight="1">
      <c r="B539" s="525" t="s">
        <v>617</v>
      </c>
      <c r="C539" s="339" t="s">
        <v>6</v>
      </c>
      <c r="D539" s="339">
        <f>1.5*0.0138+2*2*0.029+1*0.029</f>
        <v>0.17</v>
      </c>
      <c r="E539" s="340"/>
      <c r="F539" s="340"/>
      <c r="G539" s="333"/>
      <c r="H539" s="537">
        <v>70.41</v>
      </c>
      <c r="I539" s="341">
        <f t="shared" si="3"/>
        <v>11.97</v>
      </c>
    </row>
    <row r="540" spans="2:9" ht="15.95" customHeight="1">
      <c r="B540" s="525" t="s">
        <v>618</v>
      </c>
      <c r="C540" s="339" t="s">
        <v>570</v>
      </c>
      <c r="D540" s="339">
        <v>2.5</v>
      </c>
      <c r="E540" s="340"/>
      <c r="F540" s="340"/>
      <c r="G540" s="333"/>
      <c r="H540" s="537">
        <v>1</v>
      </c>
      <c r="I540" s="341">
        <f t="shared" si="3"/>
        <v>2.5</v>
      </c>
    </row>
    <row r="541" spans="2:9" ht="15.95" customHeight="1">
      <c r="B541" s="525" t="s">
        <v>619</v>
      </c>
      <c r="C541" s="339" t="s">
        <v>567</v>
      </c>
      <c r="D541" s="339">
        <f>1.5*2*27</f>
        <v>81</v>
      </c>
      <c r="E541" s="340"/>
      <c r="F541" s="340"/>
      <c r="G541" s="333"/>
      <c r="H541" s="537">
        <v>0.42</v>
      </c>
      <c r="I541" s="341">
        <f t="shared" si="3"/>
        <v>34.020000000000003</v>
      </c>
    </row>
    <row r="542" spans="2:9" ht="15.95" customHeight="1">
      <c r="B542" s="525" t="s">
        <v>620</v>
      </c>
      <c r="C542" s="339" t="s">
        <v>6</v>
      </c>
      <c r="D542" s="339">
        <f>1.7*0.3*0.3</f>
        <v>0.15</v>
      </c>
      <c r="E542" s="340"/>
      <c r="F542" s="340"/>
      <c r="G542" s="333"/>
      <c r="H542" s="537">
        <v>55.1</v>
      </c>
      <c r="I542" s="341">
        <f t="shared" si="3"/>
        <v>8.27</v>
      </c>
    </row>
    <row r="543" spans="2:9" ht="15.95" customHeight="1">
      <c r="B543" s="525" t="s">
        <v>621</v>
      </c>
      <c r="C543" s="339" t="s">
        <v>572</v>
      </c>
      <c r="D543" s="339">
        <v>5</v>
      </c>
      <c r="E543" s="340"/>
      <c r="F543" s="340"/>
      <c r="G543" s="333"/>
      <c r="H543" s="537">
        <v>12.58</v>
      </c>
      <c r="I543" s="341">
        <f t="shared" si="3"/>
        <v>62.9</v>
      </c>
    </row>
    <row r="544" spans="2:9" ht="15.95" customHeight="1">
      <c r="B544" s="525" t="s">
        <v>622</v>
      </c>
      <c r="C544" s="339" t="s">
        <v>5</v>
      </c>
      <c r="D544" s="339">
        <f>1.5*1</f>
        <v>1.5</v>
      </c>
      <c r="E544" s="340"/>
      <c r="F544" s="340"/>
      <c r="G544" s="333"/>
      <c r="H544" s="537">
        <v>30</v>
      </c>
      <c r="I544" s="341">
        <f t="shared" si="3"/>
        <v>45</v>
      </c>
    </row>
    <row r="545" spans="2:9" ht="15.95" customHeight="1">
      <c r="B545" s="525" t="s">
        <v>682</v>
      </c>
      <c r="C545" s="339" t="s">
        <v>567</v>
      </c>
      <c r="D545" s="339">
        <v>3</v>
      </c>
      <c r="E545" s="340"/>
      <c r="F545" s="340"/>
      <c r="G545" s="333"/>
      <c r="H545" s="537">
        <v>0.38</v>
      </c>
      <c r="I545" s="341">
        <f t="shared" si="3"/>
        <v>1.1399999999999999</v>
      </c>
    </row>
    <row r="546" spans="2:9" ht="15.95" customHeight="1">
      <c r="B546" s="692" t="s">
        <v>206</v>
      </c>
      <c r="C546" s="692"/>
      <c r="D546" s="692"/>
      <c r="E546" s="692"/>
      <c r="F546" s="692"/>
      <c r="G546" s="692"/>
      <c r="H546" s="692"/>
      <c r="I546" s="531">
        <f>SUM(I532:I545)</f>
        <v>371.93</v>
      </c>
    </row>
    <row r="547" spans="2:9" s="329" customFormat="1" ht="30" customHeight="1">
      <c r="B547" s="711" t="s">
        <v>209</v>
      </c>
      <c r="C547" s="712"/>
      <c r="D547" s="712"/>
      <c r="E547" s="712"/>
      <c r="F547" s="712"/>
      <c r="G547" s="712"/>
      <c r="H547" s="712"/>
      <c r="I547" s="713"/>
    </row>
    <row r="548" spans="2:9">
      <c r="B548" s="332" t="s">
        <v>200</v>
      </c>
      <c r="C548" s="361" t="s">
        <v>7</v>
      </c>
      <c r="D548" s="333" t="s">
        <v>3</v>
      </c>
      <c r="E548" s="333"/>
      <c r="F548" s="333"/>
      <c r="G548" s="333"/>
      <c r="H548" s="333" t="s">
        <v>208</v>
      </c>
      <c r="I548" s="334" t="s">
        <v>205</v>
      </c>
    </row>
    <row r="549" spans="2:9" ht="15.95" customHeight="1">
      <c r="B549" s="525"/>
      <c r="C549" s="339"/>
      <c r="D549" s="339"/>
      <c r="E549" s="340"/>
      <c r="F549" s="340"/>
      <c r="G549" s="333"/>
      <c r="H549" s="557"/>
      <c r="I549" s="341">
        <f>D549*H549</f>
        <v>0</v>
      </c>
    </row>
    <row r="550" spans="2:9" ht="15.95" customHeight="1">
      <c r="B550" s="692" t="s">
        <v>206</v>
      </c>
      <c r="C550" s="692"/>
      <c r="D550" s="692"/>
      <c r="E550" s="692"/>
      <c r="F550" s="692"/>
      <c r="G550" s="692"/>
      <c r="H550" s="692"/>
      <c r="I550" s="531">
        <f>SUM(I549:I549)</f>
        <v>0</v>
      </c>
    </row>
    <row r="551" spans="2:9" s="329" customFormat="1" ht="30" customHeight="1">
      <c r="B551" s="711" t="s">
        <v>239</v>
      </c>
      <c r="C551" s="712"/>
      <c r="D551" s="712"/>
      <c r="E551" s="712"/>
      <c r="F551" s="712"/>
      <c r="G551" s="712"/>
      <c r="H551" s="712"/>
      <c r="I551" s="713"/>
    </row>
    <row r="552" spans="2:9">
      <c r="B552" s="332" t="s">
        <v>200</v>
      </c>
      <c r="C552" s="361" t="s">
        <v>7</v>
      </c>
      <c r="D552" s="333" t="s">
        <v>3</v>
      </c>
      <c r="E552" s="333"/>
      <c r="F552" s="333"/>
      <c r="G552" s="333"/>
      <c r="H552" s="333" t="s">
        <v>208</v>
      </c>
      <c r="I552" s="334" t="s">
        <v>205</v>
      </c>
    </row>
    <row r="553" spans="2:9" ht="15.95" customHeight="1">
      <c r="B553" s="525" t="s">
        <v>609</v>
      </c>
      <c r="C553" s="339" t="s">
        <v>19</v>
      </c>
      <c r="D553" s="339">
        <v>10</v>
      </c>
      <c r="E553" s="340"/>
      <c r="F553" s="340"/>
      <c r="G553" s="333"/>
      <c r="H553" s="537">
        <v>7.18</v>
      </c>
      <c r="I553" s="341">
        <f>H553*D553</f>
        <v>71.8</v>
      </c>
    </row>
    <row r="554" spans="2:9" ht="15.95" customHeight="1">
      <c r="B554" s="525" t="s">
        <v>608</v>
      </c>
      <c r="C554" s="339" t="s">
        <v>19</v>
      </c>
      <c r="D554" s="339">
        <v>8</v>
      </c>
      <c r="E554" s="340"/>
      <c r="F554" s="340"/>
      <c r="G554" s="333"/>
      <c r="H554" s="537">
        <v>9.5299999999999994</v>
      </c>
      <c r="I554" s="341">
        <f>H554*D554</f>
        <v>76.239999999999995</v>
      </c>
    </row>
    <row r="555" spans="2:9" ht="15.95" customHeight="1">
      <c r="B555" s="692" t="s">
        <v>206</v>
      </c>
      <c r="C555" s="692"/>
      <c r="D555" s="692"/>
      <c r="E555" s="692"/>
      <c r="F555" s="692"/>
      <c r="G555" s="692"/>
      <c r="H555" s="692"/>
      <c r="I555" s="531">
        <f>SUM(I553:I554)</f>
        <v>148.04</v>
      </c>
    </row>
    <row r="556" spans="2:9" ht="15.95" customHeight="1">
      <c r="B556" s="344" t="s">
        <v>240</v>
      </c>
      <c r="C556" s="338">
        <v>1</v>
      </c>
      <c r="D556" s="707" t="s">
        <v>241</v>
      </c>
      <c r="E556" s="707"/>
      <c r="F556" s="707"/>
      <c r="G556" s="707"/>
      <c r="H556" s="707"/>
      <c r="I556" s="531">
        <f>I555+I550+I546+I529</f>
        <v>522.9</v>
      </c>
    </row>
    <row r="557" spans="2:9" ht="15.95" customHeight="1">
      <c r="B557" s="697"/>
      <c r="C557" s="698"/>
      <c r="D557" s="698"/>
      <c r="E557" s="698"/>
      <c r="F557" s="698"/>
      <c r="G557" s="698"/>
      <c r="H557" s="699"/>
      <c r="I557" s="531">
        <f>I556/C556</f>
        <v>522.9</v>
      </c>
    </row>
    <row r="558" spans="2:9" ht="15.95" customHeight="1">
      <c r="B558" s="346" t="s">
        <v>569</v>
      </c>
      <c r="C558" s="347">
        <f>'BDI''s'!C$33</f>
        <v>24.18</v>
      </c>
      <c r="D558" s="348" t="s">
        <v>214</v>
      </c>
      <c r="E558" s="349"/>
      <c r="F558" s="349"/>
      <c r="G558" s="349"/>
      <c r="H558" s="350"/>
      <c r="I558" s="343">
        <f>C558/100*I557</f>
        <v>126.44</v>
      </c>
    </row>
    <row r="559" spans="2:9" s="329" customFormat="1" ht="30" customHeight="1" thickBot="1">
      <c r="B559" s="685" t="s">
        <v>243</v>
      </c>
      <c r="C559" s="685"/>
      <c r="D559" s="685"/>
      <c r="E559" s="685"/>
      <c r="F559" s="685"/>
      <c r="G559" s="685"/>
      <c r="H559" s="685"/>
      <c r="I559" s="522">
        <f>SUM(I557:I558)</f>
        <v>649.34</v>
      </c>
    </row>
  </sheetData>
  <mergeCells count="300">
    <mergeCell ref="B530:I530"/>
    <mergeCell ref="B546:H546"/>
    <mergeCell ref="B547:I547"/>
    <mergeCell ref="B550:H550"/>
    <mergeCell ref="B551:I551"/>
    <mergeCell ref="D556:H556"/>
    <mergeCell ref="D523:I523"/>
    <mergeCell ref="B524:G524"/>
    <mergeCell ref="H524:I524"/>
    <mergeCell ref="B525:G525"/>
    <mergeCell ref="B526:I526"/>
    <mergeCell ref="B529:H529"/>
    <mergeCell ref="B555:H555"/>
    <mergeCell ref="B511:H511"/>
    <mergeCell ref="B512:I512"/>
    <mergeCell ref="B517:H517"/>
    <mergeCell ref="B482:I482"/>
    <mergeCell ref="B491:H491"/>
    <mergeCell ref="D492:H492"/>
    <mergeCell ref="B493:H493"/>
    <mergeCell ref="D497:I497"/>
    <mergeCell ref="B498:G498"/>
    <mergeCell ref="H498:I498"/>
    <mergeCell ref="B504:I504"/>
    <mergeCell ref="B507:H507"/>
    <mergeCell ref="B457:H457"/>
    <mergeCell ref="B459:H459"/>
    <mergeCell ref="D461:I461"/>
    <mergeCell ref="B462:G462"/>
    <mergeCell ref="H462:I462"/>
    <mergeCell ref="B463:G463"/>
    <mergeCell ref="B499:G499"/>
    <mergeCell ref="B503:H503"/>
    <mergeCell ref="B508:I508"/>
    <mergeCell ref="B227:I227"/>
    <mergeCell ref="B313:H313"/>
    <mergeCell ref="B282:I282"/>
    <mergeCell ref="B285:H285"/>
    <mergeCell ref="D355:H355"/>
    <mergeCell ref="B353:H353"/>
    <mergeCell ref="B354:H354"/>
    <mergeCell ref="B445:H445"/>
    <mergeCell ref="B449:H449"/>
    <mergeCell ref="D418:I418"/>
    <mergeCell ref="H419:I419"/>
    <mergeCell ref="B420:G420"/>
    <mergeCell ref="B421:I421"/>
    <mergeCell ref="B424:H424"/>
    <mergeCell ref="B425:I425"/>
    <mergeCell ref="B419:G419"/>
    <mergeCell ref="B344:H344"/>
    <mergeCell ref="B358:H358"/>
    <mergeCell ref="B356:H356"/>
    <mergeCell ref="D360:I360"/>
    <mergeCell ref="H361:I361"/>
    <mergeCell ref="D328:H328"/>
    <mergeCell ref="B329:H329"/>
    <mergeCell ref="B345:I345"/>
    <mergeCell ref="B557:H557"/>
    <mergeCell ref="B559:H559"/>
    <mergeCell ref="B230:H230"/>
    <mergeCell ref="B231:I231"/>
    <mergeCell ref="B296:I296"/>
    <mergeCell ref="B244:H244"/>
    <mergeCell ref="B245:H245"/>
    <mergeCell ref="B322:I322"/>
    <mergeCell ref="B286:I286"/>
    <mergeCell ref="B291:H291"/>
    <mergeCell ref="B310:I310"/>
    <mergeCell ref="B300:H300"/>
    <mergeCell ref="B281:G281"/>
    <mergeCell ref="B450:I450"/>
    <mergeCell ref="B455:H455"/>
    <mergeCell ref="D456:H456"/>
    <mergeCell ref="B464:I464"/>
    <mergeCell ref="B467:H467"/>
    <mergeCell ref="B468:I468"/>
    <mergeCell ref="B477:H477"/>
    <mergeCell ref="B478:I478"/>
    <mergeCell ref="B481:H481"/>
    <mergeCell ref="B371:I371"/>
    <mergeCell ref="B362:G362"/>
    <mergeCell ref="D2:I2"/>
    <mergeCell ref="B22:H22"/>
    <mergeCell ref="B130:I130"/>
    <mergeCell ref="B213:I213"/>
    <mergeCell ref="B217:H217"/>
    <mergeCell ref="B218:H218"/>
    <mergeCell ref="B135:H135"/>
    <mergeCell ref="B154:H154"/>
    <mergeCell ref="B200:I200"/>
    <mergeCell ref="B181:H181"/>
    <mergeCell ref="B182:I182"/>
    <mergeCell ref="B208:H208"/>
    <mergeCell ref="D197:I197"/>
    <mergeCell ref="B198:G198"/>
    <mergeCell ref="H198:I198"/>
    <mergeCell ref="B209:I209"/>
    <mergeCell ref="B173:I173"/>
    <mergeCell ref="B176:H176"/>
    <mergeCell ref="B177:I177"/>
    <mergeCell ref="B185:H185"/>
    <mergeCell ref="B186:I186"/>
    <mergeCell ref="B190:H190"/>
    <mergeCell ref="B191:H191"/>
    <mergeCell ref="D192:H192"/>
    <mergeCell ref="B367:I367"/>
    <mergeCell ref="B370:H370"/>
    <mergeCell ref="B366:H366"/>
    <mergeCell ref="B348:H348"/>
    <mergeCell ref="B349:I349"/>
    <mergeCell ref="B363:I363"/>
    <mergeCell ref="B334:G334"/>
    <mergeCell ref="D279:I279"/>
    <mergeCell ref="B280:G280"/>
    <mergeCell ref="B314:I314"/>
    <mergeCell ref="B317:H317"/>
    <mergeCell ref="B318:I318"/>
    <mergeCell ref="B303:H303"/>
    <mergeCell ref="B305:H305"/>
    <mergeCell ref="B292:I292"/>
    <mergeCell ref="B295:H295"/>
    <mergeCell ref="H280:I280"/>
    <mergeCell ref="D307:I307"/>
    <mergeCell ref="H308:I308"/>
    <mergeCell ref="B309:G309"/>
    <mergeCell ref="B308:G308"/>
    <mergeCell ref="B268:I268"/>
    <mergeCell ref="B272:H272"/>
    <mergeCell ref="B273:H273"/>
    <mergeCell ref="D274:H274"/>
    <mergeCell ref="B277:H277"/>
    <mergeCell ref="B275:H275"/>
    <mergeCell ref="B235:H235"/>
    <mergeCell ref="B236:I236"/>
    <mergeCell ref="B239:H239"/>
    <mergeCell ref="B240:I240"/>
    <mergeCell ref="B247:H247"/>
    <mergeCell ref="B249:H249"/>
    <mergeCell ref="D246:H246"/>
    <mergeCell ref="D251:I251"/>
    <mergeCell ref="H252:I252"/>
    <mergeCell ref="B253:G253"/>
    <mergeCell ref="B252:G252"/>
    <mergeCell ref="B375:I375"/>
    <mergeCell ref="B500:I500"/>
    <mergeCell ref="H386:I386"/>
    <mergeCell ref="B411:H411"/>
    <mergeCell ref="B495:H495"/>
    <mergeCell ref="B386:G386"/>
    <mergeCell ref="B388:I388"/>
    <mergeCell ref="B378:H378"/>
    <mergeCell ref="B379:H379"/>
    <mergeCell ref="B402:H402"/>
    <mergeCell ref="B383:H383"/>
    <mergeCell ref="D413:H413"/>
    <mergeCell ref="B403:I403"/>
    <mergeCell ref="B414:H414"/>
    <mergeCell ref="B412:H412"/>
    <mergeCell ref="B407:I407"/>
    <mergeCell ref="B406:H406"/>
    <mergeCell ref="D380:H380"/>
    <mergeCell ref="B381:H381"/>
    <mergeCell ref="B392:I392"/>
    <mergeCell ref="D385:I385"/>
    <mergeCell ref="B387:G387"/>
    <mergeCell ref="B391:H391"/>
    <mergeCell ref="B446:I446"/>
    <mergeCell ref="B521:H521"/>
    <mergeCell ref="D518:H518"/>
    <mergeCell ref="B519:H519"/>
    <mergeCell ref="B254:I254"/>
    <mergeCell ref="B257:H257"/>
    <mergeCell ref="B258:I258"/>
    <mergeCell ref="B263:H263"/>
    <mergeCell ref="B264:I264"/>
    <mergeCell ref="B267:H267"/>
    <mergeCell ref="B321:H321"/>
    <mergeCell ref="H334:I334"/>
    <mergeCell ref="B335:G335"/>
    <mergeCell ref="B336:I336"/>
    <mergeCell ref="B339:H339"/>
    <mergeCell ref="B340:I340"/>
    <mergeCell ref="D333:I333"/>
    <mergeCell ref="B326:H326"/>
    <mergeCell ref="B331:H331"/>
    <mergeCell ref="B327:H327"/>
    <mergeCell ref="B361:G361"/>
    <mergeCell ref="B374:H374"/>
    <mergeCell ref="B416:H416"/>
    <mergeCell ref="D302:H302"/>
    <mergeCell ref="B301:H301"/>
    <mergeCell ref="B195:H195"/>
    <mergeCell ref="B193:H193"/>
    <mergeCell ref="B226:G226"/>
    <mergeCell ref="B199:G199"/>
    <mergeCell ref="B203:H203"/>
    <mergeCell ref="B204:I204"/>
    <mergeCell ref="D224:I224"/>
    <mergeCell ref="B225:G225"/>
    <mergeCell ref="H225:I225"/>
    <mergeCell ref="B212:H212"/>
    <mergeCell ref="D219:H219"/>
    <mergeCell ref="B220:H220"/>
    <mergeCell ref="B222:H222"/>
    <mergeCell ref="B145:I145"/>
    <mergeCell ref="B148:H148"/>
    <mergeCell ref="D170:I170"/>
    <mergeCell ref="H171:I171"/>
    <mergeCell ref="B172:G172"/>
    <mergeCell ref="B171:G171"/>
    <mergeCell ref="D165:H165"/>
    <mergeCell ref="B168:H168"/>
    <mergeCell ref="B155:I155"/>
    <mergeCell ref="B158:H158"/>
    <mergeCell ref="B159:I159"/>
    <mergeCell ref="B163:H163"/>
    <mergeCell ref="B164:H164"/>
    <mergeCell ref="B166:H166"/>
    <mergeCell ref="B95:H95"/>
    <mergeCell ref="B96:I96"/>
    <mergeCell ref="B149:I149"/>
    <mergeCell ref="B143:G143"/>
    <mergeCell ref="D107:H107"/>
    <mergeCell ref="B110:H110"/>
    <mergeCell ref="D112:I112"/>
    <mergeCell ref="H113:I113"/>
    <mergeCell ref="B114:G114"/>
    <mergeCell ref="B113:G113"/>
    <mergeCell ref="B108:H108"/>
    <mergeCell ref="B115:I115"/>
    <mergeCell ref="B119:H119"/>
    <mergeCell ref="B120:I120"/>
    <mergeCell ref="B125:H125"/>
    <mergeCell ref="B126:I126"/>
    <mergeCell ref="B129:H129"/>
    <mergeCell ref="B136:H136"/>
    <mergeCell ref="D137:H137"/>
    <mergeCell ref="B140:H140"/>
    <mergeCell ref="B138:H138"/>
    <mergeCell ref="D142:I142"/>
    <mergeCell ref="H143:I143"/>
    <mergeCell ref="B144:G144"/>
    <mergeCell ref="B70:I70"/>
    <mergeCell ref="B69:H69"/>
    <mergeCell ref="D82:I82"/>
    <mergeCell ref="H83:I83"/>
    <mergeCell ref="B84:G84"/>
    <mergeCell ref="B85:I85"/>
    <mergeCell ref="B89:H89"/>
    <mergeCell ref="B90:I90"/>
    <mergeCell ref="B83:G83"/>
    <mergeCell ref="B44:I44"/>
    <mergeCell ref="B23:H23"/>
    <mergeCell ref="B25:H25"/>
    <mergeCell ref="D29:I29"/>
    <mergeCell ref="B99:H99"/>
    <mergeCell ref="B100:I100"/>
    <mergeCell ref="B105:H105"/>
    <mergeCell ref="B106:H106"/>
    <mergeCell ref="H30:I30"/>
    <mergeCell ref="B31:G31"/>
    <mergeCell ref="B30:G30"/>
    <mergeCell ref="B80:H80"/>
    <mergeCell ref="B78:H78"/>
    <mergeCell ref="B76:H76"/>
    <mergeCell ref="D77:H77"/>
    <mergeCell ref="B57:I57"/>
    <mergeCell ref="B60:H60"/>
    <mergeCell ref="B61:I61"/>
    <mergeCell ref="B65:H65"/>
    <mergeCell ref="B75:H75"/>
    <mergeCell ref="B66:I66"/>
    <mergeCell ref="H55:I55"/>
    <mergeCell ref="B56:G56"/>
    <mergeCell ref="B55:G55"/>
    <mergeCell ref="H3:I3"/>
    <mergeCell ref="B40:I40"/>
    <mergeCell ref="B3:G3"/>
    <mergeCell ref="B5:I5"/>
    <mergeCell ref="B9:H9"/>
    <mergeCell ref="B10:I10"/>
    <mergeCell ref="B27:H27"/>
    <mergeCell ref="B32:I32"/>
    <mergeCell ref="D54:I54"/>
    <mergeCell ref="D24:H24"/>
    <mergeCell ref="B47:H47"/>
    <mergeCell ref="B48:H48"/>
    <mergeCell ref="B17:H17"/>
    <mergeCell ref="B36:I36"/>
    <mergeCell ref="B39:H39"/>
    <mergeCell ref="B4:G4"/>
    <mergeCell ref="B13:H13"/>
    <mergeCell ref="B14:I14"/>
    <mergeCell ref="D49:H49"/>
    <mergeCell ref="B52:H52"/>
    <mergeCell ref="B18:I18"/>
    <mergeCell ref="B35:H35"/>
    <mergeCell ref="B50:H50"/>
    <mergeCell ref="B43:H43"/>
  </mergeCells>
  <printOptions horizontalCentered="1"/>
  <pageMargins left="0.51181102362204722" right="0.51181102362204722" top="0.39370078740157483" bottom="0.78740157480314965" header="0.51181102362204722" footer="0.51181102362204722"/>
  <pageSetup paperSize="9" scale="59" firstPageNumber="0" orientation="portrait" r:id="rId1"/>
  <headerFooter alignWithMargins="0">
    <oddHeader>Página &amp;P de &amp;N</oddHeader>
  </headerFooter>
  <rowBreaks count="18" manualBreakCount="18">
    <brk id="27" max="8" man="1"/>
    <brk id="52" max="8" man="1"/>
    <brk id="80" max="8" man="1"/>
    <brk id="110" max="8" man="1"/>
    <brk id="140" max="8" man="1"/>
    <brk id="168" max="8" man="1"/>
    <brk id="195" max="8" man="1"/>
    <brk id="222" max="8" man="1"/>
    <brk id="249" max="8" man="1"/>
    <brk id="277" max="8" man="1"/>
    <brk id="305" max="8" man="1"/>
    <brk id="331" max="8" man="1"/>
    <brk id="358" max="8" man="1"/>
    <brk id="383" max="8" man="1"/>
    <brk id="416" max="8" man="1"/>
    <brk id="459" max="8" man="1"/>
    <brk id="495" max="8" man="1"/>
    <brk id="521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42"/>
  <sheetViews>
    <sheetView view="pageBreakPreview" zoomScale="115" zoomScaleNormal="100" zoomScaleSheetLayoutView="115" workbookViewId="0">
      <pane ySplit="9" topLeftCell="A10" activePane="bottomLeft" state="frozen"/>
      <selection activeCell="D52" sqref="D52:E52"/>
      <selection pane="bottomLeft" activeCell="A10" sqref="A10"/>
    </sheetView>
  </sheetViews>
  <sheetFormatPr defaultRowHeight="12.75"/>
  <cols>
    <col min="1" max="1" width="3.7109375" style="382" customWidth="1"/>
    <col min="2" max="2" width="10.28515625" style="421" customWidth="1"/>
    <col min="3" max="3" width="45.85546875" style="422" customWidth="1"/>
    <col min="4" max="4" width="9.140625" style="421" customWidth="1"/>
    <col min="5" max="5" width="13" style="386" customWidth="1"/>
    <col min="6" max="6" width="18.5703125" style="421" customWidth="1"/>
    <col min="7" max="16384" width="9.140625" style="382"/>
  </cols>
  <sheetData>
    <row r="1" spans="1:7">
      <c r="A1" s="373"/>
      <c r="B1" s="383"/>
      <c r="C1" s="384"/>
      <c r="D1" s="385"/>
      <c r="F1" s="385"/>
    </row>
    <row r="2" spans="1:7" s="387" customFormat="1" ht="12" customHeight="1">
      <c r="B2" s="729" t="s">
        <v>626</v>
      </c>
      <c r="C2" s="730"/>
      <c r="D2" s="730"/>
      <c r="E2" s="730"/>
      <c r="F2" s="731"/>
      <c r="G2" s="388"/>
    </row>
    <row r="3" spans="1:7" s="389" customFormat="1" ht="12" customHeight="1">
      <c r="B3" s="732"/>
      <c r="C3" s="733"/>
      <c r="D3" s="733"/>
      <c r="E3" s="733"/>
      <c r="F3" s="734"/>
      <c r="G3" s="390"/>
    </row>
    <row r="4" spans="1:7" s="389" customFormat="1" ht="12.75" customHeight="1">
      <c r="B4" s="732"/>
      <c r="C4" s="733"/>
      <c r="D4" s="733"/>
      <c r="E4" s="733"/>
      <c r="F4" s="734"/>
      <c r="G4" s="390"/>
    </row>
    <row r="5" spans="1:7" s="389" customFormat="1" ht="15.75" customHeight="1">
      <c r="B5" s="735"/>
      <c r="C5" s="736"/>
      <c r="D5" s="736"/>
      <c r="E5" s="736"/>
      <c r="F5" s="737"/>
      <c r="G5" s="390"/>
    </row>
    <row r="6" spans="1:7">
      <c r="A6" s="373"/>
      <c r="B6" s="391"/>
      <c r="C6" s="392" t="s">
        <v>821</v>
      </c>
      <c r="D6" s="521" t="s">
        <v>224</v>
      </c>
      <c r="E6" s="520">
        <f>'BDI''s'!C33</f>
        <v>24.18</v>
      </c>
      <c r="F6" s="519" t="s">
        <v>214</v>
      </c>
    </row>
    <row r="7" spans="1:7">
      <c r="A7" s="393"/>
      <c r="B7" s="383"/>
      <c r="C7" s="394"/>
      <c r="D7" s="395"/>
      <c r="F7" s="395"/>
    </row>
    <row r="8" spans="1:7">
      <c r="A8" s="373"/>
      <c r="B8" s="726" t="s">
        <v>627</v>
      </c>
      <c r="C8" s="727"/>
      <c r="D8" s="727"/>
      <c r="E8" s="727"/>
      <c r="F8" s="728"/>
    </row>
    <row r="9" spans="1:7">
      <c r="A9" s="393"/>
      <c r="B9" s="383"/>
      <c r="C9" s="394"/>
      <c r="D9" s="395"/>
      <c r="F9" s="395"/>
    </row>
    <row r="10" spans="1:7">
      <c r="A10" s="373"/>
      <c r="B10" s="396" t="s">
        <v>442</v>
      </c>
      <c r="C10" s="397" t="s">
        <v>628</v>
      </c>
      <c r="D10" s="398" t="s">
        <v>7</v>
      </c>
      <c r="E10" s="399" t="s">
        <v>629</v>
      </c>
      <c r="F10" s="400" t="s">
        <v>630</v>
      </c>
    </row>
    <row r="11" spans="1:7" s="406" customFormat="1" ht="15.95" customHeight="1">
      <c r="A11" s="515"/>
      <c r="B11" s="417">
        <v>2707</v>
      </c>
      <c r="C11" s="402" t="s">
        <v>631</v>
      </c>
      <c r="D11" s="403" t="s">
        <v>19</v>
      </c>
      <c r="E11" s="514">
        <v>67.290000000000006</v>
      </c>
      <c r="F11" s="405" t="s">
        <v>238</v>
      </c>
    </row>
    <row r="12" spans="1:7" s="406" customFormat="1" ht="15.95" customHeight="1">
      <c r="A12" s="515"/>
      <c r="B12" s="417">
        <v>20020</v>
      </c>
      <c r="C12" s="402" t="s">
        <v>632</v>
      </c>
      <c r="D12" s="403" t="s">
        <v>19</v>
      </c>
      <c r="E12" s="514">
        <v>19.46</v>
      </c>
      <c r="F12" s="405" t="s">
        <v>238</v>
      </c>
    </row>
    <row r="13" spans="1:7" s="406" customFormat="1" ht="15.95" customHeight="1">
      <c r="A13" s="515"/>
      <c r="B13" s="417">
        <v>6111</v>
      </c>
      <c r="C13" s="407" t="s">
        <v>568</v>
      </c>
      <c r="D13" s="403" t="s">
        <v>19</v>
      </c>
      <c r="E13" s="514">
        <v>7.18</v>
      </c>
      <c r="F13" s="405" t="s">
        <v>238</v>
      </c>
    </row>
    <row r="14" spans="1:7" s="406" customFormat="1" ht="15.95" customHeight="1">
      <c r="A14" s="515"/>
      <c r="B14" s="417">
        <v>4083</v>
      </c>
      <c r="C14" s="402" t="s">
        <v>573</v>
      </c>
      <c r="D14" s="403" t="s">
        <v>19</v>
      </c>
      <c r="E14" s="514">
        <v>20.82</v>
      </c>
      <c r="F14" s="405" t="s">
        <v>238</v>
      </c>
    </row>
    <row r="15" spans="1:7" s="406" customFormat="1" ht="15.95" customHeight="1">
      <c r="A15" s="515"/>
      <c r="B15" s="417">
        <v>4750</v>
      </c>
      <c r="C15" s="402" t="s">
        <v>579</v>
      </c>
      <c r="D15" s="403" t="s">
        <v>19</v>
      </c>
      <c r="E15" s="514">
        <v>9.5299999999999994</v>
      </c>
      <c r="F15" s="405" t="s">
        <v>238</v>
      </c>
    </row>
    <row r="16" spans="1:7" s="406" customFormat="1" ht="15.95" customHeight="1">
      <c r="A16" s="515"/>
      <c r="B16" s="417">
        <v>4235</v>
      </c>
      <c r="C16" s="402" t="s">
        <v>574</v>
      </c>
      <c r="D16" s="403" t="s">
        <v>19</v>
      </c>
      <c r="E16" s="514">
        <v>12.89</v>
      </c>
      <c r="F16" s="405" t="s">
        <v>238</v>
      </c>
    </row>
    <row r="17" spans="1:8" s="408" customFormat="1" ht="15.95" customHeight="1">
      <c r="A17" s="515"/>
      <c r="B17" s="417">
        <v>4250</v>
      </c>
      <c r="C17" s="410" t="s">
        <v>633</v>
      </c>
      <c r="D17" s="403" t="s">
        <v>19</v>
      </c>
      <c r="E17" s="514">
        <v>12.37</v>
      </c>
      <c r="F17" s="405" t="s">
        <v>238</v>
      </c>
    </row>
    <row r="18" spans="1:8" s="406" customFormat="1" ht="15.95" customHeight="1">
      <c r="A18" s="515"/>
      <c r="B18" s="417"/>
      <c r="C18" s="412" t="s">
        <v>634</v>
      </c>
      <c r="D18" s="409"/>
      <c r="E18" s="404"/>
      <c r="F18" s="409"/>
    </row>
    <row r="19" spans="1:8" s="406" customFormat="1" ht="15.95" customHeight="1">
      <c r="A19" s="515"/>
      <c r="B19" s="417">
        <v>4221</v>
      </c>
      <c r="C19" s="402" t="s">
        <v>635</v>
      </c>
      <c r="D19" s="403" t="s">
        <v>16</v>
      </c>
      <c r="E19" s="514">
        <v>2.4500000000000002</v>
      </c>
      <c r="F19" s="405" t="s">
        <v>238</v>
      </c>
    </row>
    <row r="20" spans="1:8" s="406" customFormat="1" ht="15.95" customHeight="1">
      <c r="A20" s="515"/>
      <c r="B20" s="417">
        <v>4227</v>
      </c>
      <c r="C20" s="402" t="s">
        <v>636</v>
      </c>
      <c r="D20" s="403" t="s">
        <v>16</v>
      </c>
      <c r="E20" s="514">
        <v>12</v>
      </c>
      <c r="F20" s="405" t="s">
        <v>238</v>
      </c>
    </row>
    <row r="21" spans="1:8" s="406" customFormat="1" ht="15.95" customHeight="1">
      <c r="A21" s="515"/>
      <c r="B21" s="417">
        <v>5075</v>
      </c>
      <c r="C21" s="407" t="s">
        <v>637</v>
      </c>
      <c r="D21" s="403" t="s">
        <v>570</v>
      </c>
      <c r="E21" s="514">
        <v>7.91</v>
      </c>
      <c r="F21" s="405" t="s">
        <v>238</v>
      </c>
    </row>
    <row r="22" spans="1:8" s="416" customFormat="1" ht="15.95" customHeight="1">
      <c r="A22" s="515"/>
      <c r="B22" s="413">
        <v>16</v>
      </c>
      <c r="C22" s="414" t="s">
        <v>577</v>
      </c>
      <c r="D22" s="415" t="s">
        <v>570</v>
      </c>
      <c r="E22" s="514">
        <v>4.0599999999999996</v>
      </c>
      <c r="F22" s="405" t="s">
        <v>238</v>
      </c>
    </row>
    <row r="23" spans="1:8" s="406" customFormat="1" ht="15.95" customHeight="1">
      <c r="A23" s="515"/>
      <c r="B23" s="417">
        <v>1379</v>
      </c>
      <c r="C23" s="407" t="s">
        <v>638</v>
      </c>
      <c r="D23" s="403" t="s">
        <v>570</v>
      </c>
      <c r="E23" s="514">
        <v>0.52</v>
      </c>
      <c r="F23" s="405" t="s">
        <v>238</v>
      </c>
    </row>
    <row r="24" spans="1:8" s="406" customFormat="1" ht="15.95" customHeight="1">
      <c r="A24" s="515"/>
      <c r="B24" s="417">
        <v>4721</v>
      </c>
      <c r="C24" s="411" t="s">
        <v>639</v>
      </c>
      <c r="D24" s="403" t="s">
        <v>6</v>
      </c>
      <c r="E24" s="514">
        <v>70.41</v>
      </c>
      <c r="F24" s="405" t="s">
        <v>238</v>
      </c>
    </row>
    <row r="25" spans="1:8" s="406" customFormat="1" ht="15.95" customHeight="1">
      <c r="A25" s="515"/>
      <c r="B25" s="417">
        <v>4718</v>
      </c>
      <c r="C25" s="410" t="s">
        <v>640</v>
      </c>
      <c r="D25" s="403" t="s">
        <v>6</v>
      </c>
      <c r="E25" s="514">
        <v>68</v>
      </c>
      <c r="F25" s="405" t="s">
        <v>238</v>
      </c>
    </row>
    <row r="26" spans="1:8" s="406" customFormat="1" ht="15.95" customHeight="1">
      <c r="A26" s="515"/>
      <c r="B26" s="415">
        <v>367</v>
      </c>
      <c r="C26" s="407" t="s">
        <v>641</v>
      </c>
      <c r="D26" s="403" t="s">
        <v>6</v>
      </c>
      <c r="E26" s="514">
        <v>82.5</v>
      </c>
      <c r="F26" s="405" t="s">
        <v>238</v>
      </c>
    </row>
    <row r="27" spans="1:8" s="406" customFormat="1" ht="15.95" customHeight="1">
      <c r="A27" s="515"/>
      <c r="B27" s="417">
        <v>643</v>
      </c>
      <c r="C27" s="368" t="s">
        <v>575</v>
      </c>
      <c r="D27" s="403" t="s">
        <v>19</v>
      </c>
      <c r="E27" s="514">
        <v>1.95</v>
      </c>
      <c r="F27" s="405" t="s">
        <v>238</v>
      </c>
      <c r="G27" s="408"/>
      <c r="H27" s="408"/>
    </row>
    <row r="28" spans="1:8" s="406" customFormat="1" ht="15.95" customHeight="1">
      <c r="A28" s="515"/>
      <c r="B28" s="417" t="s">
        <v>642</v>
      </c>
      <c r="C28" s="368" t="s">
        <v>643</v>
      </c>
      <c r="D28" s="403" t="s">
        <v>570</v>
      </c>
      <c r="E28" s="514">
        <v>4.0999999999999996</v>
      </c>
      <c r="F28" s="405" t="s">
        <v>238</v>
      </c>
      <c r="G28" s="418"/>
    </row>
    <row r="29" spans="1:8" s="406" customFormat="1" ht="15.95" customHeight="1">
      <c r="A29" s="515"/>
      <c r="B29" s="417">
        <v>2692</v>
      </c>
      <c r="C29" s="410" t="s">
        <v>586</v>
      </c>
      <c r="D29" s="403" t="s">
        <v>16</v>
      </c>
      <c r="E29" s="514">
        <v>9.98</v>
      </c>
      <c r="F29" s="405" t="s">
        <v>238</v>
      </c>
    </row>
    <row r="30" spans="1:8" s="406" customFormat="1" ht="15.95" customHeight="1">
      <c r="A30" s="515"/>
      <c r="B30" s="417">
        <v>1160</v>
      </c>
      <c r="C30" s="410" t="s">
        <v>644</v>
      </c>
      <c r="D30" s="403" t="s">
        <v>19</v>
      </c>
      <c r="E30" s="514">
        <v>8.6300000000000008</v>
      </c>
      <c r="F30" s="405" t="s">
        <v>238</v>
      </c>
    </row>
    <row r="31" spans="1:8" s="406" customFormat="1" ht="15.95" customHeight="1">
      <c r="A31" s="515"/>
      <c r="B31" s="417">
        <v>6188</v>
      </c>
      <c r="C31" s="368" t="s">
        <v>645</v>
      </c>
      <c r="D31" s="403" t="s">
        <v>5</v>
      </c>
      <c r="E31" s="514">
        <v>16.13</v>
      </c>
      <c r="F31" s="405" t="s">
        <v>238</v>
      </c>
    </row>
    <row r="32" spans="1:8" s="406" customFormat="1" ht="15.95" customHeight="1">
      <c r="A32" s="515"/>
      <c r="B32" s="417">
        <v>26047</v>
      </c>
      <c r="C32" s="368" t="s">
        <v>576</v>
      </c>
      <c r="D32" s="401" t="s">
        <v>567</v>
      </c>
      <c r="E32" s="514">
        <v>46.58</v>
      </c>
      <c r="F32" s="405" t="s">
        <v>238</v>
      </c>
    </row>
    <row r="33" spans="1:7" s="406" customFormat="1" ht="15.95" customHeight="1">
      <c r="A33" s="515"/>
      <c r="B33" s="417">
        <v>318</v>
      </c>
      <c r="C33" s="402" t="s">
        <v>646</v>
      </c>
      <c r="D33" s="401" t="s">
        <v>567</v>
      </c>
      <c r="E33" s="514">
        <v>10.029999999999999</v>
      </c>
      <c r="F33" s="405" t="s">
        <v>238</v>
      </c>
    </row>
    <row r="34" spans="1:7" s="416" customFormat="1" ht="15.95" customHeight="1">
      <c r="A34" s="515"/>
      <c r="B34" s="417"/>
      <c r="C34" s="419" t="s">
        <v>647</v>
      </c>
      <c r="D34" s="415" t="s">
        <v>4</v>
      </c>
      <c r="E34" s="518">
        <v>60</v>
      </c>
      <c r="F34" s="405" t="s">
        <v>337</v>
      </c>
    </row>
    <row r="35" spans="1:7" s="406" customFormat="1" ht="15.95" customHeight="1">
      <c r="A35" s="515"/>
      <c r="B35" s="417">
        <v>4778</v>
      </c>
      <c r="C35" s="411" t="s">
        <v>648</v>
      </c>
      <c r="D35" s="409" t="s">
        <v>19</v>
      </c>
      <c r="E35" s="514">
        <v>3.17</v>
      </c>
      <c r="F35" s="409" t="s">
        <v>238</v>
      </c>
    </row>
    <row r="36" spans="1:7" s="406" customFormat="1" ht="15.95" customHeight="1">
      <c r="A36" s="515"/>
      <c r="B36" s="417">
        <v>4778</v>
      </c>
      <c r="C36" s="411" t="s">
        <v>649</v>
      </c>
      <c r="D36" s="409" t="s">
        <v>19</v>
      </c>
      <c r="E36" s="514">
        <v>3.17</v>
      </c>
      <c r="F36" s="409" t="s">
        <v>238</v>
      </c>
    </row>
    <row r="37" spans="1:7" s="406" customFormat="1" ht="15.95" customHeight="1">
      <c r="A37" s="515"/>
      <c r="B37" s="417">
        <v>1512</v>
      </c>
      <c r="C37" s="420" t="s">
        <v>650</v>
      </c>
      <c r="D37" s="401" t="s">
        <v>19</v>
      </c>
      <c r="E37" s="514">
        <v>13.05</v>
      </c>
      <c r="F37" s="401" t="s">
        <v>238</v>
      </c>
    </row>
    <row r="38" spans="1:7" s="416" customFormat="1" ht="15.95" customHeight="1">
      <c r="A38" s="515"/>
      <c r="B38" s="517" t="s">
        <v>651</v>
      </c>
      <c r="C38" s="419" t="s">
        <v>652</v>
      </c>
      <c r="D38" s="417" t="s">
        <v>567</v>
      </c>
      <c r="E38" s="516">
        <v>39.020000000000003</v>
      </c>
      <c r="F38" s="417" t="s">
        <v>336</v>
      </c>
    </row>
    <row r="39" spans="1:7" s="416" customFormat="1" ht="15.95" customHeight="1">
      <c r="A39" s="515"/>
      <c r="B39" s="517" t="s">
        <v>653</v>
      </c>
      <c r="C39" s="419" t="s">
        <v>654</v>
      </c>
      <c r="D39" s="417" t="s">
        <v>567</v>
      </c>
      <c r="E39" s="516">
        <v>137</v>
      </c>
      <c r="F39" s="417" t="s">
        <v>336</v>
      </c>
    </row>
    <row r="40" spans="1:7" s="416" customFormat="1" ht="15.95" customHeight="1">
      <c r="A40" s="515"/>
      <c r="B40" s="417" t="s">
        <v>655</v>
      </c>
      <c r="C40" s="419" t="s">
        <v>578</v>
      </c>
      <c r="D40" s="417" t="s">
        <v>567</v>
      </c>
      <c r="E40" s="516">
        <v>745</v>
      </c>
      <c r="F40" s="417" t="s">
        <v>655</v>
      </c>
      <c r="G40" s="416" t="s">
        <v>838</v>
      </c>
    </row>
    <row r="41" spans="1:7" s="406" customFormat="1" ht="12.75" customHeight="1">
      <c r="A41" s="515"/>
      <c r="B41" s="417">
        <v>4222</v>
      </c>
      <c r="C41" s="420" t="s">
        <v>656</v>
      </c>
      <c r="D41" s="403" t="s">
        <v>16</v>
      </c>
      <c r="E41" s="514">
        <v>2.97</v>
      </c>
      <c r="F41" s="401" t="s">
        <v>238</v>
      </c>
      <c r="G41" s="406" t="s">
        <v>839</v>
      </c>
    </row>
    <row r="42" spans="1:7" s="406" customFormat="1" ht="15.95" customHeight="1">
      <c r="A42" s="515"/>
      <c r="B42" s="417">
        <v>4229</v>
      </c>
      <c r="C42" s="420" t="s">
        <v>657</v>
      </c>
      <c r="D42" s="401" t="s">
        <v>582</v>
      </c>
      <c r="E42" s="514">
        <v>17.62</v>
      </c>
      <c r="F42" s="401" t="s">
        <v>238</v>
      </c>
    </row>
  </sheetData>
  <mergeCells count="2">
    <mergeCell ref="B8:F8"/>
    <mergeCell ref="B2:F5"/>
  </mergeCells>
  <pageMargins left="0.51181102362204722" right="0.51181102362204722" top="0.78740157480314965" bottom="0.78740157480314965" header="0.51181102362204722" footer="0.51181102362204722"/>
  <pageSetup paperSize="9" scale="67" firstPageNumber="0" orientation="portrait" r:id="rId1"/>
  <headerFooter alignWithMargins="0">
    <oddHeader>Página &amp;P de &amp;N</oddHeader>
    <oddFooter>&amp;LInsumos 1&amp;REng.º Civil Leonardo Cruz - Codevasf/3ªSR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P93"/>
  <sheetViews>
    <sheetView view="pageBreakPreview" zoomScale="90" zoomScaleNormal="100" zoomScaleSheetLayoutView="90" workbookViewId="0"/>
  </sheetViews>
  <sheetFormatPr defaultRowHeight="12.75"/>
  <cols>
    <col min="1" max="1" width="1.7109375" customWidth="1"/>
    <col min="3" max="3" width="32.140625" customWidth="1"/>
    <col min="4" max="5" width="12.140625" customWidth="1"/>
    <col min="6" max="6" width="10.42578125" customWidth="1"/>
    <col min="7" max="7" width="21.140625" customWidth="1"/>
    <col min="8" max="8" width="1.140625" customWidth="1"/>
    <col min="9" max="9" width="9.140625" customWidth="1"/>
  </cols>
  <sheetData>
    <row r="1" spans="1:16" ht="8.25" customHeight="1" thickBot="1">
      <c r="A1" s="211"/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</row>
    <row r="2" spans="1:16">
      <c r="A2" s="213"/>
      <c r="B2" s="785"/>
      <c r="C2" s="786"/>
      <c r="D2" s="786"/>
      <c r="E2" s="786"/>
      <c r="F2" s="786"/>
      <c r="G2" s="787"/>
      <c r="H2" s="213"/>
      <c r="I2" s="214"/>
      <c r="J2" s="214"/>
      <c r="K2" s="214"/>
      <c r="L2" s="214"/>
      <c r="M2" s="214"/>
      <c r="N2" s="214"/>
      <c r="O2" s="214"/>
      <c r="P2" s="214"/>
    </row>
    <row r="3" spans="1:16">
      <c r="A3" s="213"/>
      <c r="B3" s="788"/>
      <c r="C3" s="789"/>
      <c r="D3" s="789"/>
      <c r="E3" s="789"/>
      <c r="F3" s="789"/>
      <c r="G3" s="790"/>
      <c r="H3" s="213"/>
      <c r="I3" s="214"/>
      <c r="J3" s="214"/>
      <c r="K3" s="214"/>
      <c r="L3" s="214"/>
      <c r="M3" s="214"/>
      <c r="N3" s="214"/>
      <c r="O3" s="214"/>
      <c r="P3" s="214"/>
    </row>
    <row r="4" spans="1:16">
      <c r="A4" s="213"/>
      <c r="B4" s="788"/>
      <c r="C4" s="789"/>
      <c r="D4" s="789"/>
      <c r="E4" s="789"/>
      <c r="F4" s="789"/>
      <c r="G4" s="790"/>
      <c r="H4" s="213"/>
      <c r="I4" s="214"/>
      <c r="J4" s="214"/>
      <c r="K4" s="214"/>
      <c r="L4" s="214"/>
      <c r="M4" s="214"/>
      <c r="N4" s="214"/>
      <c r="O4" s="214"/>
      <c r="P4" s="214"/>
    </row>
    <row r="5" spans="1:16">
      <c r="A5" s="213"/>
      <c r="B5" s="788"/>
      <c r="C5" s="789"/>
      <c r="D5" s="789"/>
      <c r="E5" s="789"/>
      <c r="F5" s="789"/>
      <c r="G5" s="790"/>
      <c r="H5" s="213"/>
      <c r="I5" s="214"/>
      <c r="J5" s="214"/>
      <c r="K5" s="214"/>
      <c r="L5" s="214"/>
      <c r="M5" s="214"/>
      <c r="N5" s="214"/>
      <c r="O5" s="214"/>
      <c r="P5" s="214"/>
    </row>
    <row r="6" spans="1:16">
      <c r="A6" s="213"/>
      <c r="B6" s="791"/>
      <c r="C6" s="792"/>
      <c r="D6" s="792"/>
      <c r="E6" s="792"/>
      <c r="F6" s="792"/>
      <c r="G6" s="793"/>
      <c r="H6" s="213"/>
      <c r="I6" s="214"/>
      <c r="J6" s="214"/>
      <c r="K6" s="214"/>
      <c r="L6" s="214"/>
      <c r="M6" s="214"/>
      <c r="N6" s="214"/>
      <c r="O6" s="214"/>
      <c r="P6" s="214"/>
    </row>
    <row r="7" spans="1:16" ht="26.25" customHeight="1">
      <c r="A7" s="211"/>
      <c r="B7" s="779" t="s">
        <v>236</v>
      </c>
      <c r="C7" s="780"/>
      <c r="D7" s="780"/>
      <c r="E7" s="780"/>
      <c r="F7" s="780"/>
      <c r="G7" s="781"/>
      <c r="H7" s="214"/>
      <c r="I7" s="214"/>
      <c r="J7" s="214"/>
      <c r="K7" s="214"/>
      <c r="L7" s="214"/>
      <c r="M7" s="214"/>
      <c r="N7" s="214"/>
      <c r="O7" s="214"/>
      <c r="P7" s="214"/>
    </row>
    <row r="8" spans="1:16" ht="12.75" customHeight="1">
      <c r="A8" s="215"/>
      <c r="B8" s="750" t="s">
        <v>837</v>
      </c>
      <c r="C8" s="751"/>
      <c r="D8" s="751"/>
      <c r="E8" s="751"/>
      <c r="F8" s="751"/>
      <c r="G8" s="752"/>
      <c r="H8" s="214"/>
      <c r="I8" s="214"/>
      <c r="J8" s="214"/>
      <c r="K8" s="214"/>
      <c r="L8" s="214"/>
      <c r="M8" s="214"/>
      <c r="N8" s="214"/>
      <c r="O8" s="214"/>
      <c r="P8" s="214"/>
    </row>
    <row r="9" spans="1:16" ht="43.5" customHeight="1">
      <c r="A9" s="215"/>
      <c r="B9" s="753" t="s">
        <v>514</v>
      </c>
      <c r="C9" s="754"/>
      <c r="D9" s="754"/>
      <c r="E9" s="754"/>
      <c r="F9" s="754"/>
      <c r="G9" s="755"/>
      <c r="H9" s="214"/>
      <c r="I9" s="216" t="s">
        <v>210</v>
      </c>
      <c r="J9" s="214"/>
      <c r="K9" s="214"/>
      <c r="L9" s="214"/>
      <c r="M9" s="214"/>
      <c r="N9" s="214"/>
      <c r="O9" s="214"/>
      <c r="P9" s="214"/>
    </row>
    <row r="10" spans="1:16" ht="13.5" thickBot="1">
      <c r="A10" s="217"/>
      <c r="B10" s="218" t="s">
        <v>211</v>
      </c>
      <c r="C10" s="794">
        <v>100000</v>
      </c>
      <c r="D10" s="795"/>
      <c r="E10" s="795"/>
      <c r="F10" s="795"/>
      <c r="G10" s="796"/>
      <c r="H10" s="214"/>
      <c r="I10" s="219"/>
      <c r="J10" s="214"/>
      <c r="K10" s="214"/>
      <c r="L10" s="214"/>
      <c r="M10" s="214"/>
      <c r="N10" s="214"/>
      <c r="O10" s="214"/>
      <c r="P10" s="214"/>
    </row>
    <row r="11" spans="1:16" ht="15.75" thickBot="1">
      <c r="A11" s="217"/>
      <c r="B11" s="797" t="s">
        <v>212</v>
      </c>
      <c r="C11" s="798" t="s">
        <v>213</v>
      </c>
      <c r="D11" s="220" t="s">
        <v>214</v>
      </c>
      <c r="E11" s="220" t="s">
        <v>214</v>
      </c>
      <c r="F11" s="221" t="s">
        <v>215</v>
      </c>
      <c r="G11" s="222" t="s">
        <v>216</v>
      </c>
      <c r="H11" s="216" t="s">
        <v>210</v>
      </c>
      <c r="I11" s="212"/>
      <c r="J11" s="212"/>
      <c r="K11" s="212"/>
      <c r="L11" s="212"/>
      <c r="M11" s="212"/>
      <c r="N11" s="212"/>
      <c r="O11" s="212"/>
      <c r="P11" s="214"/>
    </row>
    <row r="12" spans="1:16" ht="15.75" thickBot="1">
      <c r="A12" s="217"/>
      <c r="B12" s="797"/>
      <c r="C12" s="798"/>
      <c r="D12" s="223" t="s">
        <v>217</v>
      </c>
      <c r="E12" s="223" t="s">
        <v>218</v>
      </c>
      <c r="F12" s="223" t="s">
        <v>219</v>
      </c>
      <c r="G12" s="224" t="s">
        <v>219</v>
      </c>
      <c r="H12" s="214"/>
      <c r="I12" s="212"/>
      <c r="J12" s="212"/>
      <c r="K12" s="212"/>
      <c r="L12" s="212"/>
      <c r="M12" s="212"/>
      <c r="N12" s="212"/>
      <c r="O12" s="212"/>
      <c r="P12" s="214"/>
    </row>
    <row r="13" spans="1:16" ht="15">
      <c r="A13" s="217"/>
      <c r="B13" s="225">
        <v>1</v>
      </c>
      <c r="C13" s="226" t="s">
        <v>473</v>
      </c>
      <c r="D13" s="451"/>
      <c r="E13" s="451">
        <v>3.45</v>
      </c>
      <c r="F13" s="228" t="s">
        <v>210</v>
      </c>
      <c r="G13" s="229">
        <f>C10*E13/100</f>
        <v>3450</v>
      </c>
      <c r="H13" s="214" t="s">
        <v>210</v>
      </c>
      <c r="I13" s="212"/>
      <c r="J13" s="212"/>
      <c r="K13" s="212"/>
      <c r="L13" s="212"/>
      <c r="M13" s="212"/>
      <c r="N13" s="212"/>
      <c r="O13" s="212"/>
      <c r="P13" s="230"/>
    </row>
    <row r="14" spans="1:16" ht="15">
      <c r="A14" s="217"/>
      <c r="B14" s="231" t="s">
        <v>210</v>
      </c>
      <c r="C14" s="237" t="s">
        <v>210</v>
      </c>
      <c r="D14" s="233" t="s">
        <v>210</v>
      </c>
      <c r="E14" s="450" t="s">
        <v>210</v>
      </c>
      <c r="F14" s="234" t="s">
        <v>210</v>
      </c>
      <c r="G14" s="238"/>
      <c r="H14" s="214"/>
      <c r="I14" s="212"/>
      <c r="J14" s="212"/>
      <c r="K14" s="212"/>
      <c r="L14" s="212"/>
      <c r="M14" s="212"/>
      <c r="N14" s="212"/>
      <c r="O14" s="212"/>
      <c r="P14" s="214"/>
    </row>
    <row r="15" spans="1:16" ht="15">
      <c r="A15" s="217"/>
      <c r="B15" s="225">
        <v>2</v>
      </c>
      <c r="C15" s="226" t="s">
        <v>474</v>
      </c>
      <c r="D15" s="227">
        <v>8.65</v>
      </c>
      <c r="E15" s="451">
        <f>ROUND(SUM(E16:E19),2)</f>
        <v>10.75</v>
      </c>
      <c r="F15" s="234" t="s">
        <v>210</v>
      </c>
      <c r="G15" s="229">
        <f>C10*E15/100</f>
        <v>10750</v>
      </c>
      <c r="H15" s="214"/>
      <c r="I15" s="212"/>
      <c r="J15" s="212"/>
      <c r="K15" s="212"/>
      <c r="L15" s="212"/>
      <c r="M15" s="212"/>
      <c r="N15" s="212"/>
      <c r="O15" s="212"/>
      <c r="P15" s="230"/>
    </row>
    <row r="16" spans="1:16" ht="15">
      <c r="A16" s="217"/>
      <c r="B16" s="231" t="s">
        <v>0</v>
      </c>
      <c r="C16" s="232" t="s">
        <v>220</v>
      </c>
      <c r="D16" s="233">
        <v>3</v>
      </c>
      <c r="E16" s="233">
        <f>ROUND(D16*(1+($C$33/100)),2)</f>
        <v>3.73</v>
      </c>
      <c r="F16" s="234"/>
      <c r="G16" s="235">
        <f>C10*E16/100</f>
        <v>3730</v>
      </c>
      <c r="H16" s="214"/>
      <c r="I16" s="212"/>
      <c r="J16" s="212"/>
      <c r="K16" s="212"/>
      <c r="L16" s="212"/>
      <c r="M16" s="212"/>
      <c r="N16" s="212"/>
      <c r="O16" s="212"/>
      <c r="P16" s="239"/>
    </row>
    <row r="17" spans="1:16" ht="15">
      <c r="A17" s="217"/>
      <c r="B17" s="231" t="s">
        <v>1</v>
      </c>
      <c r="C17" s="237" t="s">
        <v>221</v>
      </c>
      <c r="D17" s="233">
        <v>0.65</v>
      </c>
      <c r="E17" s="233">
        <f t="shared" ref="E17:E19" si="0">ROUND(D17*(1+($C$33/100)),2)</f>
        <v>0.81</v>
      </c>
      <c r="F17" s="234"/>
      <c r="G17" s="235">
        <f>C10*E17/100</f>
        <v>810</v>
      </c>
      <c r="H17" s="214"/>
      <c r="I17" s="212"/>
      <c r="J17" s="212"/>
      <c r="K17" s="212"/>
      <c r="L17" s="212"/>
      <c r="M17" s="212"/>
      <c r="N17" s="212"/>
      <c r="O17" s="212"/>
      <c r="P17" s="239"/>
    </row>
    <row r="18" spans="1:16" ht="15">
      <c r="A18" s="217"/>
      <c r="B18" s="231" t="s">
        <v>2</v>
      </c>
      <c r="C18" s="424" t="s">
        <v>678</v>
      </c>
      <c r="D18" s="233">
        <v>2</v>
      </c>
      <c r="E18" s="233">
        <f t="shared" si="0"/>
        <v>2.48</v>
      </c>
      <c r="F18" s="234"/>
      <c r="G18" s="235">
        <f>C10*E18/100</f>
        <v>2480</v>
      </c>
      <c r="H18" s="214"/>
      <c r="I18" s="212"/>
      <c r="J18" s="212"/>
      <c r="K18" s="212"/>
      <c r="L18" s="212"/>
      <c r="M18" s="212"/>
      <c r="N18" s="212"/>
      <c r="O18" s="212"/>
      <c r="P18" s="239"/>
    </row>
    <row r="19" spans="1:16" ht="15">
      <c r="A19" s="217"/>
      <c r="B19" s="231" t="s">
        <v>2</v>
      </c>
      <c r="C19" s="237" t="s">
        <v>222</v>
      </c>
      <c r="D19" s="233">
        <v>3</v>
      </c>
      <c r="E19" s="233">
        <f t="shared" si="0"/>
        <v>3.73</v>
      </c>
      <c r="F19" s="234"/>
      <c r="G19" s="235">
        <f>C10*E19/100</f>
        <v>3730</v>
      </c>
      <c r="H19" s="214"/>
      <c r="I19" s="212"/>
      <c r="J19" s="212"/>
      <c r="K19" s="212"/>
      <c r="L19" s="212"/>
      <c r="M19" s="212"/>
      <c r="N19" s="212"/>
      <c r="O19" s="212"/>
      <c r="P19" s="240"/>
    </row>
    <row r="20" spans="1:16" ht="15">
      <c r="A20" s="217"/>
      <c r="B20" s="231"/>
      <c r="C20" s="237"/>
      <c r="D20" s="233"/>
      <c r="E20" s="450"/>
      <c r="F20" s="234"/>
      <c r="G20" s="241"/>
      <c r="H20" s="214"/>
      <c r="I20" s="212"/>
      <c r="J20" s="212"/>
      <c r="K20" s="212"/>
      <c r="L20" s="212"/>
      <c r="M20" s="212"/>
      <c r="N20" s="212"/>
      <c r="O20" s="212"/>
      <c r="P20" s="239"/>
    </row>
    <row r="21" spans="1:16" ht="15">
      <c r="A21" s="217"/>
      <c r="B21" s="225">
        <v>3</v>
      </c>
      <c r="C21" s="226" t="s">
        <v>475</v>
      </c>
      <c r="D21" s="227"/>
      <c r="E21" s="227">
        <f>SUM(E22:E24)</f>
        <v>1.5</v>
      </c>
      <c r="F21" s="234"/>
      <c r="G21" s="229">
        <f>C10*E21/100</f>
        <v>1500</v>
      </c>
      <c r="H21" s="214" t="s">
        <v>210</v>
      </c>
      <c r="I21" s="212"/>
      <c r="J21" s="212"/>
      <c r="K21" s="212"/>
      <c r="L21" s="212"/>
      <c r="M21" s="212"/>
      <c r="N21" s="212"/>
      <c r="O21" s="212"/>
      <c r="P21" s="240"/>
    </row>
    <row r="22" spans="1:16" ht="15">
      <c r="A22" s="217"/>
      <c r="B22" s="231" t="s">
        <v>0</v>
      </c>
      <c r="C22" s="232" t="s">
        <v>258</v>
      </c>
      <c r="D22" s="227"/>
      <c r="E22" s="227">
        <v>0.3</v>
      </c>
      <c r="F22" s="234"/>
      <c r="G22" s="235">
        <f>C10*E22/100</f>
        <v>300</v>
      </c>
      <c r="H22" s="214"/>
      <c r="I22" s="212"/>
      <c r="J22" s="212"/>
      <c r="K22" s="212"/>
      <c r="L22" s="212"/>
      <c r="M22" s="212"/>
      <c r="N22" s="212"/>
      <c r="O22" s="212"/>
      <c r="P22" s="240"/>
    </row>
    <row r="23" spans="1:16" ht="15">
      <c r="A23" s="217"/>
      <c r="B23" s="231" t="s">
        <v>1</v>
      </c>
      <c r="C23" s="232" t="s">
        <v>259</v>
      </c>
      <c r="D23" s="227"/>
      <c r="E23" s="227">
        <v>1</v>
      </c>
      <c r="F23" s="234"/>
      <c r="G23" s="235">
        <f>C10*E23/100</f>
        <v>1000</v>
      </c>
      <c r="H23" s="214"/>
      <c r="I23" s="212"/>
      <c r="J23" s="212"/>
      <c r="K23" s="212"/>
      <c r="L23" s="212"/>
      <c r="M23" s="212"/>
      <c r="N23" s="212"/>
      <c r="O23" s="212"/>
      <c r="P23" s="240"/>
    </row>
    <row r="24" spans="1:16" ht="15">
      <c r="A24" s="217"/>
      <c r="B24" s="231" t="s">
        <v>2</v>
      </c>
      <c r="C24" s="232" t="s">
        <v>260</v>
      </c>
      <c r="D24" s="227"/>
      <c r="E24" s="227">
        <v>0.2</v>
      </c>
      <c r="F24" s="234"/>
      <c r="G24" s="235">
        <f>C10*E24/100</f>
        <v>200</v>
      </c>
      <c r="H24" s="214"/>
      <c r="I24" s="212"/>
      <c r="J24" s="212"/>
      <c r="K24" s="212"/>
      <c r="L24" s="212"/>
      <c r="M24" s="212"/>
      <c r="N24" s="212"/>
      <c r="O24" s="212"/>
      <c r="P24" s="240"/>
    </row>
    <row r="25" spans="1:16" ht="15">
      <c r="A25" s="217"/>
      <c r="B25" s="231"/>
      <c r="C25" s="237"/>
      <c r="D25" s="233"/>
      <c r="E25" s="233"/>
      <c r="F25" s="234"/>
      <c r="G25" s="241"/>
      <c r="H25" s="214"/>
      <c r="I25" s="212"/>
      <c r="J25" s="212"/>
      <c r="K25" s="212"/>
      <c r="L25" s="212"/>
      <c r="M25" s="212"/>
      <c r="N25" s="212"/>
      <c r="O25" s="212"/>
      <c r="P25" s="239"/>
    </row>
    <row r="26" spans="1:16" ht="15">
      <c r="A26" s="217"/>
      <c r="B26" s="225">
        <v>4</v>
      </c>
      <c r="C26" s="226" t="s">
        <v>476</v>
      </c>
      <c r="D26" s="227"/>
      <c r="E26" s="227">
        <v>1</v>
      </c>
      <c r="F26" s="234"/>
      <c r="G26" s="229">
        <f>C10*E26/100</f>
        <v>1000</v>
      </c>
      <c r="H26" s="214" t="s">
        <v>210</v>
      </c>
      <c r="I26" s="212"/>
      <c r="J26" s="212"/>
      <c r="K26" s="212"/>
      <c r="L26" s="212"/>
      <c r="M26" s="212"/>
      <c r="N26" s="212"/>
      <c r="O26" s="212"/>
      <c r="P26" s="214"/>
    </row>
    <row r="27" spans="1:16" ht="15">
      <c r="A27" s="217"/>
      <c r="B27" s="231"/>
      <c r="C27" s="237"/>
      <c r="D27" s="233"/>
      <c r="E27" s="233"/>
      <c r="F27" s="234"/>
      <c r="G27" s="241"/>
      <c r="H27" s="214"/>
      <c r="I27" s="212"/>
      <c r="J27" s="236"/>
      <c r="K27" s="212"/>
      <c r="L27" s="212"/>
      <c r="M27" s="212"/>
      <c r="N27" s="212"/>
      <c r="O27" s="212"/>
      <c r="P27" s="214"/>
    </row>
    <row r="28" spans="1:16" ht="15">
      <c r="A28" s="217"/>
      <c r="B28" s="225">
        <v>5</v>
      </c>
      <c r="C28" s="226" t="s">
        <v>477</v>
      </c>
      <c r="D28" s="227"/>
      <c r="E28" s="242">
        <v>7.02</v>
      </c>
      <c r="F28" s="234"/>
      <c r="G28" s="229">
        <f>C10*E28/100</f>
        <v>7020</v>
      </c>
      <c r="H28" s="214"/>
      <c r="I28" s="212"/>
      <c r="J28" s="236"/>
      <c r="K28" s="212"/>
      <c r="L28" s="212"/>
      <c r="M28" s="212"/>
      <c r="N28" s="212"/>
      <c r="O28" s="212"/>
      <c r="P28" s="214"/>
    </row>
    <row r="29" spans="1:16" ht="15.75" thickBot="1">
      <c r="A29" s="217"/>
      <c r="B29" s="231"/>
      <c r="C29" s="237"/>
      <c r="D29" s="233"/>
      <c r="E29" s="233"/>
      <c r="F29" s="234"/>
      <c r="G29" s="238"/>
      <c r="H29" s="214"/>
      <c r="I29" s="212"/>
      <c r="J29" s="212"/>
      <c r="K29" s="212"/>
      <c r="L29" s="212"/>
      <c r="M29" s="212"/>
      <c r="N29" s="212"/>
      <c r="O29" s="212"/>
      <c r="P29" s="214"/>
    </row>
    <row r="30" spans="1:16" ht="15.75" thickBot="1">
      <c r="A30" s="217"/>
      <c r="B30" s="766" t="s">
        <v>210</v>
      </c>
      <c r="C30" s="767"/>
      <c r="D30" s="768"/>
      <c r="E30" s="243"/>
      <c r="F30" s="244"/>
      <c r="G30" s="452">
        <f>C10*C33%</f>
        <v>24180</v>
      </c>
      <c r="H30" s="214"/>
      <c r="I30" s="212"/>
      <c r="J30" s="212"/>
      <c r="K30" s="212"/>
      <c r="L30" s="212"/>
      <c r="M30" s="212"/>
      <c r="N30" s="212"/>
      <c r="O30" s="212"/>
      <c r="P30" s="214"/>
    </row>
    <row r="31" spans="1:16" ht="15.75" thickBot="1">
      <c r="A31" s="217"/>
      <c r="B31" s="245"/>
      <c r="C31" s="217"/>
      <c r="D31" s="217"/>
      <c r="E31" s="769" t="s">
        <v>223</v>
      </c>
      <c r="F31" s="769"/>
      <c r="G31" s="452">
        <f>C10*(1+C33%)</f>
        <v>124180</v>
      </c>
      <c r="H31" s="214"/>
      <c r="I31" s="212"/>
      <c r="J31" s="212"/>
      <c r="K31" s="212"/>
      <c r="L31" s="212"/>
      <c r="M31" s="212"/>
      <c r="N31" s="212"/>
      <c r="O31" s="212"/>
      <c r="P31" s="214"/>
    </row>
    <row r="32" spans="1:16" ht="15">
      <c r="A32" s="217"/>
      <c r="B32" s="246" t="s">
        <v>224</v>
      </c>
      <c r="C32" s="449">
        <f>(((1+D35+D39)*(1+D41)*(1+D43)/(1-D37))-1)*100</f>
        <v>24.18</v>
      </c>
      <c r="D32" s="247" t="s">
        <v>225</v>
      </c>
      <c r="E32" s="217"/>
      <c r="F32" s="217"/>
      <c r="G32" s="248"/>
      <c r="H32" s="214"/>
      <c r="I32" s="212"/>
      <c r="J32" s="212"/>
      <c r="K32" s="212"/>
      <c r="L32" s="212"/>
      <c r="M32" s="212"/>
      <c r="N32" s="212"/>
      <c r="O32" s="212"/>
      <c r="P32" s="214"/>
    </row>
    <row r="33" spans="1:16" ht="15">
      <c r="A33" s="217"/>
      <c r="B33" s="246" t="s">
        <v>224</v>
      </c>
      <c r="C33" s="249">
        <v>24.18</v>
      </c>
      <c r="D33" s="247" t="s">
        <v>226</v>
      </c>
      <c r="E33" s="217"/>
      <c r="F33" s="217"/>
      <c r="G33" s="248"/>
      <c r="H33" s="214"/>
      <c r="I33" s="214"/>
      <c r="J33" s="214"/>
      <c r="K33" s="214"/>
      <c r="L33" s="214"/>
      <c r="M33" s="214"/>
      <c r="N33" s="214"/>
      <c r="O33" s="214"/>
      <c r="P33" s="214"/>
    </row>
    <row r="34" spans="1:16" ht="15">
      <c r="A34" s="217"/>
      <c r="B34" s="246"/>
      <c r="C34" s="249"/>
      <c r="D34" s="247"/>
      <c r="E34" s="217"/>
      <c r="F34" s="217"/>
      <c r="G34" s="248"/>
      <c r="H34" s="214"/>
      <c r="I34" s="214"/>
      <c r="J34" s="214"/>
      <c r="K34" s="214"/>
      <c r="L34" s="214"/>
      <c r="M34" s="214"/>
      <c r="N34" s="214"/>
      <c r="O34" s="214"/>
      <c r="P34" s="214"/>
    </row>
    <row r="35" spans="1:16" ht="15">
      <c r="A35" s="211"/>
      <c r="B35" s="250" t="s">
        <v>210</v>
      </c>
      <c r="C35" s="251" t="s">
        <v>227</v>
      </c>
      <c r="D35" s="252">
        <f>E13/100</f>
        <v>3.4500000000000003E-2</v>
      </c>
      <c r="E35" s="253"/>
      <c r="F35" s="253" t="s">
        <v>228</v>
      </c>
      <c r="G35" s="254"/>
      <c r="H35" s="230"/>
      <c r="I35" s="214"/>
      <c r="J35" s="214"/>
      <c r="K35" s="214"/>
      <c r="L35" s="214"/>
      <c r="M35" s="214"/>
      <c r="N35" s="214"/>
      <c r="O35" s="214"/>
      <c r="P35" s="214"/>
    </row>
    <row r="36" spans="1:16" ht="15">
      <c r="A36" s="211"/>
      <c r="B36" s="250" t="s">
        <v>210</v>
      </c>
      <c r="C36" s="255"/>
      <c r="D36" s="255"/>
      <c r="E36" s="255"/>
      <c r="F36" s="255"/>
      <c r="G36" s="248"/>
      <c r="H36" s="214"/>
      <c r="I36" s="214"/>
      <c r="J36" s="214"/>
      <c r="K36" s="214"/>
      <c r="L36" s="214"/>
      <c r="M36" s="214"/>
      <c r="N36" s="214"/>
      <c r="O36" s="214"/>
      <c r="P36" s="214"/>
    </row>
    <row r="37" spans="1:16" ht="15">
      <c r="A37" s="211"/>
      <c r="B37" s="256"/>
      <c r="C37" s="251" t="s">
        <v>229</v>
      </c>
      <c r="D37" s="257">
        <f>D15/100</f>
        <v>8.6499999999999994E-2</v>
      </c>
      <c r="E37" s="253"/>
      <c r="F37" s="253" t="s">
        <v>230</v>
      </c>
      <c r="G37" s="254"/>
      <c r="H37" s="230"/>
      <c r="I37" s="214"/>
      <c r="J37" s="214"/>
      <c r="K37" s="214"/>
      <c r="L37" s="214"/>
      <c r="M37" s="214"/>
      <c r="N37" s="214"/>
      <c r="O37" s="214"/>
      <c r="P37" s="214"/>
    </row>
    <row r="38" spans="1:16" ht="15">
      <c r="A38" s="211"/>
      <c r="B38" s="256"/>
      <c r="C38" s="253"/>
      <c r="D38" s="253"/>
      <c r="E38" s="253"/>
      <c r="F38" s="253"/>
      <c r="G38" s="258"/>
      <c r="H38" s="239"/>
      <c r="I38" s="212"/>
      <c r="J38" s="212"/>
      <c r="K38" s="212"/>
      <c r="L38" s="212"/>
      <c r="M38" s="212"/>
      <c r="N38" s="212"/>
      <c r="O38" s="212"/>
      <c r="P38" s="212"/>
    </row>
    <row r="39" spans="1:16" ht="15">
      <c r="A39" s="211"/>
      <c r="B39" s="256"/>
      <c r="C39" s="251" t="s">
        <v>231</v>
      </c>
      <c r="D39" s="257">
        <f>E21/100</f>
        <v>1.4999999999999999E-2</v>
      </c>
      <c r="E39" s="253"/>
      <c r="F39" s="253" t="s">
        <v>232</v>
      </c>
      <c r="G39" s="259"/>
      <c r="H39" s="240"/>
      <c r="I39" s="212"/>
      <c r="J39" s="212"/>
      <c r="K39" s="212"/>
      <c r="L39" s="212"/>
      <c r="M39" s="212"/>
      <c r="N39" s="212"/>
      <c r="O39" s="212"/>
      <c r="P39" s="212"/>
    </row>
    <row r="40" spans="1:16" ht="15">
      <c r="A40" s="211"/>
      <c r="B40" s="256"/>
      <c r="C40" s="251" t="s">
        <v>210</v>
      </c>
      <c r="D40" s="257" t="s">
        <v>210</v>
      </c>
      <c r="E40" s="253"/>
      <c r="F40" s="253" t="s">
        <v>210</v>
      </c>
      <c r="G40" s="258"/>
      <c r="H40" s="239"/>
      <c r="I40" s="212"/>
      <c r="J40" s="212"/>
      <c r="K40" s="212"/>
      <c r="L40" s="212"/>
      <c r="M40" s="212"/>
      <c r="N40" s="212"/>
      <c r="O40" s="212"/>
      <c r="P40" s="212"/>
    </row>
    <row r="41" spans="1:16" ht="15">
      <c r="A41" s="211"/>
      <c r="B41" s="250"/>
      <c r="C41" s="251" t="s">
        <v>233</v>
      </c>
      <c r="D41" s="257">
        <f>E26/100</f>
        <v>0.01</v>
      </c>
      <c r="E41" s="253"/>
      <c r="F41" s="253" t="s">
        <v>478</v>
      </c>
      <c r="G41" s="258"/>
      <c r="H41" s="214"/>
      <c r="I41" s="212"/>
      <c r="J41" s="212"/>
      <c r="K41" s="212"/>
      <c r="L41" s="212"/>
      <c r="M41" s="212"/>
      <c r="N41" s="212"/>
      <c r="O41" s="212"/>
      <c r="P41" s="212"/>
    </row>
    <row r="42" spans="1:16" ht="15">
      <c r="A42" s="211"/>
      <c r="B42" s="250"/>
      <c r="C42" s="255"/>
      <c r="D42" s="255"/>
      <c r="E42" s="255"/>
      <c r="F42" s="255"/>
      <c r="G42" s="248"/>
      <c r="H42" s="214"/>
      <c r="I42" s="212"/>
      <c r="J42" s="212"/>
      <c r="K42" s="212"/>
      <c r="L42" s="212"/>
      <c r="M42" s="212"/>
      <c r="N42" s="212"/>
      <c r="O42" s="212"/>
      <c r="P42" s="212"/>
    </row>
    <row r="43" spans="1:16" ht="15">
      <c r="A43" s="211"/>
      <c r="B43" s="250"/>
      <c r="C43" s="251" t="s">
        <v>234</v>
      </c>
      <c r="D43" s="257">
        <f>E28/100</f>
        <v>7.0199999999999999E-2</v>
      </c>
      <c r="E43" s="253"/>
      <c r="F43" s="253" t="s">
        <v>235</v>
      </c>
      <c r="G43" s="258"/>
      <c r="H43" s="214"/>
      <c r="I43" s="212"/>
      <c r="J43" s="212"/>
      <c r="K43" s="212"/>
      <c r="L43" s="212"/>
      <c r="M43" s="212"/>
      <c r="N43" s="212"/>
      <c r="O43" s="212"/>
      <c r="P43" s="212"/>
    </row>
    <row r="44" spans="1:16" ht="15">
      <c r="A44" s="211"/>
      <c r="B44" s="245"/>
      <c r="C44" s="217"/>
      <c r="D44" s="217"/>
      <c r="E44" s="217"/>
      <c r="F44" s="217"/>
      <c r="G44" s="248"/>
      <c r="H44" s="214"/>
      <c r="I44" s="212"/>
      <c r="J44" s="212"/>
      <c r="K44" s="212"/>
      <c r="L44" s="212"/>
      <c r="M44" s="212"/>
      <c r="N44" s="212"/>
      <c r="O44" s="212"/>
      <c r="P44" s="212"/>
    </row>
    <row r="45" spans="1:16" ht="18" customHeight="1">
      <c r="A45" s="211"/>
      <c r="B45" s="782" t="s">
        <v>685</v>
      </c>
      <c r="C45" s="783"/>
      <c r="D45" s="783"/>
      <c r="E45" s="783"/>
      <c r="F45" s="783"/>
      <c r="G45" s="784"/>
      <c r="H45" s="214"/>
      <c r="I45" s="212"/>
      <c r="J45" s="212"/>
      <c r="K45" s="212"/>
      <c r="L45" s="212"/>
      <c r="M45" s="212"/>
      <c r="N45" s="212"/>
      <c r="O45" s="212"/>
      <c r="P45" s="212"/>
    </row>
    <row r="46" spans="1:16" ht="15.75" customHeight="1" thickBot="1">
      <c r="A46" s="211"/>
      <c r="B46" s="747" t="s">
        <v>686</v>
      </c>
      <c r="C46" s="748"/>
      <c r="D46" s="748"/>
      <c r="E46" s="748"/>
      <c r="F46" s="748"/>
      <c r="G46" s="749"/>
      <c r="H46" s="214"/>
      <c r="I46" s="212"/>
      <c r="J46" s="212"/>
      <c r="K46" s="212"/>
      <c r="L46" s="212"/>
      <c r="M46" s="212"/>
      <c r="N46" s="212"/>
      <c r="O46" s="212"/>
      <c r="P46" s="212"/>
    </row>
    <row r="47" spans="1:16" ht="15">
      <c r="A47" s="211"/>
      <c r="B47" s="212"/>
      <c r="C47" s="212"/>
      <c r="D47" s="212"/>
      <c r="E47" s="212"/>
      <c r="F47" s="212"/>
      <c r="G47" s="212"/>
      <c r="H47" s="212"/>
      <c r="I47" s="212"/>
      <c r="J47" s="212"/>
      <c r="K47" s="212"/>
      <c r="L47" s="212"/>
      <c r="M47" s="212"/>
      <c r="N47" s="212"/>
      <c r="O47" s="212"/>
      <c r="P47" s="212"/>
    </row>
    <row r="48" spans="1:16" ht="13.5" thickBot="1"/>
    <row r="49" spans="2:15">
      <c r="B49" s="770"/>
      <c r="C49" s="771"/>
      <c r="D49" s="771"/>
      <c r="E49" s="771"/>
      <c r="F49" s="771"/>
      <c r="G49" s="772"/>
    </row>
    <row r="50" spans="2:15">
      <c r="B50" s="773"/>
      <c r="C50" s="774"/>
      <c r="D50" s="774"/>
      <c r="E50" s="774"/>
      <c r="F50" s="774"/>
      <c r="G50" s="775"/>
    </row>
    <row r="51" spans="2:15" ht="13.5" thickBot="1">
      <c r="B51" s="776"/>
      <c r="C51" s="777"/>
      <c r="D51" s="777"/>
      <c r="E51" s="777"/>
      <c r="F51" s="777"/>
      <c r="G51" s="778"/>
    </row>
    <row r="52" spans="2:15" ht="15">
      <c r="B52" s="779" t="s">
        <v>479</v>
      </c>
      <c r="C52" s="780"/>
      <c r="D52" s="780"/>
      <c r="E52" s="780"/>
      <c r="F52" s="780"/>
      <c r="G52" s="781"/>
    </row>
    <row r="53" spans="2:15" ht="12.75" customHeight="1">
      <c r="B53" s="750" t="str">
        <f>B8</f>
        <v>IMPLANTAÇÃO DO SISTEMA SIMPLIFICADO DE ABASTECIMENTO DE ÁGUA BRUTA DE MARAVILHA, MUNICÍPIO DE CUSTÓDIA, EM ÁREA DE ATUAÇÃO DA CODEVASF/3ªSR</v>
      </c>
      <c r="C53" s="751"/>
      <c r="D53" s="751"/>
      <c r="E53" s="751"/>
      <c r="F53" s="751"/>
      <c r="G53" s="752"/>
    </row>
    <row r="54" spans="2:15" ht="38.25" customHeight="1" thickBot="1">
      <c r="B54" s="753" t="s">
        <v>514</v>
      </c>
      <c r="C54" s="754"/>
      <c r="D54" s="754"/>
      <c r="E54" s="754"/>
      <c r="F54" s="754"/>
      <c r="G54" s="755"/>
    </row>
    <row r="55" spans="2:15">
      <c r="B55" s="756" t="s">
        <v>211</v>
      </c>
      <c r="C55" s="758">
        <v>100000</v>
      </c>
      <c r="D55" s="758"/>
      <c r="E55" s="758"/>
      <c r="F55" s="758"/>
      <c r="G55" s="759"/>
    </row>
    <row r="56" spans="2:15" ht="13.5" thickBot="1">
      <c r="B56" s="757"/>
      <c r="C56" s="760"/>
      <c r="D56" s="760"/>
      <c r="E56" s="760"/>
      <c r="F56" s="760"/>
      <c r="G56" s="761"/>
    </row>
    <row r="57" spans="2:15">
      <c r="B57" s="762" t="s">
        <v>212</v>
      </c>
      <c r="C57" s="764" t="s">
        <v>213</v>
      </c>
      <c r="D57" s="453" t="s">
        <v>214</v>
      </c>
      <c r="E57" s="453" t="s">
        <v>214</v>
      </c>
      <c r="F57" s="454" t="s">
        <v>215</v>
      </c>
      <c r="G57" s="455" t="s">
        <v>216</v>
      </c>
    </row>
    <row r="58" spans="2:15" ht="13.5" thickBot="1">
      <c r="B58" s="763"/>
      <c r="C58" s="765"/>
      <c r="D58" s="456" t="s">
        <v>217</v>
      </c>
      <c r="E58" s="456" t="s">
        <v>218</v>
      </c>
      <c r="F58" s="456" t="s">
        <v>219</v>
      </c>
      <c r="G58" s="457" t="s">
        <v>219</v>
      </c>
    </row>
    <row r="59" spans="2:15">
      <c r="B59" s="458"/>
      <c r="C59" s="459"/>
      <c r="D59" s="461"/>
      <c r="E59" s="460"/>
      <c r="F59" s="461"/>
      <c r="G59" s="462"/>
    </row>
    <row r="60" spans="2:15">
      <c r="B60" s="463">
        <v>1</v>
      </c>
      <c r="C60" s="464" t="s">
        <v>480</v>
      </c>
      <c r="D60" s="465"/>
      <c r="E60" s="465">
        <v>1.5</v>
      </c>
      <c r="F60" s="459"/>
      <c r="G60" s="229">
        <f>C55*E60/100</f>
        <v>1500</v>
      </c>
      <c r="I60" s="260"/>
      <c r="J60" s="261"/>
      <c r="K60" s="262"/>
      <c r="L60" s="262"/>
      <c r="M60" s="263"/>
      <c r="N60" s="263"/>
      <c r="O60" s="263"/>
    </row>
    <row r="61" spans="2:15">
      <c r="B61" s="466"/>
      <c r="C61" s="467"/>
      <c r="D61" s="468" t="s">
        <v>210</v>
      </c>
      <c r="E61" s="468" t="s">
        <v>210</v>
      </c>
      <c r="F61" s="469"/>
      <c r="G61" s="470"/>
      <c r="I61" s="738"/>
      <c r="J61" s="738"/>
      <c r="K61" s="738"/>
      <c r="L61" s="739"/>
      <c r="M61" s="264"/>
      <c r="N61" s="264"/>
      <c r="O61" s="264"/>
    </row>
    <row r="62" spans="2:15">
      <c r="B62" s="466" t="s">
        <v>210</v>
      </c>
      <c r="C62" s="467" t="s">
        <v>210</v>
      </c>
      <c r="D62" s="468" t="s">
        <v>210</v>
      </c>
      <c r="E62" s="468" t="s">
        <v>210</v>
      </c>
      <c r="F62" s="469"/>
      <c r="G62" s="470"/>
      <c r="I62" s="738"/>
      <c r="J62" s="738"/>
      <c r="K62" s="738"/>
      <c r="L62" s="738"/>
      <c r="M62" s="264"/>
      <c r="N62" s="264"/>
      <c r="O62" s="264"/>
    </row>
    <row r="63" spans="2:15">
      <c r="B63" s="463">
        <v>2</v>
      </c>
      <c r="C63" s="464" t="s">
        <v>481</v>
      </c>
      <c r="D63" s="465">
        <v>5.65</v>
      </c>
      <c r="E63" s="465">
        <f>SUM(E64:E67)</f>
        <v>7.02</v>
      </c>
      <c r="F63" s="471"/>
      <c r="G63" s="265">
        <f>C55*E63/100</f>
        <v>7020</v>
      </c>
      <c r="I63" s="260"/>
      <c r="J63" s="261"/>
      <c r="K63" s="262"/>
      <c r="L63" s="738"/>
      <c r="M63" s="739"/>
      <c r="N63" s="739"/>
      <c r="O63" s="263"/>
    </row>
    <row r="64" spans="2:15">
      <c r="B64" s="466" t="s">
        <v>253</v>
      </c>
      <c r="C64" s="472" t="s">
        <v>220</v>
      </c>
      <c r="D64" s="468">
        <v>0</v>
      </c>
      <c r="E64" s="468">
        <f>ROUND(D64*(1+($C$33/100)),2)</f>
        <v>0</v>
      </c>
      <c r="F64" s="473"/>
      <c r="G64" s="474">
        <f>C55*E64/100</f>
        <v>0</v>
      </c>
      <c r="I64" s="738"/>
      <c r="J64" s="738"/>
      <c r="K64" s="738"/>
      <c r="L64" s="738"/>
      <c r="M64" s="264"/>
      <c r="N64" s="264"/>
      <c r="O64" s="264"/>
    </row>
    <row r="65" spans="2:15">
      <c r="B65" s="466" t="s">
        <v>254</v>
      </c>
      <c r="C65" s="467" t="s">
        <v>221</v>
      </c>
      <c r="D65" s="468">
        <v>0.65</v>
      </c>
      <c r="E65" s="468">
        <f t="shared" ref="E65:E67" si="1">ROUND(D65*(1+($C$33/100)),2)</f>
        <v>0.81</v>
      </c>
      <c r="F65" s="473"/>
      <c r="G65" s="474">
        <f>C55*E65/100</f>
        <v>810</v>
      </c>
      <c r="I65" s="738"/>
      <c r="J65" s="738"/>
      <c r="K65" s="738"/>
      <c r="L65" s="738"/>
      <c r="M65" s="264"/>
      <c r="N65" s="264"/>
      <c r="O65" s="264"/>
    </row>
    <row r="66" spans="2:15">
      <c r="B66" s="466" t="s">
        <v>255</v>
      </c>
      <c r="C66" s="467" t="s">
        <v>678</v>
      </c>
      <c r="D66" s="468">
        <v>2</v>
      </c>
      <c r="E66" s="468">
        <f t="shared" si="1"/>
        <v>2.48</v>
      </c>
      <c r="F66" s="473"/>
      <c r="G66" s="474">
        <f>C55*E66/100</f>
        <v>2480</v>
      </c>
      <c r="I66" s="738"/>
      <c r="J66" s="738"/>
      <c r="K66" s="738"/>
      <c r="L66" s="738"/>
      <c r="M66" s="264"/>
      <c r="N66" s="264"/>
      <c r="O66" s="264"/>
    </row>
    <row r="67" spans="2:15">
      <c r="B67" s="466" t="s">
        <v>440</v>
      </c>
      <c r="C67" s="467" t="s">
        <v>482</v>
      </c>
      <c r="D67" s="468">
        <v>3</v>
      </c>
      <c r="E67" s="468">
        <f t="shared" si="1"/>
        <v>3.73</v>
      </c>
      <c r="F67" s="473"/>
      <c r="G67" s="474">
        <f>C55*E67/100</f>
        <v>3730</v>
      </c>
      <c r="I67" s="260"/>
      <c r="J67" s="261"/>
      <c r="K67" s="262"/>
      <c r="L67" s="262"/>
      <c r="M67" s="262"/>
      <c r="N67" s="262"/>
      <c r="O67" s="262"/>
    </row>
    <row r="68" spans="2:15">
      <c r="B68" s="466"/>
      <c r="C68" s="467"/>
      <c r="D68" s="468"/>
      <c r="E68" s="468"/>
      <c r="F68" s="469"/>
      <c r="G68" s="475"/>
      <c r="I68" s="262"/>
      <c r="J68" s="262"/>
      <c r="K68" s="262"/>
      <c r="L68" s="262"/>
      <c r="M68" s="264"/>
      <c r="N68" s="264"/>
      <c r="O68" s="264"/>
    </row>
    <row r="69" spans="2:15">
      <c r="B69" s="463">
        <v>3</v>
      </c>
      <c r="C69" s="464" t="s">
        <v>483</v>
      </c>
      <c r="D69" s="465"/>
      <c r="E69" s="465">
        <f>SUM(E70:E72)</f>
        <v>1.22</v>
      </c>
      <c r="F69" s="469"/>
      <c r="G69" s="229">
        <f>C55*E69/100</f>
        <v>1220</v>
      </c>
      <c r="I69" s="260"/>
      <c r="J69" s="261"/>
      <c r="K69" s="262"/>
      <c r="L69" s="262"/>
      <c r="M69" s="262"/>
      <c r="N69" s="262"/>
      <c r="O69" s="262"/>
    </row>
    <row r="70" spans="2:15">
      <c r="B70" s="466" t="s">
        <v>0</v>
      </c>
      <c r="C70" s="472" t="s">
        <v>258</v>
      </c>
      <c r="E70" s="468">
        <v>0.2</v>
      </c>
      <c r="F70" s="469"/>
      <c r="G70" s="476">
        <f>C55*E70/100</f>
        <v>200</v>
      </c>
      <c r="I70" s="260"/>
      <c r="J70" s="261"/>
      <c r="K70" s="262"/>
      <c r="L70" s="262"/>
      <c r="M70" s="262"/>
      <c r="N70" s="262"/>
      <c r="O70" s="262"/>
    </row>
    <row r="71" spans="2:15">
      <c r="B71" s="466" t="s">
        <v>1</v>
      </c>
      <c r="C71" s="467" t="s">
        <v>259</v>
      </c>
      <c r="E71" s="468">
        <v>0.82</v>
      </c>
      <c r="F71" s="469"/>
      <c r="G71" s="476">
        <f>C55*E71/100</f>
        <v>820</v>
      </c>
      <c r="I71" s="260"/>
      <c r="J71" s="261"/>
      <c r="K71" s="262"/>
      <c r="L71" s="262"/>
      <c r="M71" s="262"/>
      <c r="N71" s="262"/>
      <c r="O71" s="262"/>
    </row>
    <row r="72" spans="2:15">
      <c r="B72" s="466" t="s">
        <v>2</v>
      </c>
      <c r="C72" s="467" t="s">
        <v>260</v>
      </c>
      <c r="E72" s="468">
        <v>0.2</v>
      </c>
      <c r="F72" s="469"/>
      <c r="G72" s="476">
        <f>C55*E72/100</f>
        <v>200</v>
      </c>
      <c r="I72" s="260"/>
      <c r="J72" s="261"/>
      <c r="K72" s="262"/>
      <c r="L72" s="262"/>
      <c r="M72" s="262"/>
      <c r="N72" s="262"/>
      <c r="O72" s="262"/>
    </row>
    <row r="73" spans="2:15">
      <c r="B73" s="466"/>
      <c r="C73" s="467"/>
      <c r="D73" s="468"/>
      <c r="E73" s="468"/>
      <c r="F73" s="469"/>
      <c r="G73" s="475"/>
      <c r="I73" s="260"/>
      <c r="J73" s="261"/>
      <c r="K73" s="262"/>
      <c r="L73" s="262"/>
      <c r="M73" s="264"/>
      <c r="N73" s="264"/>
      <c r="O73" s="264"/>
    </row>
    <row r="74" spans="2:15">
      <c r="B74" s="463">
        <v>4</v>
      </c>
      <c r="C74" s="464" t="s">
        <v>484</v>
      </c>
      <c r="D74" s="465"/>
      <c r="E74" s="465">
        <v>0.85</v>
      </c>
      <c r="F74" s="469"/>
      <c r="G74" s="229">
        <f>C55*E74/100</f>
        <v>850</v>
      </c>
      <c r="I74" s="260"/>
      <c r="J74" s="261"/>
      <c r="K74" s="262"/>
      <c r="L74" s="262"/>
      <c r="M74" s="264"/>
      <c r="N74" s="264"/>
      <c r="O74" s="264"/>
    </row>
    <row r="75" spans="2:15">
      <c r="B75" s="466"/>
      <c r="C75" s="467"/>
      <c r="D75" s="468"/>
      <c r="E75" s="468"/>
      <c r="F75" s="469"/>
      <c r="G75" s="475"/>
      <c r="I75" s="262"/>
      <c r="J75" s="262"/>
      <c r="K75" s="262"/>
      <c r="L75" s="262"/>
      <c r="M75" s="264"/>
      <c r="N75" s="264"/>
      <c r="O75" s="264"/>
    </row>
    <row r="76" spans="2:15">
      <c r="B76" s="463">
        <v>5</v>
      </c>
      <c r="C76" s="464" t="s">
        <v>485</v>
      </c>
      <c r="D76" s="465"/>
      <c r="E76" s="477">
        <v>3.85</v>
      </c>
      <c r="F76" s="469"/>
      <c r="G76" s="229">
        <f>C55*E76/100</f>
        <v>3850</v>
      </c>
      <c r="I76" s="260"/>
      <c r="J76" s="261"/>
      <c r="K76" s="262"/>
      <c r="L76" s="262"/>
      <c r="M76" s="264"/>
      <c r="N76" s="264"/>
      <c r="O76" s="264"/>
    </row>
    <row r="77" spans="2:15" ht="13.5" thickBot="1">
      <c r="B77" s="466"/>
      <c r="C77" s="467"/>
      <c r="D77" s="468"/>
      <c r="E77" s="468"/>
      <c r="F77" s="469"/>
      <c r="G77" s="470"/>
      <c r="I77" s="264"/>
      <c r="J77" s="264"/>
      <c r="K77" s="264"/>
      <c r="L77" s="264"/>
      <c r="M77" s="264"/>
      <c r="N77" s="264"/>
      <c r="O77" s="264"/>
    </row>
    <row r="78" spans="2:15" ht="16.5" thickBot="1">
      <c r="B78" s="740" t="s">
        <v>486</v>
      </c>
      <c r="C78" s="741"/>
      <c r="D78" s="741"/>
      <c r="E78" s="478"/>
      <c r="F78" s="479"/>
      <c r="G78" s="452">
        <f>C55*C81%</f>
        <v>14020</v>
      </c>
      <c r="I78" s="264"/>
      <c r="J78" s="264"/>
      <c r="K78" s="264"/>
      <c r="L78" s="264"/>
      <c r="M78" s="264"/>
      <c r="N78" s="264"/>
      <c r="O78" s="264"/>
    </row>
    <row r="79" spans="2:15" ht="13.5" thickBot="1">
      <c r="B79" s="480"/>
      <c r="C79" s="481"/>
      <c r="D79" s="481"/>
      <c r="E79" s="742" t="s">
        <v>223</v>
      </c>
      <c r="F79" s="743"/>
      <c r="G79" s="487">
        <f>C55+G78</f>
        <v>114020</v>
      </c>
      <c r="I79" s="264"/>
      <c r="J79" s="264"/>
      <c r="K79" s="264"/>
      <c r="L79" s="264"/>
      <c r="M79" s="264"/>
      <c r="N79" s="264"/>
      <c r="O79" s="264"/>
    </row>
    <row r="80" spans="2:15" ht="15.75">
      <c r="B80" s="482" t="s">
        <v>224</v>
      </c>
      <c r="C80" s="449">
        <f>(((1+D83+D87)*(1+D89)*(1+D91)/(1-D85))-1)*100</f>
        <v>14.02</v>
      </c>
      <c r="D80" s="483" t="s">
        <v>225</v>
      </c>
      <c r="E80" s="484"/>
      <c r="F80" s="484"/>
      <c r="G80" s="485"/>
      <c r="I80" s="738"/>
      <c r="J80" s="738"/>
      <c r="K80" s="738"/>
      <c r="L80" s="738"/>
      <c r="M80" s="738"/>
      <c r="N80" s="264"/>
      <c r="O80" s="264"/>
    </row>
    <row r="81" spans="2:15" ht="15.75">
      <c r="B81" s="482" t="s">
        <v>224</v>
      </c>
      <c r="C81" s="486">
        <f>C80</f>
        <v>14.02</v>
      </c>
      <c r="D81" s="483" t="s">
        <v>226</v>
      </c>
      <c r="E81" s="484"/>
      <c r="F81" s="484"/>
      <c r="G81" s="485"/>
      <c r="I81" s="264"/>
      <c r="J81" s="264"/>
      <c r="K81" s="264"/>
      <c r="L81" s="264"/>
      <c r="M81" s="264"/>
      <c r="N81" s="271"/>
      <c r="O81" s="264"/>
    </row>
    <row r="82" spans="2:15" ht="15.75">
      <c r="B82" s="266"/>
      <c r="C82" s="270"/>
      <c r="D82" s="267"/>
      <c r="E82" s="268"/>
      <c r="F82" s="268"/>
      <c r="G82" s="269"/>
      <c r="I82" s="264"/>
      <c r="J82" s="264"/>
      <c r="K82" s="264"/>
      <c r="L82" s="264"/>
      <c r="M82" s="264"/>
      <c r="N82" s="264"/>
      <c r="O82" s="264"/>
    </row>
    <row r="83" spans="2:15" ht="15">
      <c r="B83" s="250" t="s">
        <v>210</v>
      </c>
      <c r="C83" s="251" t="s">
        <v>227</v>
      </c>
      <c r="D83" s="252">
        <f>E60/100</f>
        <v>1.4999999999999999E-2</v>
      </c>
      <c r="E83" s="253"/>
      <c r="F83" s="253" t="s">
        <v>228</v>
      </c>
      <c r="G83" s="254"/>
      <c r="I83" s="264"/>
      <c r="J83" s="264"/>
      <c r="K83" s="264"/>
      <c r="L83" s="264"/>
      <c r="M83" s="264"/>
      <c r="N83" s="264"/>
      <c r="O83" s="264"/>
    </row>
    <row r="84" spans="2:15">
      <c r="B84" s="250" t="s">
        <v>210</v>
      </c>
      <c r="C84" s="255"/>
      <c r="D84" s="255"/>
      <c r="E84" s="255"/>
      <c r="F84" s="255"/>
      <c r="G84" s="248"/>
      <c r="I84" s="264"/>
      <c r="J84" s="264"/>
      <c r="K84" s="264"/>
      <c r="L84" s="264"/>
      <c r="M84" s="264"/>
      <c r="N84" s="264"/>
      <c r="O84" s="264"/>
    </row>
    <row r="85" spans="2:15" ht="15">
      <c r="B85" s="256"/>
      <c r="C85" s="251" t="s">
        <v>229</v>
      </c>
      <c r="D85" s="257">
        <f>D63/100</f>
        <v>5.6500000000000002E-2</v>
      </c>
      <c r="E85" s="253"/>
      <c r="F85" s="253" t="s">
        <v>230</v>
      </c>
      <c r="G85" s="254"/>
      <c r="I85" s="264"/>
      <c r="J85" s="264"/>
      <c r="K85" s="264"/>
      <c r="L85" s="264"/>
      <c r="M85" s="264"/>
      <c r="N85" s="264"/>
      <c r="O85" s="264"/>
    </row>
    <row r="86" spans="2:15" ht="15">
      <c r="B86" s="256"/>
      <c r="C86" s="253"/>
      <c r="D86" s="253"/>
      <c r="E86" s="253"/>
      <c r="F86" s="253"/>
      <c r="G86" s="258"/>
      <c r="I86" s="264"/>
      <c r="J86" s="264"/>
      <c r="K86" s="264"/>
      <c r="L86" s="264"/>
      <c r="M86" s="264"/>
      <c r="N86" s="264"/>
      <c r="O86" s="264"/>
    </row>
    <row r="87" spans="2:15" ht="15">
      <c r="B87" s="256"/>
      <c r="C87" s="251" t="s">
        <v>231</v>
      </c>
      <c r="D87" s="257">
        <f>E69/100</f>
        <v>1.2200000000000001E-2</v>
      </c>
      <c r="E87" s="253"/>
      <c r="F87" s="253" t="s">
        <v>232</v>
      </c>
      <c r="G87" s="259"/>
      <c r="I87" s="264"/>
      <c r="J87" s="264"/>
      <c r="K87" s="264"/>
      <c r="L87" s="264"/>
      <c r="M87" s="264"/>
      <c r="N87" s="264"/>
      <c r="O87" s="264"/>
    </row>
    <row r="88" spans="2:15" ht="15">
      <c r="B88" s="256"/>
      <c r="C88" s="251" t="s">
        <v>210</v>
      </c>
      <c r="D88" s="257" t="s">
        <v>210</v>
      </c>
      <c r="E88" s="253"/>
      <c r="F88" s="253" t="s">
        <v>210</v>
      </c>
      <c r="G88" s="258"/>
    </row>
    <row r="89" spans="2:15" ht="15">
      <c r="B89" s="250"/>
      <c r="C89" s="251" t="s">
        <v>233</v>
      </c>
      <c r="D89" s="257">
        <f>E74/100</f>
        <v>8.5000000000000006E-3</v>
      </c>
      <c r="E89" s="253"/>
      <c r="F89" s="253" t="s">
        <v>478</v>
      </c>
      <c r="G89" s="258"/>
    </row>
    <row r="90" spans="2:15">
      <c r="B90" s="250"/>
      <c r="C90" s="255"/>
      <c r="D90" s="255"/>
      <c r="E90" s="255"/>
      <c r="F90" s="255"/>
      <c r="G90" s="248"/>
    </row>
    <row r="91" spans="2:15" ht="15">
      <c r="B91" s="250"/>
      <c r="C91" s="251" t="s">
        <v>234</v>
      </c>
      <c r="D91" s="257">
        <f>E76/100</f>
        <v>3.85E-2</v>
      </c>
      <c r="E91" s="253"/>
      <c r="F91" s="253" t="s">
        <v>235</v>
      </c>
      <c r="G91" s="258"/>
    </row>
    <row r="92" spans="2:15" ht="15.75" customHeight="1">
      <c r="B92" s="744" t="s">
        <v>685</v>
      </c>
      <c r="C92" s="745"/>
      <c r="D92" s="745"/>
      <c r="E92" s="745"/>
      <c r="F92" s="745"/>
      <c r="G92" s="746"/>
    </row>
    <row r="93" spans="2:15" ht="21.75" customHeight="1" thickBot="1">
      <c r="B93" s="747" t="s">
        <v>686</v>
      </c>
      <c r="C93" s="748"/>
      <c r="D93" s="748"/>
      <c r="E93" s="748"/>
      <c r="F93" s="748"/>
      <c r="G93" s="749"/>
    </row>
  </sheetData>
  <mergeCells count="28">
    <mergeCell ref="B2:G6"/>
    <mergeCell ref="B7:G7"/>
    <mergeCell ref="B8:G9"/>
    <mergeCell ref="C10:G10"/>
    <mergeCell ref="B11:B12"/>
    <mergeCell ref="C11:C12"/>
    <mergeCell ref="B30:D30"/>
    <mergeCell ref="E31:F31"/>
    <mergeCell ref="B49:G51"/>
    <mergeCell ref="B52:G52"/>
    <mergeCell ref="B45:G45"/>
    <mergeCell ref="B46:G46"/>
    <mergeCell ref="B53:G54"/>
    <mergeCell ref="B55:B56"/>
    <mergeCell ref="C55:G56"/>
    <mergeCell ref="B57:B58"/>
    <mergeCell ref="C57:C58"/>
    <mergeCell ref="B78:D78"/>
    <mergeCell ref="E79:F79"/>
    <mergeCell ref="I66:L66"/>
    <mergeCell ref="B92:G92"/>
    <mergeCell ref="B93:G93"/>
    <mergeCell ref="I61:L61"/>
    <mergeCell ref="I80:M80"/>
    <mergeCell ref="I62:L62"/>
    <mergeCell ref="L63:N63"/>
    <mergeCell ref="I64:L64"/>
    <mergeCell ref="I65:L65"/>
  </mergeCells>
  <conditionalFormatting sqref="C32">
    <cfRule type="containsText" dxfId="18" priority="11" stopIfTrue="1" operator="containsText" text="CERTO">
      <formula>NOT(ISERROR(SEARCH("CERTO",C32)))</formula>
    </cfRule>
    <cfRule type="containsText" dxfId="17" priority="12" stopIfTrue="1" operator="containsText" text="ERRO">
      <formula>NOT(ISERROR(SEARCH("ERRO",C32)))</formula>
    </cfRule>
  </conditionalFormatting>
  <conditionalFormatting sqref="B45">
    <cfRule type="containsText" dxfId="16" priority="9" stopIfTrue="1" operator="containsText" text="CERTO">
      <formula>NOT(ISERROR(SEARCH("CERTO",B45)))</formula>
    </cfRule>
    <cfRule type="containsText" dxfId="15" priority="10" stopIfTrue="1" operator="containsText" text="ERRO">
      <formula>NOT(ISERROR(SEARCH("ERRO",B45)))</formula>
    </cfRule>
  </conditionalFormatting>
  <conditionalFormatting sqref="B46">
    <cfRule type="containsText" dxfId="14" priority="7" stopIfTrue="1" operator="containsText" text="CERTO">
      <formula>NOT(ISERROR(SEARCH("CERTO",B46)))</formula>
    </cfRule>
    <cfRule type="containsText" dxfId="13" priority="8" stopIfTrue="1" operator="containsText" text="ERRO">
      <formula>NOT(ISERROR(SEARCH("ERRO",B46)))</formula>
    </cfRule>
  </conditionalFormatting>
  <conditionalFormatting sqref="B93">
    <cfRule type="containsText" dxfId="12" priority="3" stopIfTrue="1" operator="containsText" text="CERTO">
      <formula>NOT(ISERROR(SEARCH("CERTO",B93)))</formula>
    </cfRule>
    <cfRule type="containsText" dxfId="11" priority="4" stopIfTrue="1" operator="containsText" text="ERRO">
      <formula>NOT(ISERROR(SEARCH("ERRO",B93)))</formula>
    </cfRule>
  </conditionalFormatting>
  <conditionalFormatting sqref="C80">
    <cfRule type="containsText" dxfId="10" priority="1" stopIfTrue="1" operator="containsText" text="CERTO">
      <formula>NOT(ISERROR(SEARCH("CERTO",C80)))</formula>
    </cfRule>
    <cfRule type="containsText" dxfId="9" priority="2" stopIfTrue="1" operator="containsText" text="ERRO">
      <formula>NOT(ISERROR(SEARCH("ERRO",C80)))</formula>
    </cfRule>
  </conditionalFormatting>
  <pageMargins left="0.511811024" right="0.511811024" top="0.78740157499999996" bottom="0.78740157499999996" header="0.31496062000000002" footer="0.31496062000000002"/>
  <pageSetup paperSize="9" scale="89" orientation="portrait" r:id="rId1"/>
  <rowBreaks count="1" manualBreakCount="1">
    <brk id="47" max="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>
    <tabColor rgb="FF0070C0"/>
  </sheetPr>
  <dimension ref="A1:K87"/>
  <sheetViews>
    <sheetView view="pageBreakPreview" topLeftCell="A45" zoomScale="106" zoomScaleNormal="100" zoomScaleSheetLayoutView="106" workbookViewId="0">
      <selection activeCell="D58" sqref="D58"/>
    </sheetView>
  </sheetViews>
  <sheetFormatPr defaultColWidth="8.7109375" defaultRowHeight="12.75"/>
  <cols>
    <col min="1" max="1" width="8.7109375" style="18"/>
    <col min="2" max="2" width="24.85546875" style="18" customWidth="1"/>
    <col min="3" max="3" width="12" style="57" customWidth="1"/>
    <col min="4" max="4" width="11.5703125" style="18" customWidth="1"/>
    <col min="5" max="5" width="13.42578125" style="18" customWidth="1"/>
    <col min="6" max="6" width="8.7109375" style="18"/>
    <col min="7" max="7" width="29.42578125" style="18" customWidth="1"/>
    <col min="8" max="10" width="9.140625" style="17" customWidth="1"/>
    <col min="11" max="16384" width="8.7109375" style="18"/>
  </cols>
  <sheetData>
    <row r="1" spans="1:7" ht="12.75" customHeight="1">
      <c r="A1" s="853"/>
      <c r="B1" s="854"/>
      <c r="C1" s="854"/>
      <c r="D1" s="854"/>
      <c r="E1" s="854"/>
      <c r="F1" s="854"/>
      <c r="G1" s="855"/>
    </row>
    <row r="2" spans="1:7" ht="12.75" customHeight="1">
      <c r="A2" s="856"/>
      <c r="B2" s="857"/>
      <c r="C2" s="857"/>
      <c r="D2" s="857"/>
      <c r="E2" s="857"/>
      <c r="F2" s="857"/>
      <c r="G2" s="858"/>
    </row>
    <row r="3" spans="1:7" ht="12.75" customHeight="1">
      <c r="A3" s="856"/>
      <c r="B3" s="857"/>
      <c r="C3" s="857"/>
      <c r="D3" s="857"/>
      <c r="E3" s="857"/>
      <c r="F3" s="857"/>
      <c r="G3" s="858"/>
    </row>
    <row r="4" spans="1:7" ht="12.75" customHeight="1">
      <c r="A4" s="856"/>
      <c r="B4" s="857"/>
      <c r="C4" s="857"/>
      <c r="D4" s="857"/>
      <c r="E4" s="857"/>
      <c r="F4" s="857"/>
      <c r="G4" s="858"/>
    </row>
    <row r="5" spans="1:7" ht="12.75" customHeight="1">
      <c r="A5" s="856"/>
      <c r="B5" s="857"/>
      <c r="C5" s="857"/>
      <c r="D5" s="857"/>
      <c r="E5" s="857"/>
      <c r="F5" s="857"/>
      <c r="G5" s="858"/>
    </row>
    <row r="6" spans="1:7" ht="12.75" customHeight="1">
      <c r="A6" s="856"/>
      <c r="B6" s="857"/>
      <c r="C6" s="857"/>
      <c r="D6" s="857"/>
      <c r="E6" s="857"/>
      <c r="F6" s="857"/>
      <c r="G6" s="858"/>
    </row>
    <row r="7" spans="1:7" ht="12.75" customHeight="1">
      <c r="A7" s="856"/>
      <c r="B7" s="857"/>
      <c r="C7" s="857"/>
      <c r="D7" s="857"/>
      <c r="E7" s="857"/>
      <c r="F7" s="857"/>
      <c r="G7" s="858"/>
    </row>
    <row r="8" spans="1:7" ht="27" customHeight="1">
      <c r="A8" s="799" t="s">
        <v>37</v>
      </c>
      <c r="B8" s="800"/>
      <c r="C8" s="800"/>
      <c r="D8" s="800"/>
      <c r="E8" s="800"/>
      <c r="F8" s="800"/>
      <c r="G8" s="801"/>
    </row>
    <row r="9" spans="1:7" ht="60" customHeight="1">
      <c r="A9" s="859" t="s">
        <v>514</v>
      </c>
      <c r="B9" s="860"/>
      <c r="C9" s="860"/>
      <c r="D9" s="860"/>
      <c r="E9" s="860"/>
      <c r="F9" s="860"/>
      <c r="G9" s="861"/>
    </row>
    <row r="10" spans="1:7" ht="12.75" customHeight="1">
      <c r="A10" s="862" t="s">
        <v>515</v>
      </c>
      <c r="B10" s="857"/>
      <c r="C10" s="857"/>
      <c r="D10" s="857"/>
      <c r="E10" s="857"/>
      <c r="F10" s="857"/>
      <c r="G10" s="858"/>
    </row>
    <row r="11" spans="1:7" ht="24.95" customHeight="1">
      <c r="A11" s="799" t="s">
        <v>38</v>
      </c>
      <c r="B11" s="800"/>
      <c r="C11" s="800"/>
      <c r="D11" s="800"/>
      <c r="E11" s="800"/>
      <c r="F11" s="800"/>
      <c r="G11" s="801"/>
    </row>
    <row r="12" spans="1:7" ht="12.75" customHeight="1">
      <c r="A12" s="28" t="s">
        <v>39</v>
      </c>
      <c r="B12" s="21"/>
      <c r="C12" s="29">
        <f>'Rede de Distribuição'!D4</f>
        <v>120</v>
      </c>
      <c r="D12" s="802" t="s">
        <v>40</v>
      </c>
      <c r="E12" s="803"/>
      <c r="F12" s="803"/>
      <c r="G12" s="804"/>
    </row>
    <row r="13" spans="1:7" ht="12.75" customHeight="1">
      <c r="A13" s="28" t="s">
        <v>41</v>
      </c>
      <c r="B13" s="21"/>
      <c r="C13" s="30">
        <f>'Rede de Distribuição'!M4</f>
        <v>350</v>
      </c>
      <c r="D13" s="802" t="s">
        <v>42</v>
      </c>
      <c r="E13" s="803"/>
      <c r="F13" s="803"/>
      <c r="G13" s="804"/>
    </row>
    <row r="14" spans="1:7" ht="12.75" customHeight="1">
      <c r="A14" s="28" t="s">
        <v>43</v>
      </c>
      <c r="B14" s="21"/>
      <c r="C14" s="29">
        <f>'Rede de Distribuição'!D7</f>
        <v>1.2</v>
      </c>
      <c r="D14" s="802"/>
      <c r="E14" s="803"/>
      <c r="F14" s="803"/>
      <c r="G14" s="804"/>
    </row>
    <row r="15" spans="1:7" ht="12.75" customHeight="1">
      <c r="A15" s="28" t="s">
        <v>44</v>
      </c>
      <c r="B15" s="21"/>
      <c r="C15" s="29">
        <f>'Rede de Distribuição'!M10</f>
        <v>12</v>
      </c>
      <c r="D15" s="802" t="s">
        <v>45</v>
      </c>
      <c r="E15" s="803"/>
      <c r="F15" s="803"/>
      <c r="G15" s="804"/>
    </row>
    <row r="16" spans="1:7" ht="12.75" customHeight="1">
      <c r="A16" s="805"/>
      <c r="B16" s="806"/>
      <c r="C16" s="806"/>
      <c r="D16" s="806"/>
      <c r="E16" s="806"/>
      <c r="F16" s="806"/>
      <c r="G16" s="807"/>
    </row>
    <row r="17" spans="1:9" ht="12.75" customHeight="1">
      <c r="A17" s="20" t="s">
        <v>46</v>
      </c>
      <c r="B17" s="21"/>
      <c r="C17" s="31" t="s">
        <v>47</v>
      </c>
      <c r="D17" s="32">
        <f>C12*C13</f>
        <v>42000</v>
      </c>
      <c r="E17" s="802" t="s">
        <v>48</v>
      </c>
      <c r="F17" s="803"/>
      <c r="G17" s="804"/>
    </row>
    <row r="18" spans="1:9" ht="12.75" customHeight="1">
      <c r="A18" s="799"/>
      <c r="B18" s="800"/>
      <c r="C18" s="800"/>
      <c r="D18" s="800"/>
      <c r="E18" s="800"/>
      <c r="F18" s="800"/>
      <c r="G18" s="801"/>
    </row>
    <row r="19" spans="1:9" ht="24.95" customHeight="1">
      <c r="A19" s="799" t="s">
        <v>332</v>
      </c>
      <c r="B19" s="800"/>
      <c r="C19" s="800"/>
      <c r="D19" s="800"/>
      <c r="E19" s="800"/>
      <c r="F19" s="800"/>
      <c r="G19" s="801"/>
    </row>
    <row r="20" spans="1:9" ht="12.75" customHeight="1">
      <c r="A20" s="20" t="s">
        <v>49</v>
      </c>
      <c r="B20" s="21"/>
      <c r="C20" s="31" t="s">
        <v>50</v>
      </c>
      <c r="D20" s="33">
        <f>D17*C14</f>
        <v>50400</v>
      </c>
      <c r="E20" s="802" t="s">
        <v>51</v>
      </c>
      <c r="F20" s="803"/>
      <c r="G20" s="804"/>
    </row>
    <row r="21" spans="1:9" ht="12.75" customHeight="1">
      <c r="A21" s="34" t="s">
        <v>246</v>
      </c>
      <c r="B21" s="21"/>
      <c r="C21" s="31" t="s">
        <v>52</v>
      </c>
      <c r="D21" s="35">
        <f>D20/3000</f>
        <v>16.8</v>
      </c>
      <c r="E21" s="802" t="s">
        <v>6</v>
      </c>
      <c r="F21" s="803"/>
      <c r="G21" s="804"/>
      <c r="I21" s="173">
        <f>C12*C13*C14/12/60/60</f>
        <v>1.167</v>
      </c>
    </row>
    <row r="22" spans="1:9" ht="12.75" customHeight="1">
      <c r="A22" s="829"/>
      <c r="B22" s="830"/>
      <c r="C22" s="830"/>
      <c r="D22" s="830"/>
      <c r="E22" s="830"/>
      <c r="F22" s="830"/>
      <c r="G22" s="831"/>
    </row>
    <row r="23" spans="1:9" ht="24.95" customHeight="1">
      <c r="A23" s="799" t="s">
        <v>53</v>
      </c>
      <c r="B23" s="800"/>
      <c r="C23" s="800"/>
      <c r="D23" s="800"/>
      <c r="E23" s="800"/>
      <c r="F23" s="800"/>
      <c r="G23" s="801"/>
      <c r="I23" s="174">
        <f>I21*3.6</f>
        <v>4.2009999999999996</v>
      </c>
    </row>
    <row r="24" spans="1:9" ht="12.75" customHeight="1">
      <c r="A24" s="842" t="s">
        <v>54</v>
      </c>
      <c r="B24" s="843"/>
      <c r="C24" s="36">
        <f>D17*C14/(3600*C15)</f>
        <v>1.167</v>
      </c>
      <c r="D24" s="802" t="s">
        <v>55</v>
      </c>
      <c r="E24" s="803"/>
      <c r="F24" s="803"/>
      <c r="G24" s="804"/>
    </row>
    <row r="25" spans="1:9" ht="12.75" customHeight="1">
      <c r="A25" s="844"/>
      <c r="B25" s="845"/>
      <c r="C25" s="175">
        <f>C24/1000</f>
        <v>1.1670000000000001E-3</v>
      </c>
      <c r="D25" s="802" t="s">
        <v>56</v>
      </c>
      <c r="E25" s="803"/>
      <c r="F25" s="803"/>
      <c r="G25" s="804"/>
    </row>
    <row r="26" spans="1:9" ht="12.75" customHeight="1">
      <c r="A26" s="846"/>
      <c r="B26" s="847"/>
      <c r="C26" s="36">
        <f>C25*3600</f>
        <v>4.2009999999999996</v>
      </c>
      <c r="D26" s="802" t="s">
        <v>57</v>
      </c>
      <c r="E26" s="803"/>
      <c r="F26" s="803"/>
      <c r="G26" s="804"/>
    </row>
    <row r="27" spans="1:9" ht="12.75" customHeight="1">
      <c r="A27" s="805"/>
      <c r="B27" s="806"/>
      <c r="C27" s="806"/>
      <c r="D27" s="806"/>
      <c r="E27" s="806"/>
      <c r="F27" s="806"/>
      <c r="G27" s="807"/>
    </row>
    <row r="28" spans="1:9" ht="24.95" customHeight="1">
      <c r="A28" s="799" t="s">
        <v>58</v>
      </c>
      <c r="B28" s="800"/>
      <c r="C28" s="800"/>
      <c r="D28" s="800"/>
      <c r="E28" s="800"/>
      <c r="F28" s="800"/>
      <c r="G28" s="801"/>
    </row>
    <row r="29" spans="1:9" ht="12.75" customHeight="1">
      <c r="A29" s="805"/>
      <c r="B29" s="806"/>
      <c r="C29" s="806"/>
      <c r="D29" s="806"/>
      <c r="E29" s="806"/>
      <c r="F29" s="806"/>
      <c r="G29" s="807"/>
    </row>
    <row r="30" spans="1:9" ht="24.95" customHeight="1">
      <c r="A30" s="824" t="s">
        <v>59</v>
      </c>
      <c r="B30" s="825"/>
      <c r="C30" s="825"/>
      <c r="D30" s="825"/>
      <c r="E30" s="825"/>
      <c r="F30" s="825"/>
      <c r="G30" s="826"/>
    </row>
    <row r="31" spans="1:9" ht="14.25" customHeight="1">
      <c r="A31" s="848" t="s">
        <v>60</v>
      </c>
      <c r="B31" s="849"/>
      <c r="C31" s="37" t="s">
        <v>61</v>
      </c>
      <c r="D31" s="38">
        <f>1.3*(C15/24)^0.25*C25^0.5</f>
        <v>3.73E-2</v>
      </c>
      <c r="E31" s="815" t="s">
        <v>4</v>
      </c>
      <c r="F31" s="816"/>
      <c r="G31" s="817"/>
    </row>
    <row r="32" spans="1:9" ht="12.75" customHeight="1">
      <c r="A32" s="850"/>
      <c r="B32" s="851"/>
      <c r="C32" s="37" t="s">
        <v>61</v>
      </c>
      <c r="D32" s="39">
        <f>D31*1000</f>
        <v>37.299999999999997</v>
      </c>
      <c r="E32" s="815" t="s">
        <v>62</v>
      </c>
      <c r="F32" s="816"/>
      <c r="G32" s="817"/>
    </row>
    <row r="33" spans="1:11" ht="12.75" customHeight="1">
      <c r="A33" s="833"/>
      <c r="B33" s="834"/>
      <c r="C33" s="834"/>
      <c r="D33" s="834"/>
      <c r="E33" s="834"/>
      <c r="F33" s="834"/>
      <c r="G33" s="852"/>
      <c r="H33" s="40" t="s">
        <v>151</v>
      </c>
      <c r="I33" s="40" t="s">
        <v>63</v>
      </c>
      <c r="J33" s="40" t="s">
        <v>64</v>
      </c>
      <c r="K33" s="40" t="s">
        <v>65</v>
      </c>
    </row>
    <row r="34" spans="1:11" ht="12.75" customHeight="1">
      <c r="A34" s="41" t="s">
        <v>66</v>
      </c>
      <c r="B34" s="42"/>
      <c r="C34" s="837" t="str">
        <f>IF(D78&lt;60,"PVC Classe 12",IF(D78&gt;75,"PVC Classe 20","PVC Classe 15"))</f>
        <v>PVC Classe 12</v>
      </c>
      <c r="D34" s="838"/>
      <c r="E34" s="838"/>
      <c r="F34" s="839"/>
      <c r="G34" s="19" t="s">
        <v>67</v>
      </c>
      <c r="H34" s="17">
        <v>50</v>
      </c>
      <c r="I34" s="17">
        <v>60</v>
      </c>
      <c r="J34" s="17">
        <v>2.7</v>
      </c>
      <c r="K34" s="17">
        <f>I34-2*J34</f>
        <v>54.6</v>
      </c>
    </row>
    <row r="35" spans="1:11" ht="12.75" customHeight="1">
      <c r="A35" s="20" t="s">
        <v>12</v>
      </c>
      <c r="B35" s="21"/>
      <c r="C35" s="43" t="s">
        <v>11</v>
      </c>
      <c r="D35" s="43">
        <f>IF(D36=60,50,IF(D36=85,75,IF(D36=110,100,0)))</f>
        <v>50</v>
      </c>
      <c r="E35" s="822" t="s">
        <v>62</v>
      </c>
      <c r="F35" s="821"/>
      <c r="G35" s="19" t="s">
        <v>69</v>
      </c>
      <c r="H35" s="17">
        <v>75</v>
      </c>
      <c r="I35" s="17">
        <v>85</v>
      </c>
      <c r="J35" s="17">
        <v>3.9</v>
      </c>
      <c r="K35" s="17">
        <f t="shared" ref="K35:K49" si="0">I35-2*J35</f>
        <v>77.2</v>
      </c>
    </row>
    <row r="36" spans="1:11" ht="12.75" customHeight="1">
      <c r="A36" s="28" t="s">
        <v>68</v>
      </c>
      <c r="B36" s="21"/>
      <c r="C36" s="43" t="s">
        <v>418</v>
      </c>
      <c r="D36" s="44">
        <f>IF(D32&lt;50,I34,IF(D32&gt;75,I36,I35))</f>
        <v>60</v>
      </c>
      <c r="E36" s="822" t="s">
        <v>62</v>
      </c>
      <c r="F36" s="821"/>
      <c r="G36" s="19" t="s">
        <v>72</v>
      </c>
      <c r="H36" s="17">
        <v>100</v>
      </c>
      <c r="I36" s="17">
        <v>110</v>
      </c>
      <c r="J36" s="17">
        <v>5</v>
      </c>
      <c r="K36" s="17">
        <f t="shared" si="0"/>
        <v>100</v>
      </c>
    </row>
    <row r="37" spans="1:11" ht="12.75" customHeight="1">
      <c r="A37" s="20" t="s">
        <v>70</v>
      </c>
      <c r="B37" s="21"/>
      <c r="C37" s="43" t="s">
        <v>71</v>
      </c>
      <c r="D37" s="45">
        <v>2.7</v>
      </c>
      <c r="E37" s="822" t="s">
        <v>62</v>
      </c>
      <c r="F37" s="821"/>
      <c r="G37" s="46"/>
      <c r="K37" s="17"/>
    </row>
    <row r="38" spans="1:11" ht="12.75" customHeight="1">
      <c r="A38" s="840" t="s">
        <v>73</v>
      </c>
      <c r="B38" s="809"/>
      <c r="C38" s="809"/>
      <c r="D38" s="809"/>
      <c r="E38" s="809"/>
      <c r="F38" s="841"/>
      <c r="G38" s="19" t="s">
        <v>74</v>
      </c>
      <c r="H38" s="17">
        <v>50</v>
      </c>
      <c r="I38" s="17">
        <v>60</v>
      </c>
      <c r="J38" s="17">
        <v>3.3</v>
      </c>
      <c r="K38" s="17">
        <f t="shared" si="0"/>
        <v>53.4</v>
      </c>
    </row>
    <row r="39" spans="1:11" ht="12.75" customHeight="1">
      <c r="A39" s="28" t="s">
        <v>75</v>
      </c>
      <c r="B39" s="21"/>
      <c r="C39" s="37" t="s">
        <v>76</v>
      </c>
      <c r="D39" s="176">
        <f>PI()*((D36-2*D37)/1000)^2/4</f>
        <v>2.3410000000000002E-3</v>
      </c>
      <c r="E39" s="822" t="s">
        <v>5</v>
      </c>
      <c r="F39" s="821"/>
      <c r="G39" s="19" t="s">
        <v>77</v>
      </c>
      <c r="H39" s="17">
        <v>75</v>
      </c>
      <c r="I39" s="17">
        <v>85</v>
      </c>
      <c r="J39" s="17">
        <v>4.7</v>
      </c>
      <c r="K39" s="17">
        <f t="shared" si="0"/>
        <v>75.599999999999994</v>
      </c>
    </row>
    <row r="40" spans="1:11" ht="12.75" customHeight="1">
      <c r="A40" s="805"/>
      <c r="B40" s="806"/>
      <c r="C40" s="806"/>
      <c r="D40" s="806"/>
      <c r="E40" s="806"/>
      <c r="F40" s="836"/>
      <c r="G40" s="19" t="s">
        <v>78</v>
      </c>
      <c r="H40" s="17">
        <v>100</v>
      </c>
      <c r="I40" s="17">
        <v>110</v>
      </c>
      <c r="J40" s="17">
        <v>6.1</v>
      </c>
      <c r="K40" s="17">
        <f t="shared" si="0"/>
        <v>97.8</v>
      </c>
    </row>
    <row r="41" spans="1:11" ht="24.95" customHeight="1">
      <c r="A41" s="799" t="s">
        <v>79</v>
      </c>
      <c r="B41" s="800"/>
      <c r="C41" s="800"/>
      <c r="D41" s="800"/>
      <c r="E41" s="800"/>
      <c r="F41" s="800"/>
      <c r="G41" s="801"/>
      <c r="K41" s="17"/>
    </row>
    <row r="42" spans="1:11" ht="12.75" customHeight="1">
      <c r="A42" s="805" t="s">
        <v>80</v>
      </c>
      <c r="B42" s="836"/>
      <c r="C42" s="37" t="s">
        <v>81</v>
      </c>
      <c r="D42" s="177">
        <f>C25/D39</f>
        <v>0.4985</v>
      </c>
      <c r="E42" s="802" t="s">
        <v>82</v>
      </c>
      <c r="F42" s="828"/>
      <c r="G42" s="19" t="s">
        <v>83</v>
      </c>
      <c r="H42" s="17">
        <v>50</v>
      </c>
      <c r="I42" s="17">
        <v>60</v>
      </c>
      <c r="J42" s="17">
        <v>4.3</v>
      </c>
      <c r="K42" s="17">
        <f t="shared" si="0"/>
        <v>51.4</v>
      </c>
    </row>
    <row r="43" spans="1:11" ht="12.75" customHeight="1">
      <c r="A43" s="805"/>
      <c r="B43" s="836"/>
      <c r="C43" s="37"/>
      <c r="D43" s="21"/>
      <c r="E43" s="814"/>
      <c r="F43" s="836"/>
      <c r="G43" s="19" t="s">
        <v>84</v>
      </c>
      <c r="H43" s="17">
        <v>75</v>
      </c>
      <c r="I43" s="17">
        <v>85</v>
      </c>
      <c r="J43" s="17">
        <v>6.1</v>
      </c>
      <c r="K43" s="17">
        <f t="shared" si="0"/>
        <v>72.8</v>
      </c>
    </row>
    <row r="44" spans="1:11" ht="24.95" customHeight="1">
      <c r="A44" s="824" t="s">
        <v>85</v>
      </c>
      <c r="B44" s="825"/>
      <c r="C44" s="825"/>
      <c r="D44" s="825"/>
      <c r="E44" s="825"/>
      <c r="F44" s="832"/>
      <c r="G44" s="19" t="s">
        <v>86</v>
      </c>
      <c r="H44" s="17">
        <v>100</v>
      </c>
      <c r="I44" s="17">
        <v>110</v>
      </c>
      <c r="J44" s="17">
        <v>7.8</v>
      </c>
      <c r="K44" s="17">
        <f t="shared" si="0"/>
        <v>94.4</v>
      </c>
    </row>
    <row r="45" spans="1:11" ht="14.25" customHeight="1">
      <c r="A45" s="47" t="s">
        <v>87</v>
      </c>
      <c r="B45" s="42"/>
      <c r="C45" s="37" t="s">
        <v>88</v>
      </c>
      <c r="D45" s="48">
        <f>10.643*C25^1.852*140^-1.852*(D35/1000)^-4.87</f>
        <v>9.0500000000000008E-3</v>
      </c>
      <c r="E45" s="815" t="s">
        <v>89</v>
      </c>
      <c r="F45" s="823"/>
      <c r="G45" s="46"/>
      <c r="K45" s="17"/>
    </row>
    <row r="46" spans="1:11" ht="12.75" customHeight="1">
      <c r="A46" s="49" t="s">
        <v>90</v>
      </c>
      <c r="B46" s="50"/>
      <c r="C46" s="31"/>
      <c r="D46" s="21"/>
      <c r="E46" s="815"/>
      <c r="F46" s="823"/>
      <c r="G46" s="19" t="s">
        <v>91</v>
      </c>
      <c r="H46" s="17">
        <v>100</v>
      </c>
      <c r="I46" s="17">
        <v>118</v>
      </c>
      <c r="J46" s="17">
        <v>4.8</v>
      </c>
      <c r="K46" s="17">
        <f>I46-2*J46</f>
        <v>108.4</v>
      </c>
    </row>
    <row r="47" spans="1:11" ht="12.75" customHeight="1">
      <c r="A47" s="833"/>
      <c r="B47" s="834"/>
      <c r="C47" s="834"/>
      <c r="D47" s="834"/>
      <c r="E47" s="834"/>
      <c r="F47" s="835"/>
      <c r="G47" s="19" t="s">
        <v>92</v>
      </c>
      <c r="H47" s="17">
        <v>150</v>
      </c>
      <c r="I47" s="17">
        <v>170</v>
      </c>
      <c r="J47" s="17">
        <v>6.8</v>
      </c>
      <c r="K47" s="17">
        <f t="shared" si="0"/>
        <v>156.4</v>
      </c>
    </row>
    <row r="48" spans="1:11" ht="24.95" customHeight="1">
      <c r="A48" s="824" t="s">
        <v>93</v>
      </c>
      <c r="B48" s="825"/>
      <c r="C48" s="825"/>
      <c r="D48" s="825"/>
      <c r="E48" s="825"/>
      <c r="F48" s="825"/>
      <c r="G48" s="19" t="s">
        <v>94</v>
      </c>
      <c r="H48" s="17">
        <v>200</v>
      </c>
      <c r="I48" s="17">
        <v>222</v>
      </c>
      <c r="J48" s="17">
        <v>8.9</v>
      </c>
      <c r="K48" s="17">
        <f t="shared" si="0"/>
        <v>204.2</v>
      </c>
    </row>
    <row r="49" spans="1:11" ht="12.75" customHeight="1">
      <c r="A49" s="20" t="s">
        <v>14</v>
      </c>
      <c r="B49" s="21"/>
      <c r="C49" s="43"/>
      <c r="D49" s="51">
        <f>'Rede de Distribuição'!D11</f>
        <v>7356.54</v>
      </c>
      <c r="E49" s="815" t="s">
        <v>4</v>
      </c>
      <c r="F49" s="823"/>
      <c r="G49" s="19" t="s">
        <v>95</v>
      </c>
      <c r="H49" s="17">
        <v>250</v>
      </c>
      <c r="I49" s="17">
        <v>274</v>
      </c>
      <c r="J49" s="17">
        <v>11</v>
      </c>
      <c r="K49" s="17">
        <f t="shared" si="0"/>
        <v>252</v>
      </c>
    </row>
    <row r="50" spans="1:11" ht="12.75" customHeight="1">
      <c r="A50" s="827" t="s">
        <v>96</v>
      </c>
      <c r="B50" s="828"/>
      <c r="C50" s="37" t="s">
        <v>97</v>
      </c>
      <c r="D50" s="52">
        <f>D45*D49</f>
        <v>66.576700000000002</v>
      </c>
      <c r="E50" s="815" t="s">
        <v>4</v>
      </c>
      <c r="F50" s="823"/>
      <c r="G50" s="46"/>
    </row>
    <row r="51" spans="1:11" ht="12.75" customHeight="1">
      <c r="A51" s="805"/>
      <c r="B51" s="806"/>
      <c r="C51" s="806"/>
      <c r="D51" s="806"/>
      <c r="E51" s="806"/>
      <c r="F51" s="806"/>
      <c r="G51" s="807"/>
    </row>
    <row r="52" spans="1:11" ht="24.95" customHeight="1">
      <c r="A52" s="824" t="s">
        <v>98</v>
      </c>
      <c r="B52" s="825"/>
      <c r="C52" s="825"/>
      <c r="D52" s="825"/>
      <c r="E52" s="825"/>
      <c r="F52" s="825"/>
      <c r="G52" s="826"/>
    </row>
    <row r="53" spans="1:11" ht="12.75" customHeight="1">
      <c r="A53" s="20" t="s">
        <v>247</v>
      </c>
      <c r="B53" s="21"/>
      <c r="C53" s="31"/>
      <c r="D53" s="183">
        <f>'Rede de Distribuição'!$H$46</f>
        <v>394.74900000000002</v>
      </c>
      <c r="E53" s="815" t="s">
        <v>4</v>
      </c>
      <c r="F53" s="816"/>
      <c r="G53" s="817"/>
    </row>
    <row r="54" spans="1:11" ht="12.75" customHeight="1">
      <c r="A54" s="20" t="s">
        <v>99</v>
      </c>
      <c r="B54" s="21"/>
      <c r="C54" s="31"/>
      <c r="D54" s="183">
        <f>'Rede de Distribuição'!N15+3</f>
        <v>425.04500000000002</v>
      </c>
      <c r="E54" s="815" t="s">
        <v>4</v>
      </c>
      <c r="F54" s="816"/>
      <c r="G54" s="817"/>
    </row>
    <row r="55" spans="1:11" ht="12.75" customHeight="1">
      <c r="A55" s="20" t="s">
        <v>100</v>
      </c>
      <c r="B55" s="21"/>
      <c r="C55" s="43" t="s">
        <v>101</v>
      </c>
      <c r="D55" s="53">
        <f>D54-D53</f>
        <v>30.3</v>
      </c>
      <c r="E55" s="815" t="s">
        <v>4</v>
      </c>
      <c r="F55" s="816"/>
      <c r="G55" s="817"/>
    </row>
    <row r="56" spans="1:11" ht="12.75" customHeight="1">
      <c r="A56" s="805"/>
      <c r="B56" s="806"/>
      <c r="C56" s="806"/>
      <c r="D56" s="806"/>
      <c r="E56" s="806"/>
      <c r="F56" s="806"/>
      <c r="G56" s="807"/>
    </row>
    <row r="57" spans="1:11" ht="24.95" customHeight="1">
      <c r="A57" s="799" t="s">
        <v>102</v>
      </c>
      <c r="B57" s="800"/>
      <c r="C57" s="800"/>
      <c r="D57" s="800"/>
      <c r="E57" s="800"/>
      <c r="F57" s="800"/>
      <c r="G57" s="801"/>
    </row>
    <row r="58" spans="1:11" ht="12.75" customHeight="1">
      <c r="A58" s="20" t="s">
        <v>423</v>
      </c>
      <c r="B58" s="21"/>
      <c r="C58" s="37" t="s">
        <v>103</v>
      </c>
      <c r="D58" s="53">
        <f>D55+D50+10</f>
        <v>106.88</v>
      </c>
      <c r="E58" s="815" t="s">
        <v>104</v>
      </c>
      <c r="F58" s="816"/>
      <c r="G58" s="817"/>
    </row>
    <row r="59" spans="1:11" ht="12.75" customHeight="1">
      <c r="A59" s="20" t="s">
        <v>105</v>
      </c>
      <c r="B59" s="21"/>
      <c r="C59" s="31"/>
      <c r="D59" s="21"/>
      <c r="E59" s="815"/>
      <c r="F59" s="816"/>
      <c r="G59" s="817"/>
    </row>
    <row r="60" spans="1:11" ht="12.75" customHeight="1">
      <c r="A60" s="20" t="s">
        <v>106</v>
      </c>
      <c r="B60" s="21"/>
      <c r="C60" s="31"/>
      <c r="D60" s="21"/>
      <c r="E60" s="815"/>
      <c r="F60" s="816"/>
      <c r="G60" s="817"/>
    </row>
    <row r="61" spans="1:11" ht="12.75" customHeight="1">
      <c r="A61" s="20" t="s">
        <v>252</v>
      </c>
      <c r="B61" s="21"/>
      <c r="C61" s="31"/>
      <c r="D61" s="21"/>
      <c r="E61" s="815"/>
      <c r="F61" s="816"/>
      <c r="G61" s="817"/>
    </row>
    <row r="62" spans="1:11" ht="12.75" customHeight="1">
      <c r="A62" s="829"/>
      <c r="B62" s="830"/>
      <c r="C62" s="830"/>
      <c r="D62" s="830"/>
      <c r="E62" s="830"/>
      <c r="F62" s="830"/>
      <c r="G62" s="831"/>
    </row>
    <row r="63" spans="1:11" ht="12.75" customHeight="1">
      <c r="A63" s="805"/>
      <c r="B63" s="806"/>
      <c r="C63" s="806"/>
      <c r="D63" s="806"/>
      <c r="E63" s="806"/>
      <c r="F63" s="806"/>
      <c r="G63" s="807"/>
    </row>
    <row r="64" spans="1:11" ht="24.95" customHeight="1">
      <c r="A64" s="799" t="s">
        <v>107</v>
      </c>
      <c r="B64" s="800"/>
      <c r="C64" s="800"/>
      <c r="D64" s="800"/>
      <c r="E64" s="800"/>
      <c r="F64" s="800"/>
      <c r="G64" s="801"/>
    </row>
    <row r="65" spans="1:7" ht="12.75" customHeight="1">
      <c r="A65" s="20" t="s">
        <v>108</v>
      </c>
      <c r="B65" s="21"/>
      <c r="C65" s="31" t="s">
        <v>109</v>
      </c>
      <c r="D65" s="35">
        <f>C24*D58/(75*0.5)</f>
        <v>3.33</v>
      </c>
      <c r="E65" s="802" t="s">
        <v>110</v>
      </c>
      <c r="F65" s="803"/>
      <c r="G65" s="804"/>
    </row>
    <row r="66" spans="1:7" ht="12.75" customHeight="1">
      <c r="A66" s="818" t="s">
        <v>111</v>
      </c>
      <c r="B66" s="821"/>
      <c r="C66" s="31"/>
      <c r="D66" s="21"/>
      <c r="E66" s="802"/>
      <c r="F66" s="803"/>
      <c r="G66" s="804"/>
    </row>
    <row r="67" spans="1:7" ht="12.75" customHeight="1">
      <c r="A67" s="805"/>
      <c r="B67" s="806"/>
      <c r="C67" s="806"/>
      <c r="D67" s="806"/>
      <c r="E67" s="806"/>
      <c r="F67" s="806"/>
      <c r="G67" s="807"/>
    </row>
    <row r="68" spans="1:7" ht="24.95" customHeight="1">
      <c r="A68" s="799" t="s">
        <v>112</v>
      </c>
      <c r="B68" s="800"/>
      <c r="C68" s="800"/>
      <c r="D68" s="800"/>
      <c r="E68" s="800"/>
      <c r="F68" s="800"/>
      <c r="G68" s="801"/>
    </row>
    <row r="69" spans="1:7" ht="12.75" customHeight="1">
      <c r="A69" s="28" t="s">
        <v>113</v>
      </c>
      <c r="B69" s="21"/>
      <c r="C69" s="31" t="s">
        <v>114</v>
      </c>
      <c r="D69" s="35">
        <f>D65*1.5</f>
        <v>5</v>
      </c>
      <c r="E69" s="802" t="s">
        <v>110</v>
      </c>
      <c r="F69" s="803"/>
      <c r="G69" s="804"/>
    </row>
    <row r="70" spans="1:7" ht="12.75" customHeight="1">
      <c r="A70" s="818" t="s">
        <v>115</v>
      </c>
      <c r="B70" s="821"/>
      <c r="C70" s="31"/>
      <c r="D70" s="21"/>
      <c r="E70" s="802"/>
      <c r="F70" s="803"/>
      <c r="G70" s="804"/>
    </row>
    <row r="71" spans="1:7" ht="12.75" customHeight="1">
      <c r="A71" s="805"/>
      <c r="B71" s="806"/>
      <c r="C71" s="806"/>
      <c r="D71" s="806"/>
      <c r="E71" s="806"/>
      <c r="F71" s="806"/>
      <c r="G71" s="807"/>
    </row>
    <row r="72" spans="1:7" ht="24.95" customHeight="1">
      <c r="A72" s="799" t="s">
        <v>116</v>
      </c>
      <c r="B72" s="800"/>
      <c r="C72" s="800"/>
      <c r="D72" s="800"/>
      <c r="E72" s="800"/>
      <c r="F72" s="800"/>
      <c r="G72" s="801"/>
    </row>
    <row r="73" spans="1:7" ht="12.75" customHeight="1">
      <c r="A73" s="20" t="s">
        <v>117</v>
      </c>
      <c r="B73" s="21"/>
      <c r="C73" s="43" t="s">
        <v>118</v>
      </c>
      <c r="D73" s="35">
        <f>9900/(48.3+18*D36/D37)^0.5</f>
        <v>467.57</v>
      </c>
      <c r="E73" s="822" t="s">
        <v>82</v>
      </c>
      <c r="F73" s="819"/>
      <c r="G73" s="820"/>
    </row>
    <row r="74" spans="1:7" ht="16.5" customHeight="1">
      <c r="A74" s="20" t="s">
        <v>119</v>
      </c>
      <c r="B74" s="21"/>
      <c r="C74" s="31"/>
      <c r="D74" s="21"/>
      <c r="E74" s="822"/>
      <c r="F74" s="819"/>
      <c r="G74" s="820"/>
    </row>
    <row r="75" spans="1:7" ht="12.75" customHeight="1">
      <c r="A75" s="805"/>
      <c r="B75" s="806"/>
      <c r="C75" s="806"/>
      <c r="D75" s="806"/>
      <c r="E75" s="806"/>
      <c r="F75" s="806"/>
      <c r="G75" s="807"/>
    </row>
    <row r="76" spans="1:7" ht="12.75" customHeight="1">
      <c r="A76" s="20" t="s">
        <v>120</v>
      </c>
      <c r="B76" s="21"/>
      <c r="C76" s="43" t="s">
        <v>121</v>
      </c>
      <c r="D76" s="54">
        <f>D73*D42/9.81</f>
        <v>23.76</v>
      </c>
      <c r="E76" s="822" t="s">
        <v>4</v>
      </c>
      <c r="F76" s="819"/>
      <c r="G76" s="820"/>
    </row>
    <row r="77" spans="1:7" ht="12.75" customHeight="1">
      <c r="A77" s="20" t="s">
        <v>122</v>
      </c>
      <c r="B77" s="21"/>
      <c r="C77" s="31"/>
      <c r="D77" s="21"/>
      <c r="E77" s="822"/>
      <c r="F77" s="819"/>
      <c r="G77" s="820"/>
    </row>
    <row r="78" spans="1:7" ht="12.75" customHeight="1">
      <c r="A78" s="34" t="s">
        <v>123</v>
      </c>
      <c r="B78" s="21"/>
      <c r="C78" s="43" t="s">
        <v>124</v>
      </c>
      <c r="D78" s="55"/>
      <c r="E78" s="56">
        <f>D76+D55</f>
        <v>54.06</v>
      </c>
      <c r="F78" s="802" t="s">
        <v>104</v>
      </c>
      <c r="G78" s="804"/>
    </row>
    <row r="79" spans="1:7" ht="12.75" customHeight="1">
      <c r="A79" s="805"/>
      <c r="B79" s="806"/>
      <c r="C79" s="806"/>
      <c r="D79" s="806"/>
      <c r="E79" s="806"/>
      <c r="F79" s="806"/>
      <c r="G79" s="807"/>
    </row>
    <row r="80" spans="1:7" ht="12.75" customHeight="1">
      <c r="A80" s="818" t="s">
        <v>125</v>
      </c>
      <c r="B80" s="819"/>
      <c r="C80" s="819"/>
      <c r="D80" s="819"/>
      <c r="E80" s="819"/>
      <c r="F80" s="819"/>
      <c r="G80" s="820"/>
    </row>
    <row r="81" spans="1:7" ht="12.75" customHeight="1">
      <c r="A81" s="805"/>
      <c r="B81" s="806"/>
      <c r="C81" s="806"/>
      <c r="D81" s="806"/>
      <c r="E81" s="806"/>
      <c r="F81" s="806"/>
      <c r="G81" s="807"/>
    </row>
    <row r="82" spans="1:7" ht="12.75" customHeight="1">
      <c r="A82" s="34" t="s">
        <v>126</v>
      </c>
      <c r="B82" s="21"/>
      <c r="C82" s="43" t="s">
        <v>127</v>
      </c>
      <c r="D82" s="184">
        <f>D55-D76</f>
        <v>6.54</v>
      </c>
      <c r="E82" s="802" t="s">
        <v>104</v>
      </c>
      <c r="F82" s="803"/>
      <c r="G82" s="804"/>
    </row>
    <row r="83" spans="1:7" ht="12.75" customHeight="1">
      <c r="A83" s="20" t="s">
        <v>128</v>
      </c>
      <c r="B83" s="21"/>
      <c r="C83" s="31"/>
      <c r="D83" s="21"/>
      <c r="E83" s="814"/>
      <c r="F83" s="806"/>
      <c r="G83" s="807"/>
    </row>
    <row r="84" spans="1:7" ht="12.75" customHeight="1">
      <c r="A84" s="805"/>
      <c r="B84" s="806"/>
      <c r="C84" s="806"/>
      <c r="D84" s="806"/>
      <c r="E84" s="806"/>
      <c r="F84" s="806"/>
      <c r="G84" s="807"/>
    </row>
    <row r="85" spans="1:7" ht="30" customHeight="1">
      <c r="A85" s="20"/>
      <c r="B85" s="21"/>
      <c r="C85" s="22" t="s">
        <v>129</v>
      </c>
      <c r="D85" s="23">
        <f>E78+D53</f>
        <v>448.81</v>
      </c>
      <c r="E85" s="808" t="s">
        <v>4</v>
      </c>
      <c r="F85" s="809"/>
      <c r="G85" s="810"/>
    </row>
    <row r="86" spans="1:7" ht="30" customHeight="1" thickBot="1">
      <c r="A86" s="24"/>
      <c r="B86" s="25"/>
      <c r="C86" s="26" t="s">
        <v>130</v>
      </c>
      <c r="D86" s="27">
        <f>D82+D53</f>
        <v>401.29</v>
      </c>
      <c r="E86" s="811" t="s">
        <v>4</v>
      </c>
      <c r="F86" s="812"/>
      <c r="G86" s="813"/>
    </row>
    <row r="87" spans="1:7" ht="12.75" customHeight="1">
      <c r="D87" s="58"/>
    </row>
  </sheetData>
  <mergeCells count="87">
    <mergeCell ref="A1:G7"/>
    <mergeCell ref="A8:G8"/>
    <mergeCell ref="A9:G9"/>
    <mergeCell ref="A10:G10"/>
    <mergeCell ref="A11:G11"/>
    <mergeCell ref="D12:G12"/>
    <mergeCell ref="D13:G13"/>
    <mergeCell ref="D14:G14"/>
    <mergeCell ref="D15:G15"/>
    <mergeCell ref="A16:G16"/>
    <mergeCell ref="E17:G17"/>
    <mergeCell ref="A18:G18"/>
    <mergeCell ref="A19:G19"/>
    <mergeCell ref="E20:G20"/>
    <mergeCell ref="E21:G21"/>
    <mergeCell ref="A22:G22"/>
    <mergeCell ref="A23:G23"/>
    <mergeCell ref="A75:G75"/>
    <mergeCell ref="A24:B26"/>
    <mergeCell ref="D24:G24"/>
    <mergeCell ref="D25:G25"/>
    <mergeCell ref="D26:G26"/>
    <mergeCell ref="A27:G27"/>
    <mergeCell ref="E74:G74"/>
    <mergeCell ref="A28:G28"/>
    <mergeCell ref="A29:G29"/>
    <mergeCell ref="A30:G30"/>
    <mergeCell ref="E31:G31"/>
    <mergeCell ref="E32:G32"/>
    <mergeCell ref="A31:B32"/>
    <mergeCell ref="A33:G33"/>
    <mergeCell ref="C34:F34"/>
    <mergeCell ref="E35:F35"/>
    <mergeCell ref="E36:F36"/>
    <mergeCell ref="E37:F37"/>
    <mergeCell ref="E39:F39"/>
    <mergeCell ref="A38:F38"/>
    <mergeCell ref="A40:F40"/>
    <mergeCell ref="A41:G41"/>
    <mergeCell ref="A42:B42"/>
    <mergeCell ref="E42:F42"/>
    <mergeCell ref="A43:B43"/>
    <mergeCell ref="E43:F43"/>
    <mergeCell ref="A44:F44"/>
    <mergeCell ref="E45:F45"/>
    <mergeCell ref="E46:F46"/>
    <mergeCell ref="E49:F49"/>
    <mergeCell ref="A47:F47"/>
    <mergeCell ref="A48:F48"/>
    <mergeCell ref="E65:G65"/>
    <mergeCell ref="E50:F50"/>
    <mergeCell ref="A52:G52"/>
    <mergeCell ref="A51:G51"/>
    <mergeCell ref="E53:G53"/>
    <mergeCell ref="E54:G54"/>
    <mergeCell ref="A50:B50"/>
    <mergeCell ref="E60:G60"/>
    <mergeCell ref="E61:G61"/>
    <mergeCell ref="A62:G62"/>
    <mergeCell ref="A63:G63"/>
    <mergeCell ref="A64:G64"/>
    <mergeCell ref="E55:G55"/>
    <mergeCell ref="A56:G56"/>
    <mergeCell ref="A57:G57"/>
    <mergeCell ref="E58:G58"/>
    <mergeCell ref="E59:G59"/>
    <mergeCell ref="F78:G78"/>
    <mergeCell ref="A79:G79"/>
    <mergeCell ref="A80:G80"/>
    <mergeCell ref="A81:G81"/>
    <mergeCell ref="E66:G66"/>
    <mergeCell ref="A67:G67"/>
    <mergeCell ref="A68:G68"/>
    <mergeCell ref="E69:G69"/>
    <mergeCell ref="E70:G70"/>
    <mergeCell ref="A71:G71"/>
    <mergeCell ref="A66:B66"/>
    <mergeCell ref="A70:B70"/>
    <mergeCell ref="E76:G76"/>
    <mergeCell ref="E77:G77"/>
    <mergeCell ref="E73:G73"/>
    <mergeCell ref="A72:G72"/>
    <mergeCell ref="E82:G82"/>
    <mergeCell ref="A84:G84"/>
    <mergeCell ref="E85:G85"/>
    <mergeCell ref="E86:G86"/>
    <mergeCell ref="E83:G83"/>
  </mergeCells>
  <phoneticPr fontId="9" type="noConversion"/>
  <pageMargins left="0.51181102362204722" right="0.51181102362204722" top="0.78740157480314965" bottom="0.78740157480314965" header="0.31496062992125984" footer="0.31496062992125984"/>
  <pageSetup paperSize="9" scale="77" orientation="portrait" r:id="rId1"/>
  <headerFooter>
    <oddHeader>&amp;A</oddHeader>
    <oddFooter>Página &amp;P de &amp;N</oddFooter>
  </headerFooter>
  <rowBreaks count="1" manualBreakCount="1">
    <brk id="56" max="6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>
    <tabColor rgb="FF0070C0"/>
  </sheetPr>
  <dimension ref="A1:Q89"/>
  <sheetViews>
    <sheetView view="pageBreakPreview" zoomScaleNormal="100" zoomScaleSheetLayoutView="100" workbookViewId="0">
      <selection activeCell="D58" sqref="D58"/>
    </sheetView>
  </sheetViews>
  <sheetFormatPr defaultRowHeight="15"/>
  <cols>
    <col min="1" max="2" width="12.28515625" style="61" customWidth="1"/>
    <col min="3" max="3" width="10" style="61" customWidth="1"/>
    <col min="4" max="4" width="9" style="61" bestFit="1" customWidth="1"/>
    <col min="5" max="5" width="7.42578125" style="61" bestFit="1" customWidth="1"/>
    <col min="6" max="6" width="10.140625" style="61" bestFit="1" customWidth="1"/>
    <col min="7" max="7" width="8" style="61" customWidth="1"/>
    <col min="8" max="9" width="7.7109375" style="61" bestFit="1" customWidth="1"/>
    <col min="10" max="10" width="7.28515625" style="61" customWidth="1"/>
    <col min="11" max="11" width="9.5703125" style="61" bestFit="1" customWidth="1"/>
    <col min="12" max="12" width="7.42578125" style="61" bestFit="1" customWidth="1"/>
    <col min="13" max="13" width="10.85546875" style="61" bestFit="1" customWidth="1"/>
    <col min="14" max="14" width="8.7109375" style="61" bestFit="1" customWidth="1"/>
    <col min="15" max="15" width="7.5703125" style="61" bestFit="1" customWidth="1"/>
    <col min="16" max="16" width="9.42578125" style="61" customWidth="1"/>
    <col min="17" max="17" width="9.42578125" style="61" bestFit="1" customWidth="1"/>
    <col min="18" max="18" width="9.140625" style="61"/>
    <col min="19" max="19" width="9.5703125" style="61" bestFit="1" customWidth="1"/>
    <col min="20" max="16384" width="9.140625" style="61"/>
  </cols>
  <sheetData>
    <row r="1" spans="1:17" ht="15" customHeight="1">
      <c r="A1" s="879"/>
      <c r="B1" s="880"/>
      <c r="C1" s="880"/>
      <c r="D1" s="883" t="s">
        <v>339</v>
      </c>
      <c r="E1" s="883"/>
      <c r="F1" s="883"/>
      <c r="G1" s="883"/>
      <c r="H1" s="883"/>
      <c r="I1" s="883"/>
      <c r="J1" s="883"/>
      <c r="K1" s="883"/>
      <c r="L1" s="883"/>
      <c r="M1" s="883"/>
      <c r="N1" s="883"/>
      <c r="O1" s="883"/>
      <c r="P1" s="883"/>
      <c r="Q1" s="884"/>
    </row>
    <row r="2" spans="1:17" ht="48.75" customHeight="1">
      <c r="A2" s="881"/>
      <c r="B2" s="882"/>
      <c r="C2" s="882"/>
      <c r="D2" s="885"/>
      <c r="E2" s="885"/>
      <c r="F2" s="885"/>
      <c r="G2" s="885"/>
      <c r="H2" s="885"/>
      <c r="I2" s="885"/>
      <c r="J2" s="885"/>
      <c r="K2" s="885"/>
      <c r="L2" s="885"/>
      <c r="M2" s="885"/>
      <c r="N2" s="885"/>
      <c r="O2" s="885"/>
      <c r="P2" s="885"/>
      <c r="Q2" s="886"/>
    </row>
    <row r="3" spans="1:17">
      <c r="A3" s="890" t="s">
        <v>512</v>
      </c>
      <c r="B3" s="890"/>
      <c r="C3" s="890"/>
      <c r="D3" s="890"/>
      <c r="E3" s="890"/>
      <c r="F3" s="890"/>
      <c r="G3" s="890"/>
      <c r="H3" s="890"/>
      <c r="I3" s="890"/>
      <c r="J3" s="890"/>
      <c r="K3" s="890"/>
      <c r="L3" s="890"/>
      <c r="M3" s="890"/>
      <c r="N3" s="890"/>
      <c r="O3" s="890"/>
      <c r="P3" s="890"/>
      <c r="Q3" s="890"/>
    </row>
    <row r="4" spans="1:17">
      <c r="A4" s="871" t="s">
        <v>39</v>
      </c>
      <c r="B4" s="872"/>
      <c r="C4" s="873"/>
      <c r="D4" s="290">
        <v>120</v>
      </c>
      <c r="E4" s="871" t="s">
        <v>40</v>
      </c>
      <c r="F4" s="873"/>
      <c r="G4" s="291"/>
      <c r="H4" s="868" t="s">
        <v>131</v>
      </c>
      <c r="I4" s="869"/>
      <c r="J4" s="869"/>
      <c r="K4" s="869"/>
      <c r="L4" s="870"/>
      <c r="M4" s="292">
        <f>ROUNDUP((D5*D6*(1+D9/100)^D10),0)</f>
        <v>350</v>
      </c>
      <c r="N4" s="293" t="s">
        <v>132</v>
      </c>
      <c r="O4" s="891"/>
      <c r="P4" s="891"/>
      <c r="Q4" s="891"/>
    </row>
    <row r="5" spans="1:17">
      <c r="A5" s="871" t="s">
        <v>133</v>
      </c>
      <c r="B5" s="872"/>
      <c r="C5" s="873"/>
      <c r="D5" s="290">
        <v>47</v>
      </c>
      <c r="E5" s="871"/>
      <c r="F5" s="873"/>
      <c r="G5" s="291"/>
      <c r="H5" s="868" t="s">
        <v>134</v>
      </c>
      <c r="I5" s="869"/>
      <c r="J5" s="869"/>
      <c r="K5" s="869"/>
      <c r="L5" s="870"/>
      <c r="M5" s="292">
        <f>(M4*D4*D7*D8)/86400</f>
        <v>0.875</v>
      </c>
      <c r="N5" s="293" t="s">
        <v>55</v>
      </c>
      <c r="O5" s="891"/>
      <c r="P5" s="891"/>
      <c r="Q5" s="891"/>
    </row>
    <row r="6" spans="1:17">
      <c r="A6" s="871" t="s">
        <v>135</v>
      </c>
      <c r="B6" s="872"/>
      <c r="C6" s="873"/>
      <c r="D6" s="290">
        <v>5</v>
      </c>
      <c r="E6" s="871"/>
      <c r="F6" s="873"/>
      <c r="G6" s="291"/>
      <c r="H6" s="868" t="s">
        <v>136</v>
      </c>
      <c r="I6" s="869"/>
      <c r="J6" s="869"/>
      <c r="K6" s="869"/>
      <c r="L6" s="870"/>
      <c r="M6" s="292">
        <f>B46</f>
        <v>11362.19</v>
      </c>
      <c r="N6" s="293" t="s">
        <v>4</v>
      </c>
      <c r="O6" s="291" t="s">
        <v>338</v>
      </c>
      <c r="P6" s="291">
        <v>0.08</v>
      </c>
      <c r="Q6" s="293" t="s">
        <v>62</v>
      </c>
    </row>
    <row r="7" spans="1:17">
      <c r="A7" s="293" t="s">
        <v>43</v>
      </c>
      <c r="B7" s="294"/>
      <c r="C7" s="291"/>
      <c r="D7" s="295">
        <v>1.2</v>
      </c>
      <c r="E7" s="871"/>
      <c r="F7" s="873"/>
      <c r="G7" s="291"/>
      <c r="H7" s="868" t="s">
        <v>137</v>
      </c>
      <c r="I7" s="869"/>
      <c r="J7" s="869"/>
      <c r="K7" s="869"/>
      <c r="L7" s="870"/>
      <c r="M7" s="296">
        <f>M5/M6</f>
        <v>7.7000000000000001E-5</v>
      </c>
      <c r="N7" s="293" t="s">
        <v>138</v>
      </c>
      <c r="O7" s="292" t="s">
        <v>139</v>
      </c>
      <c r="P7" s="291">
        <f>M5*3.6</f>
        <v>3.15</v>
      </c>
      <c r="Q7" s="293" t="s">
        <v>57</v>
      </c>
    </row>
    <row r="8" spans="1:17">
      <c r="A8" s="293" t="s">
        <v>140</v>
      </c>
      <c r="B8" s="294"/>
      <c r="C8" s="291"/>
      <c r="D8" s="295">
        <v>1.5</v>
      </c>
      <c r="E8" s="871"/>
      <c r="F8" s="873"/>
      <c r="G8" s="291"/>
      <c r="H8" s="887" t="s">
        <v>141</v>
      </c>
      <c r="I8" s="888"/>
      <c r="J8" s="888"/>
      <c r="K8" s="888"/>
      <c r="L8" s="889"/>
      <c r="M8" s="292">
        <f>(D4*D6)/(86400)</f>
        <v>7.0000000000000001E-3</v>
      </c>
      <c r="N8" s="297" t="s">
        <v>55</v>
      </c>
      <c r="O8" s="292" t="s">
        <v>139</v>
      </c>
      <c r="P8" s="298">
        <f>P7/3600</f>
        <v>8.8000000000000003E-4</v>
      </c>
      <c r="Q8" s="293" t="s">
        <v>56</v>
      </c>
    </row>
    <row r="9" spans="1:17">
      <c r="A9" s="871" t="s">
        <v>142</v>
      </c>
      <c r="B9" s="872"/>
      <c r="C9" s="873"/>
      <c r="D9" s="290">
        <v>2</v>
      </c>
      <c r="E9" s="871" t="s">
        <v>143</v>
      </c>
      <c r="F9" s="873"/>
      <c r="G9" s="291"/>
      <c r="H9" s="868" t="s">
        <v>417</v>
      </c>
      <c r="I9" s="869"/>
      <c r="J9" s="869"/>
      <c r="K9" s="869"/>
      <c r="L9" s="870"/>
      <c r="M9" s="290">
        <v>6.5</v>
      </c>
      <c r="N9" s="293" t="s">
        <v>4</v>
      </c>
      <c r="O9" s="291"/>
      <c r="P9" s="291"/>
      <c r="Q9" s="291"/>
    </row>
    <row r="10" spans="1:17">
      <c r="A10" s="871" t="s">
        <v>144</v>
      </c>
      <c r="B10" s="872"/>
      <c r="C10" s="873"/>
      <c r="D10" s="290">
        <v>20</v>
      </c>
      <c r="E10" s="871" t="s">
        <v>145</v>
      </c>
      <c r="F10" s="873"/>
      <c r="G10" s="291"/>
      <c r="H10" s="868" t="s">
        <v>146</v>
      </c>
      <c r="I10" s="869"/>
      <c r="J10" s="869"/>
      <c r="K10" s="869"/>
      <c r="L10" s="870"/>
      <c r="M10" s="290">
        <v>12</v>
      </c>
      <c r="N10" s="293" t="s">
        <v>19</v>
      </c>
      <c r="O10" s="291"/>
      <c r="P10" s="291"/>
      <c r="Q10" s="291"/>
    </row>
    <row r="11" spans="1:17">
      <c r="A11" s="871" t="s">
        <v>13</v>
      </c>
      <c r="B11" s="872"/>
      <c r="C11" s="873"/>
      <c r="D11" s="299">
        <f>7337.54+19</f>
        <v>7356.54</v>
      </c>
      <c r="E11" s="871" t="s">
        <v>4</v>
      </c>
      <c r="F11" s="873"/>
      <c r="G11" s="291"/>
      <c r="H11" s="287"/>
      <c r="I11" s="288"/>
      <c r="J11" s="288"/>
      <c r="K11" s="288"/>
      <c r="L11" s="289"/>
      <c r="M11" s="295"/>
      <c r="N11" s="293"/>
      <c r="O11" s="291"/>
      <c r="P11" s="291"/>
      <c r="Q11" s="291"/>
    </row>
    <row r="12" spans="1:17">
      <c r="A12" s="300" t="s">
        <v>147</v>
      </c>
      <c r="B12" s="291" t="s">
        <v>148</v>
      </c>
      <c r="C12" s="877" t="s">
        <v>149</v>
      </c>
      <c r="D12" s="877"/>
      <c r="E12" s="877"/>
      <c r="F12" s="877"/>
      <c r="G12" s="301" t="s">
        <v>150</v>
      </c>
      <c r="H12" s="291" t="s">
        <v>151</v>
      </c>
      <c r="I12" s="291" t="s">
        <v>63</v>
      </c>
      <c r="J12" s="291" t="s">
        <v>152</v>
      </c>
      <c r="K12" s="877" t="s">
        <v>153</v>
      </c>
      <c r="L12" s="877"/>
      <c r="M12" s="877"/>
      <c r="N12" s="877" t="s">
        <v>154</v>
      </c>
      <c r="O12" s="877"/>
      <c r="P12" s="291" t="s">
        <v>155</v>
      </c>
      <c r="Q12" s="302" t="s">
        <v>155</v>
      </c>
    </row>
    <row r="13" spans="1:17">
      <c r="A13" s="300"/>
      <c r="B13" s="291" t="s">
        <v>156</v>
      </c>
      <c r="C13" s="877" t="s">
        <v>157</v>
      </c>
      <c r="D13" s="877"/>
      <c r="E13" s="877"/>
      <c r="F13" s="877"/>
      <c r="G13" s="300" t="s">
        <v>156</v>
      </c>
      <c r="H13" s="291" t="s">
        <v>158</v>
      </c>
      <c r="I13" s="291" t="s">
        <v>158</v>
      </c>
      <c r="J13" s="291" t="s">
        <v>159</v>
      </c>
      <c r="K13" s="303" t="s">
        <v>160</v>
      </c>
      <c r="L13" s="291" t="s">
        <v>161</v>
      </c>
      <c r="M13" s="303" t="s">
        <v>162</v>
      </c>
      <c r="N13" s="303" t="s">
        <v>163</v>
      </c>
      <c r="O13" s="303" t="s">
        <v>164</v>
      </c>
      <c r="P13" s="303" t="s">
        <v>163</v>
      </c>
      <c r="Q13" s="291" t="s">
        <v>164</v>
      </c>
    </row>
    <row r="14" spans="1:17">
      <c r="A14" s="300"/>
      <c r="B14" s="291"/>
      <c r="C14" s="291" t="s">
        <v>163</v>
      </c>
      <c r="D14" s="291" t="s">
        <v>10</v>
      </c>
      <c r="E14" s="291" t="s">
        <v>164</v>
      </c>
      <c r="F14" s="291" t="s">
        <v>15</v>
      </c>
      <c r="G14" s="300"/>
      <c r="H14" s="291"/>
      <c r="I14" s="291"/>
      <c r="J14" s="291"/>
      <c r="K14" s="291" t="s">
        <v>165</v>
      </c>
      <c r="L14" s="291" t="s">
        <v>156</v>
      </c>
      <c r="M14" s="291" t="s">
        <v>156</v>
      </c>
      <c r="N14" s="291" t="s">
        <v>156</v>
      </c>
      <c r="O14" s="291" t="s">
        <v>156</v>
      </c>
      <c r="P14" s="291" t="s">
        <v>166</v>
      </c>
      <c r="Q14" s="291" t="s">
        <v>166</v>
      </c>
    </row>
    <row r="15" spans="1:17" ht="15.75" customHeight="1">
      <c r="A15" s="276" t="s">
        <v>490</v>
      </c>
      <c r="B15" s="278">
        <v>15.67</v>
      </c>
      <c r="C15" s="281">
        <f t="shared" ref="C15:C45" si="0">D15+E15</f>
        <v>0.875</v>
      </c>
      <c r="D15" s="281">
        <f>$M$7*B15</f>
        <v>1E-3</v>
      </c>
      <c r="E15" s="281">
        <f>SUM(B16:B45)*M7</f>
        <v>0.874</v>
      </c>
      <c r="F15" s="298">
        <f>(E15+C15)/2</f>
        <v>0.87450000000000006</v>
      </c>
      <c r="G15" s="300"/>
      <c r="H15" s="275" t="str">
        <f>IF(F15&gt;14.57,"200",IF(F15&gt;5.8875,"150", IF(F15&gt;3.1514,"100",IF(F15&gt;1.323,"75","50"))))</f>
        <v>50</v>
      </c>
      <c r="I15" s="291"/>
      <c r="J15" s="291">
        <f>(C15/1000)/(0.25*PI()*(H15/1000)^2)</f>
        <v>0.44600000000000001</v>
      </c>
      <c r="K15" s="304" t="e">
        <f ca="1">perda(F15,H15,$P$6)</f>
        <v>#NAME?</v>
      </c>
      <c r="L15" s="284"/>
      <c r="M15" s="298" t="e">
        <f ca="1">K15*B15+L15</f>
        <v>#NAME?</v>
      </c>
      <c r="N15" s="284">
        <v>422.04500000000002</v>
      </c>
      <c r="O15" s="285">
        <v>422.04500000000002</v>
      </c>
      <c r="P15" s="281">
        <f>M9</f>
        <v>6.5</v>
      </c>
      <c r="Q15" s="286" t="e">
        <f t="shared" ref="Q15:Q45" ca="1" si="1">P15+N15-O15-M15</f>
        <v>#NAME?</v>
      </c>
    </row>
    <row r="16" spans="1:17" ht="15.75" customHeight="1">
      <c r="A16" s="277" t="s">
        <v>9</v>
      </c>
      <c r="B16" s="278">
        <v>402.79</v>
      </c>
      <c r="C16" s="281">
        <f t="shared" si="0"/>
        <v>6.8000000000000005E-2</v>
      </c>
      <c r="D16" s="281">
        <f t="shared" ref="D16:D45" si="2">$M$7*B16</f>
        <v>3.1E-2</v>
      </c>
      <c r="E16" s="281">
        <f>SUM(B17)*M7</f>
        <v>3.6999999999999998E-2</v>
      </c>
      <c r="F16" s="298">
        <f>(E16+C16)/2</f>
        <v>5.2499999999999998E-2</v>
      </c>
      <c r="G16" s="300"/>
      <c r="H16" s="275" t="str">
        <f>IF(F16&gt;14.57,"200",IF(F16&gt;5.8875,"150", IF(F16&gt;3.1514,"100",IF(F16&gt;1.323,"75","50"))))</f>
        <v>50</v>
      </c>
      <c r="I16" s="291"/>
      <c r="J16" s="291">
        <f>(C16/1000)/(0.25*PI()*(H16/1000)^2)</f>
        <v>3.5000000000000003E-2</v>
      </c>
      <c r="K16" s="304" t="e">
        <f ca="1">perda(F16,H16,$P$6)</f>
        <v>#NAME?</v>
      </c>
      <c r="L16" s="284"/>
      <c r="M16" s="298" t="e">
        <f ca="1">K16*B16+L16</f>
        <v>#NAME?</v>
      </c>
      <c r="N16" s="285">
        <f>O15</f>
        <v>422.04500000000002</v>
      </c>
      <c r="O16" s="285">
        <v>415.346</v>
      </c>
      <c r="P16" s="306" t="e">
        <f ca="1">Q15</f>
        <v>#NAME?</v>
      </c>
      <c r="Q16" s="286" t="e">
        <f t="shared" ca="1" si="1"/>
        <v>#NAME?</v>
      </c>
    </row>
    <row r="17" spans="1:17" ht="15.75" customHeight="1">
      <c r="A17" s="277" t="s">
        <v>249</v>
      </c>
      <c r="B17" s="278">
        <v>474.37</v>
      </c>
      <c r="C17" s="281">
        <f t="shared" si="0"/>
        <v>3.6999999999999998E-2</v>
      </c>
      <c r="D17" s="281">
        <f t="shared" si="2"/>
        <v>3.6999999999999998E-2</v>
      </c>
      <c r="E17" s="281">
        <v>0</v>
      </c>
      <c r="F17" s="298">
        <f>(E17+C17)/2</f>
        <v>1.8499999999999999E-2</v>
      </c>
      <c r="G17" s="300"/>
      <c r="H17" s="275" t="str">
        <f>IF(F17&gt;14.57,"200",IF(F17&gt;5.8875,"150", IF(F17&gt;3.1514,"100",IF(F17&gt;1.323,"75","50"))))</f>
        <v>50</v>
      </c>
      <c r="I17" s="291"/>
      <c r="J17" s="291">
        <f>(C17/1000)/(0.25*PI()*(H17/1000)^2)</f>
        <v>1.9E-2</v>
      </c>
      <c r="K17" s="304" t="e">
        <f ca="1">perda(F17,H17,$P$6)</f>
        <v>#NAME?</v>
      </c>
      <c r="L17" s="284"/>
      <c r="M17" s="298" t="e">
        <f ca="1">K17*B17+L17</f>
        <v>#NAME?</v>
      </c>
      <c r="N17" s="285">
        <f>O16</f>
        <v>415.346</v>
      </c>
      <c r="O17" s="285">
        <v>416.04700000000003</v>
      </c>
      <c r="P17" s="306" t="e">
        <f ca="1">Q16</f>
        <v>#NAME?</v>
      </c>
      <c r="Q17" s="286" t="e">
        <f t="shared" ca="1" si="1"/>
        <v>#NAME?</v>
      </c>
    </row>
    <row r="18" spans="1:17" ht="15.75" customHeight="1">
      <c r="A18" s="277" t="s">
        <v>511</v>
      </c>
      <c r="B18" s="278">
        <v>32.28</v>
      </c>
      <c r="C18" s="281">
        <f t="shared" si="0"/>
        <v>0.80600000000000005</v>
      </c>
      <c r="D18" s="281">
        <f t="shared" si="2"/>
        <v>2E-3</v>
      </c>
      <c r="E18" s="281">
        <f>SUM(B19:B45)*M7</f>
        <v>0.80400000000000005</v>
      </c>
      <c r="F18" s="298">
        <f>(E18+C18)/2</f>
        <v>0.80500000000000005</v>
      </c>
      <c r="G18" s="300"/>
      <c r="H18" s="275" t="str">
        <f>IF(F18&gt;14.57,"200",IF(F18&gt;5.8875,"150", IF(F18&gt;3.1514,"100",IF(F18&gt;1.323,"75","50"))))</f>
        <v>50</v>
      </c>
      <c r="I18" s="291"/>
      <c r="J18" s="291">
        <f>(C18/1000)/(0.25*PI()*(H18/1000)^2)</f>
        <v>0.41</v>
      </c>
      <c r="K18" s="304" t="e">
        <f ca="1">perda(F18,H18,$P$6)</f>
        <v>#NAME?</v>
      </c>
      <c r="L18" s="284"/>
      <c r="M18" s="298" t="e">
        <f ca="1">K18*B18+L18</f>
        <v>#NAME?</v>
      </c>
      <c r="N18" s="285">
        <f>O15</f>
        <v>422.04500000000002</v>
      </c>
      <c r="O18" s="285">
        <v>422.56700000000001</v>
      </c>
      <c r="P18" s="306" t="e">
        <f ca="1">Q15</f>
        <v>#NAME?</v>
      </c>
      <c r="Q18" s="286" t="e">
        <f t="shared" ca="1" si="1"/>
        <v>#NAME?</v>
      </c>
    </row>
    <row r="19" spans="1:17" ht="15.75" customHeight="1">
      <c r="A19" s="277" t="s">
        <v>492</v>
      </c>
      <c r="B19" s="278">
        <v>1843.75</v>
      </c>
      <c r="C19" s="281">
        <f t="shared" si="0"/>
        <v>0.80400000000000005</v>
      </c>
      <c r="D19" s="281">
        <f t="shared" si="2"/>
        <v>0.14199999999999999</v>
      </c>
      <c r="E19" s="281">
        <f>SUM(B20:B45)*M7</f>
        <v>0.66200000000000003</v>
      </c>
      <c r="F19" s="298">
        <f>(E19+C19)/2</f>
        <v>0.73299999999999998</v>
      </c>
      <c r="G19" s="300"/>
      <c r="H19" s="275" t="str">
        <f>IF(F19&gt;14.57,"200",IF(F19&gt;5.8875,"150", IF(F19&gt;3.1514,"100",IF(F19&gt;1.323,"75","50"))))</f>
        <v>50</v>
      </c>
      <c r="I19" s="291"/>
      <c r="J19" s="291">
        <f>(C19/1000)/(0.25*PI()*(H19/1000)^2)</f>
        <v>0.40899999999999997</v>
      </c>
      <c r="K19" s="304" t="e">
        <f ca="1">perda(F19,H19,$P$6)</f>
        <v>#NAME?</v>
      </c>
      <c r="L19" s="284"/>
      <c r="M19" s="298" t="e">
        <f ca="1">K19*B19+L19</f>
        <v>#NAME?</v>
      </c>
      <c r="N19" s="285">
        <f>O18</f>
        <v>422.56700000000001</v>
      </c>
      <c r="O19" s="285">
        <v>416.161</v>
      </c>
      <c r="P19" s="306" t="e">
        <f ca="1">Q18</f>
        <v>#NAME?</v>
      </c>
      <c r="Q19" s="286" t="e">
        <f t="shared" ca="1" si="1"/>
        <v>#NAME?</v>
      </c>
    </row>
    <row r="20" spans="1:17" ht="15.75" customHeight="1">
      <c r="A20" s="277" t="s">
        <v>250</v>
      </c>
      <c r="B20" s="278">
        <v>40.450000000000003</v>
      </c>
      <c r="C20" s="281">
        <f t="shared" si="0"/>
        <v>1.2E-2</v>
      </c>
      <c r="D20" s="281">
        <f t="shared" si="2"/>
        <v>3.0000000000000001E-3</v>
      </c>
      <c r="E20" s="281">
        <f>SUM(B21:B22)*M7</f>
        <v>8.9999999999999993E-3</v>
      </c>
      <c r="F20" s="298">
        <f t="shared" ref="F20:F45" si="3">(E20+C20)/2</f>
        <v>1.0500000000000001E-2</v>
      </c>
      <c r="G20" s="300"/>
      <c r="H20" s="275" t="str">
        <f t="shared" ref="H20:H45" si="4">IF(F20&gt;14.57,"200",IF(F20&gt;5.8875,"150", IF(F20&gt;3.1514,"100",IF(F20&gt;1.323,"75","50"))))</f>
        <v>50</v>
      </c>
      <c r="I20" s="291"/>
      <c r="J20" s="291">
        <f t="shared" ref="J20:J38" si="5">(C20/1000)/(0.25*PI()*(H20/1000)^2)</f>
        <v>6.0000000000000001E-3</v>
      </c>
      <c r="K20" s="304" t="e">
        <f t="shared" ref="K20:K38" ca="1" si="6">perda(F20,H20,$P$6)</f>
        <v>#NAME?</v>
      </c>
      <c r="L20" s="284"/>
      <c r="M20" s="298" t="e">
        <f t="shared" ref="M20:M38" ca="1" si="7">K20*B20+L20</f>
        <v>#NAME?</v>
      </c>
      <c r="N20" s="285">
        <f>O19</f>
        <v>416.161</v>
      </c>
      <c r="O20" s="285">
        <v>415.2</v>
      </c>
      <c r="P20" s="306" t="e">
        <f ca="1">Q19</f>
        <v>#NAME?</v>
      </c>
      <c r="Q20" s="286" t="e">
        <f t="shared" ca="1" si="1"/>
        <v>#NAME?</v>
      </c>
    </row>
    <row r="21" spans="1:17" ht="15.75" customHeight="1">
      <c r="A21" s="277" t="s">
        <v>493</v>
      </c>
      <c r="B21" s="278">
        <v>39.56</v>
      </c>
      <c r="C21" s="281">
        <f t="shared" si="0"/>
        <v>3.0000000000000001E-3</v>
      </c>
      <c r="D21" s="281">
        <f t="shared" si="2"/>
        <v>3.0000000000000001E-3</v>
      </c>
      <c r="E21" s="281">
        <v>0</v>
      </c>
      <c r="F21" s="298">
        <f>(E21+C21)/2</f>
        <v>1.5E-3</v>
      </c>
      <c r="G21" s="300"/>
      <c r="H21" s="275" t="str">
        <f t="shared" si="4"/>
        <v>50</v>
      </c>
      <c r="I21" s="291"/>
      <c r="J21" s="291">
        <f>(C21/1000)/(0.25*PI()*(H21/1000)^2)</f>
        <v>2E-3</v>
      </c>
      <c r="K21" s="304" t="e">
        <f ca="1">perda(F21,H21,$P$6)</f>
        <v>#NAME?</v>
      </c>
      <c r="L21" s="284"/>
      <c r="M21" s="298" t="e">
        <f ca="1">K21*B21+L21</f>
        <v>#NAME?</v>
      </c>
      <c r="N21" s="285">
        <f>O20</f>
        <v>415.2</v>
      </c>
      <c r="O21" s="285">
        <v>415.13</v>
      </c>
      <c r="P21" s="306" t="e">
        <f ca="1">Q20</f>
        <v>#NAME?</v>
      </c>
      <c r="Q21" s="286" t="e">
        <f t="shared" ca="1" si="1"/>
        <v>#NAME?</v>
      </c>
    </row>
    <row r="22" spans="1:17" ht="15.75" customHeight="1">
      <c r="A22" s="277" t="s">
        <v>510</v>
      </c>
      <c r="B22" s="278">
        <v>76.2</v>
      </c>
      <c r="C22" s="281">
        <f t="shared" si="0"/>
        <v>6.0000000000000001E-3</v>
      </c>
      <c r="D22" s="281">
        <f t="shared" si="2"/>
        <v>6.0000000000000001E-3</v>
      </c>
      <c r="E22" s="281">
        <v>0</v>
      </c>
      <c r="F22" s="298">
        <f t="shared" si="3"/>
        <v>3.0000000000000001E-3</v>
      </c>
      <c r="G22" s="300"/>
      <c r="H22" s="275" t="str">
        <f t="shared" si="4"/>
        <v>50</v>
      </c>
      <c r="I22" s="291"/>
      <c r="J22" s="291">
        <f t="shared" si="5"/>
        <v>3.0000000000000001E-3</v>
      </c>
      <c r="K22" s="304" t="e">
        <f t="shared" ca="1" si="6"/>
        <v>#NAME?</v>
      </c>
      <c r="L22" s="284"/>
      <c r="M22" s="298" t="e">
        <f t="shared" ca="1" si="7"/>
        <v>#NAME?</v>
      </c>
      <c r="N22" s="285">
        <f>O20</f>
        <v>415.2</v>
      </c>
      <c r="O22" s="285">
        <v>416.6</v>
      </c>
      <c r="P22" s="306" t="e">
        <f ca="1">Q20</f>
        <v>#NAME?</v>
      </c>
      <c r="Q22" s="286" t="e">
        <f t="shared" ca="1" si="1"/>
        <v>#NAME?</v>
      </c>
    </row>
    <row r="23" spans="1:17" ht="15.75" customHeight="1">
      <c r="A23" s="277" t="s">
        <v>494</v>
      </c>
      <c r="B23" s="279">
        <v>297.44</v>
      </c>
      <c r="C23" s="281">
        <f t="shared" si="0"/>
        <v>4.2999999999999997E-2</v>
      </c>
      <c r="D23" s="281">
        <f t="shared" si="2"/>
        <v>2.3E-2</v>
      </c>
      <c r="E23" s="281">
        <f>SUM(B24:B25)*M7</f>
        <v>0.02</v>
      </c>
      <c r="F23" s="298">
        <f t="shared" si="3"/>
        <v>3.15E-2</v>
      </c>
      <c r="G23" s="300"/>
      <c r="H23" s="275" t="str">
        <f t="shared" si="4"/>
        <v>50</v>
      </c>
      <c r="I23" s="291"/>
      <c r="J23" s="291">
        <f t="shared" si="5"/>
        <v>2.1999999999999999E-2</v>
      </c>
      <c r="K23" s="304" t="e">
        <f t="shared" ca="1" si="6"/>
        <v>#NAME?</v>
      </c>
      <c r="L23" s="284"/>
      <c r="M23" s="298" t="e">
        <f t="shared" ca="1" si="7"/>
        <v>#NAME?</v>
      </c>
      <c r="N23" s="285">
        <f>O19</f>
        <v>416.161</v>
      </c>
      <c r="O23" s="285">
        <v>413.8</v>
      </c>
      <c r="P23" s="306" t="e">
        <f ca="1">Q19</f>
        <v>#NAME?</v>
      </c>
      <c r="Q23" s="286" t="e">
        <f t="shared" ca="1" si="1"/>
        <v>#NAME?</v>
      </c>
    </row>
    <row r="24" spans="1:17" ht="15.75" customHeight="1">
      <c r="A24" s="277" t="s">
        <v>244</v>
      </c>
      <c r="B24" s="279">
        <v>98.13</v>
      </c>
      <c r="C24" s="281">
        <f t="shared" si="0"/>
        <v>8.0000000000000002E-3</v>
      </c>
      <c r="D24" s="281">
        <f t="shared" si="2"/>
        <v>8.0000000000000002E-3</v>
      </c>
      <c r="E24" s="281">
        <v>0</v>
      </c>
      <c r="F24" s="298">
        <f t="shared" si="3"/>
        <v>4.0000000000000001E-3</v>
      </c>
      <c r="G24" s="300"/>
      <c r="H24" s="275" t="str">
        <f t="shared" si="4"/>
        <v>50</v>
      </c>
      <c r="I24" s="291"/>
      <c r="J24" s="291">
        <f t="shared" si="5"/>
        <v>4.0000000000000001E-3</v>
      </c>
      <c r="K24" s="304" t="e">
        <f t="shared" ca="1" si="6"/>
        <v>#NAME?</v>
      </c>
      <c r="L24" s="284"/>
      <c r="M24" s="298" t="e">
        <f t="shared" ca="1" si="7"/>
        <v>#NAME?</v>
      </c>
      <c r="N24" s="285">
        <f>O23</f>
        <v>413.8</v>
      </c>
      <c r="O24" s="285">
        <v>413</v>
      </c>
      <c r="P24" s="306" t="e">
        <f ca="1">Q23</f>
        <v>#NAME?</v>
      </c>
      <c r="Q24" s="286" t="e">
        <f t="shared" ca="1" si="1"/>
        <v>#NAME?</v>
      </c>
    </row>
    <row r="25" spans="1:17" ht="15.75" customHeight="1">
      <c r="A25" s="277" t="s">
        <v>491</v>
      </c>
      <c r="B25" s="278">
        <v>158.24</v>
      </c>
      <c r="C25" s="281">
        <f t="shared" si="0"/>
        <v>1.2E-2</v>
      </c>
      <c r="D25" s="281">
        <f t="shared" si="2"/>
        <v>1.2E-2</v>
      </c>
      <c r="E25" s="281">
        <v>0</v>
      </c>
      <c r="F25" s="298">
        <f t="shared" si="3"/>
        <v>6.0000000000000001E-3</v>
      </c>
      <c r="G25" s="300"/>
      <c r="H25" s="275" t="str">
        <f t="shared" si="4"/>
        <v>50</v>
      </c>
      <c r="I25" s="291"/>
      <c r="J25" s="291">
        <f t="shared" si="5"/>
        <v>6.0000000000000001E-3</v>
      </c>
      <c r="K25" s="304" t="e">
        <f t="shared" ca="1" si="6"/>
        <v>#NAME?</v>
      </c>
      <c r="L25" s="284"/>
      <c r="M25" s="298" t="e">
        <f t="shared" ca="1" si="7"/>
        <v>#NAME?</v>
      </c>
      <c r="N25" s="285">
        <f>O23</f>
        <v>413.8</v>
      </c>
      <c r="O25" s="285">
        <v>411.48</v>
      </c>
      <c r="P25" s="306" t="e">
        <f ca="1">Q23</f>
        <v>#NAME?</v>
      </c>
      <c r="Q25" s="286" t="e">
        <f t="shared" ca="1" si="1"/>
        <v>#NAME?</v>
      </c>
    </row>
    <row r="26" spans="1:17" ht="15.75" customHeight="1">
      <c r="A26" s="277" t="s">
        <v>495</v>
      </c>
      <c r="B26" s="280">
        <v>158.47</v>
      </c>
      <c r="C26" s="281">
        <f t="shared" si="0"/>
        <v>0.60699999999999998</v>
      </c>
      <c r="D26" s="281">
        <f t="shared" si="2"/>
        <v>1.2E-2</v>
      </c>
      <c r="E26" s="281">
        <f>SUM(B27:B45)*M7</f>
        <v>0.59499999999999997</v>
      </c>
      <c r="F26" s="298">
        <f t="shared" si="3"/>
        <v>0.60099999999999998</v>
      </c>
      <c r="G26" s="300"/>
      <c r="H26" s="275" t="str">
        <f t="shared" si="4"/>
        <v>50</v>
      </c>
      <c r="I26" s="291"/>
      <c r="J26" s="291">
        <f t="shared" si="5"/>
        <v>0.309</v>
      </c>
      <c r="K26" s="304" t="e">
        <f t="shared" ca="1" si="6"/>
        <v>#NAME?</v>
      </c>
      <c r="L26" s="284"/>
      <c r="M26" s="298" t="e">
        <f t="shared" ca="1" si="7"/>
        <v>#NAME?</v>
      </c>
      <c r="N26" s="285">
        <f>O19</f>
        <v>416.161</v>
      </c>
      <c r="O26" s="285">
        <v>415.13</v>
      </c>
      <c r="P26" s="306" t="e">
        <f ca="1">Q19</f>
        <v>#NAME?</v>
      </c>
      <c r="Q26" s="286" t="e">
        <f t="shared" ca="1" si="1"/>
        <v>#NAME?</v>
      </c>
    </row>
    <row r="27" spans="1:17" ht="15.75" customHeight="1">
      <c r="A27" s="277" t="s">
        <v>251</v>
      </c>
      <c r="B27" s="278">
        <v>40.409999999999997</v>
      </c>
      <c r="C27" s="281">
        <f t="shared" si="0"/>
        <v>3.0000000000000001E-3</v>
      </c>
      <c r="D27" s="281">
        <f t="shared" si="2"/>
        <v>3.0000000000000001E-3</v>
      </c>
      <c r="E27" s="281">
        <v>0</v>
      </c>
      <c r="F27" s="298">
        <f>(E27+C27)/2</f>
        <v>1.5E-3</v>
      </c>
      <c r="G27" s="300"/>
      <c r="H27" s="275" t="str">
        <f>IF(F27&gt;14.57,"200",IF(F27&gt;5.8875,"150", IF(F27&gt;3.1514,"100",IF(F27&gt;1.323,"75","50"))))</f>
        <v>50</v>
      </c>
      <c r="I27" s="291"/>
      <c r="J27" s="291">
        <f>(C27/1000)/(0.25*PI()*(H27/1000)^2)</f>
        <v>2E-3</v>
      </c>
      <c r="K27" s="304" t="e">
        <f ca="1">perda(F27,H27,$P$6)</f>
        <v>#NAME?</v>
      </c>
      <c r="L27" s="284"/>
      <c r="M27" s="298" t="e">
        <f ca="1">K27*B27+L27</f>
        <v>#NAME?</v>
      </c>
      <c r="N27" s="285">
        <f>O26</f>
        <v>415.13</v>
      </c>
      <c r="O27" s="285">
        <v>415.983</v>
      </c>
      <c r="P27" s="306" t="e">
        <f ca="1">Q26</f>
        <v>#NAME?</v>
      </c>
      <c r="Q27" s="286" t="e">
        <f t="shared" ca="1" si="1"/>
        <v>#NAME?</v>
      </c>
    </row>
    <row r="28" spans="1:17" ht="15.75" customHeight="1">
      <c r="A28" s="277" t="s">
        <v>509</v>
      </c>
      <c r="B28" s="278">
        <v>392.13</v>
      </c>
      <c r="C28" s="281">
        <f t="shared" si="0"/>
        <v>0.59199999999999997</v>
      </c>
      <c r="D28" s="281">
        <f t="shared" si="2"/>
        <v>0.03</v>
      </c>
      <c r="E28" s="281">
        <f>SUM(B29:B45)*M7</f>
        <v>0.56200000000000006</v>
      </c>
      <c r="F28" s="298">
        <f t="shared" si="3"/>
        <v>0.57699999999999996</v>
      </c>
      <c r="G28" s="300"/>
      <c r="H28" s="275" t="str">
        <f t="shared" si="4"/>
        <v>50</v>
      </c>
      <c r="I28" s="291"/>
      <c r="J28" s="291">
        <f t="shared" si="5"/>
        <v>0.30199999999999999</v>
      </c>
      <c r="K28" s="304" t="e">
        <f t="shared" ca="1" si="6"/>
        <v>#NAME?</v>
      </c>
      <c r="L28" s="284"/>
      <c r="M28" s="298" t="e">
        <f t="shared" ca="1" si="7"/>
        <v>#NAME?</v>
      </c>
      <c r="N28" s="285">
        <f>O26</f>
        <v>415.13</v>
      </c>
      <c r="O28" s="285">
        <v>410.56099999999998</v>
      </c>
      <c r="P28" s="306" t="e">
        <f ca="1">Q26</f>
        <v>#NAME?</v>
      </c>
      <c r="Q28" s="286" t="e">
        <f t="shared" ca="1" si="1"/>
        <v>#NAME?</v>
      </c>
    </row>
    <row r="29" spans="1:17" ht="15.75" customHeight="1">
      <c r="A29" s="277" t="s">
        <v>419</v>
      </c>
      <c r="B29" s="278">
        <v>31.78</v>
      </c>
      <c r="C29" s="281">
        <f t="shared" si="0"/>
        <v>1.0999999999999999E-2</v>
      </c>
      <c r="D29" s="281">
        <f t="shared" si="2"/>
        <v>2E-3</v>
      </c>
      <c r="E29" s="281">
        <f>SUM(B30:B31)*M7</f>
        <v>8.9999999999999993E-3</v>
      </c>
      <c r="F29" s="298">
        <f t="shared" si="3"/>
        <v>0.01</v>
      </c>
      <c r="G29" s="300"/>
      <c r="H29" s="275" t="str">
        <f t="shared" si="4"/>
        <v>50</v>
      </c>
      <c r="I29" s="291"/>
      <c r="J29" s="291">
        <f t="shared" si="5"/>
        <v>6.0000000000000001E-3</v>
      </c>
      <c r="K29" s="304" t="e">
        <f t="shared" ca="1" si="6"/>
        <v>#NAME?</v>
      </c>
      <c r="L29" s="284"/>
      <c r="M29" s="298" t="e">
        <f t="shared" ca="1" si="7"/>
        <v>#NAME?</v>
      </c>
      <c r="N29" s="285">
        <f>O28</f>
        <v>410.56099999999998</v>
      </c>
      <c r="O29" s="285">
        <v>412.64400000000001</v>
      </c>
      <c r="P29" s="306" t="e">
        <f ca="1">Q28</f>
        <v>#NAME?</v>
      </c>
      <c r="Q29" s="286" t="e">
        <f t="shared" ca="1" si="1"/>
        <v>#NAME?</v>
      </c>
    </row>
    <row r="30" spans="1:17" ht="15.75" customHeight="1">
      <c r="A30" s="277" t="s">
        <v>496</v>
      </c>
      <c r="B30" s="278">
        <v>83.81</v>
      </c>
      <c r="C30" s="281">
        <f t="shared" si="0"/>
        <v>6.0000000000000001E-3</v>
      </c>
      <c r="D30" s="281">
        <f t="shared" si="2"/>
        <v>6.0000000000000001E-3</v>
      </c>
      <c r="E30" s="281">
        <v>0</v>
      </c>
      <c r="F30" s="298">
        <f t="shared" si="3"/>
        <v>3.0000000000000001E-3</v>
      </c>
      <c r="G30" s="300"/>
      <c r="H30" s="275" t="str">
        <f t="shared" si="4"/>
        <v>50</v>
      </c>
      <c r="I30" s="291"/>
      <c r="J30" s="291">
        <f t="shared" si="5"/>
        <v>3.0000000000000001E-3</v>
      </c>
      <c r="K30" s="304" t="e">
        <f t="shared" ca="1" si="6"/>
        <v>#NAME?</v>
      </c>
      <c r="L30" s="284"/>
      <c r="M30" s="298" t="e">
        <f t="shared" ca="1" si="7"/>
        <v>#NAME?</v>
      </c>
      <c r="N30" s="285">
        <f>O29</f>
        <v>412.64400000000001</v>
      </c>
      <c r="O30" s="285">
        <v>414.12299999999999</v>
      </c>
      <c r="P30" s="306" t="e">
        <f ca="1">Q29</f>
        <v>#NAME?</v>
      </c>
      <c r="Q30" s="286" t="e">
        <f t="shared" ca="1" si="1"/>
        <v>#NAME?</v>
      </c>
    </row>
    <row r="31" spans="1:17" ht="15.75" customHeight="1">
      <c r="A31" s="277" t="s">
        <v>497</v>
      </c>
      <c r="B31" s="278">
        <v>37.770000000000003</v>
      </c>
      <c r="C31" s="281">
        <f t="shared" si="0"/>
        <v>3.0000000000000001E-3</v>
      </c>
      <c r="D31" s="281">
        <f t="shared" si="2"/>
        <v>3.0000000000000001E-3</v>
      </c>
      <c r="E31" s="281">
        <v>0</v>
      </c>
      <c r="F31" s="298">
        <f>(E31+C31)/2</f>
        <v>1.5E-3</v>
      </c>
      <c r="G31" s="300"/>
      <c r="H31" s="275" t="str">
        <f>IF(F31&gt;14.57,"200",IF(F31&gt;5.8875,"150", IF(F31&gt;3.1514,"100",IF(F31&gt;1.323,"75","50"))))</f>
        <v>50</v>
      </c>
      <c r="I31" s="291"/>
      <c r="J31" s="291">
        <f>(C31/1000)/(0.25*PI()*(H31/1000)^2)</f>
        <v>2E-3</v>
      </c>
      <c r="K31" s="304" t="e">
        <f ca="1">perda(F31,H31,$P$6)</f>
        <v>#NAME?</v>
      </c>
      <c r="L31" s="284"/>
      <c r="M31" s="298" t="e">
        <f ca="1">K31*B31+L31</f>
        <v>#NAME?</v>
      </c>
      <c r="N31" s="285">
        <f>O29</f>
        <v>412.64400000000001</v>
      </c>
      <c r="O31" s="285">
        <v>412.5</v>
      </c>
      <c r="P31" s="306" t="e">
        <f ca="1">Q29</f>
        <v>#NAME?</v>
      </c>
      <c r="Q31" s="286" t="e">
        <f t="shared" ca="1" si="1"/>
        <v>#NAME?</v>
      </c>
    </row>
    <row r="32" spans="1:17" ht="15.75" customHeight="1">
      <c r="A32" s="277" t="s">
        <v>498</v>
      </c>
      <c r="B32" s="278">
        <v>375.01</v>
      </c>
      <c r="C32" s="281">
        <f t="shared" si="0"/>
        <v>0.55000000000000004</v>
      </c>
      <c r="D32" s="281">
        <f t="shared" si="2"/>
        <v>2.9000000000000001E-2</v>
      </c>
      <c r="E32" s="281">
        <f>SUM(B33:B45)*M7</f>
        <v>0.52100000000000002</v>
      </c>
      <c r="F32" s="298">
        <f t="shared" si="3"/>
        <v>0.53549999999999998</v>
      </c>
      <c r="G32" s="300"/>
      <c r="H32" s="275" t="str">
        <f t="shared" si="4"/>
        <v>50</v>
      </c>
      <c r="I32" s="291"/>
      <c r="J32" s="291">
        <f t="shared" si="5"/>
        <v>0.28000000000000003</v>
      </c>
      <c r="K32" s="304" t="e">
        <f t="shared" ca="1" si="6"/>
        <v>#NAME?</v>
      </c>
      <c r="L32" s="284"/>
      <c r="M32" s="298" t="e">
        <f t="shared" ca="1" si="7"/>
        <v>#NAME?</v>
      </c>
      <c r="N32" s="285">
        <f>O28</f>
        <v>410.56099999999998</v>
      </c>
      <c r="O32" s="285">
        <v>407.32</v>
      </c>
      <c r="P32" s="306" t="e">
        <f ca="1">Q28</f>
        <v>#NAME?</v>
      </c>
      <c r="Q32" s="286" t="e">
        <f t="shared" ca="1" si="1"/>
        <v>#NAME?</v>
      </c>
    </row>
    <row r="33" spans="1:17" ht="15.75" customHeight="1">
      <c r="A33" s="277" t="s">
        <v>499</v>
      </c>
      <c r="B33" s="278">
        <v>321.8</v>
      </c>
      <c r="C33" s="281">
        <f t="shared" si="0"/>
        <v>0.20300000000000001</v>
      </c>
      <c r="D33" s="281">
        <f t="shared" si="2"/>
        <v>2.5000000000000001E-2</v>
      </c>
      <c r="E33" s="281">
        <f>SUM(B34:B38)*M7</f>
        <v>0.17799999999999999</v>
      </c>
      <c r="F33" s="298">
        <f t="shared" si="3"/>
        <v>0.1905</v>
      </c>
      <c r="G33" s="300"/>
      <c r="H33" s="275" t="str">
        <f t="shared" si="4"/>
        <v>50</v>
      </c>
      <c r="I33" s="291"/>
      <c r="J33" s="291">
        <f t="shared" si="5"/>
        <v>0.10299999999999999</v>
      </c>
      <c r="K33" s="304" t="e">
        <f t="shared" ca="1" si="6"/>
        <v>#NAME?</v>
      </c>
      <c r="L33" s="284"/>
      <c r="M33" s="298" t="e">
        <f t="shared" ca="1" si="7"/>
        <v>#NAME?</v>
      </c>
      <c r="N33" s="285">
        <f>O32</f>
        <v>407.32</v>
      </c>
      <c r="O33" s="285">
        <v>401.47</v>
      </c>
      <c r="P33" s="306" t="e">
        <f ca="1">Q32</f>
        <v>#NAME?</v>
      </c>
      <c r="Q33" s="286" t="e">
        <f t="shared" ca="1" si="1"/>
        <v>#NAME?</v>
      </c>
    </row>
    <row r="34" spans="1:17" ht="15.75" customHeight="1">
      <c r="A34" s="277" t="s">
        <v>420</v>
      </c>
      <c r="B34" s="278">
        <v>238.73</v>
      </c>
      <c r="C34" s="281">
        <f t="shared" si="0"/>
        <v>1.7999999999999999E-2</v>
      </c>
      <c r="D34" s="281">
        <f t="shared" si="2"/>
        <v>1.7999999999999999E-2</v>
      </c>
      <c r="E34" s="281">
        <v>0</v>
      </c>
      <c r="F34" s="298">
        <f t="shared" si="3"/>
        <v>8.9999999999999993E-3</v>
      </c>
      <c r="G34" s="300"/>
      <c r="H34" s="275" t="str">
        <f t="shared" si="4"/>
        <v>50</v>
      </c>
      <c r="I34" s="291"/>
      <c r="J34" s="291">
        <f t="shared" si="5"/>
        <v>8.9999999999999993E-3</v>
      </c>
      <c r="K34" s="304" t="e">
        <f t="shared" ca="1" si="6"/>
        <v>#NAME?</v>
      </c>
      <c r="L34" s="284"/>
      <c r="M34" s="298" t="e">
        <f t="shared" ca="1" si="7"/>
        <v>#NAME?</v>
      </c>
      <c r="N34" s="285">
        <f>O33</f>
        <v>401.47</v>
      </c>
      <c r="O34" s="285">
        <v>415.84</v>
      </c>
      <c r="P34" s="306" t="e">
        <f ca="1">Q33</f>
        <v>#NAME?</v>
      </c>
      <c r="Q34" s="286" t="e">
        <f t="shared" ca="1" si="1"/>
        <v>#NAME?</v>
      </c>
    </row>
    <row r="35" spans="1:17" ht="15.75" customHeight="1">
      <c r="A35" s="277" t="s">
        <v>500</v>
      </c>
      <c r="B35" s="278">
        <v>830.49</v>
      </c>
      <c r="C35" s="281">
        <f t="shared" si="0"/>
        <v>0.16</v>
      </c>
      <c r="D35" s="281">
        <f t="shared" si="2"/>
        <v>6.4000000000000001E-2</v>
      </c>
      <c r="E35" s="281">
        <f>SUM(B36:B38)*M7</f>
        <v>9.6000000000000002E-2</v>
      </c>
      <c r="F35" s="298">
        <f t="shared" si="3"/>
        <v>0.128</v>
      </c>
      <c r="G35" s="300"/>
      <c r="H35" s="275" t="str">
        <f t="shared" si="4"/>
        <v>50</v>
      </c>
      <c r="I35" s="291"/>
      <c r="J35" s="291">
        <f t="shared" si="5"/>
        <v>8.1000000000000003E-2</v>
      </c>
      <c r="K35" s="304" t="e">
        <f t="shared" ca="1" si="6"/>
        <v>#NAME?</v>
      </c>
      <c r="L35" s="284"/>
      <c r="M35" s="298" t="e">
        <f t="shared" ca="1" si="7"/>
        <v>#NAME?</v>
      </c>
      <c r="N35" s="285">
        <f>O33</f>
        <v>401.47</v>
      </c>
      <c r="O35" s="285">
        <v>400.53</v>
      </c>
      <c r="P35" s="306" t="e">
        <f ca="1">Q33</f>
        <v>#NAME?</v>
      </c>
      <c r="Q35" s="286" t="e">
        <f t="shared" ca="1" si="1"/>
        <v>#NAME?</v>
      </c>
    </row>
    <row r="36" spans="1:17" ht="15.75" customHeight="1">
      <c r="A36" s="277" t="s">
        <v>421</v>
      </c>
      <c r="B36" s="278">
        <v>888.91</v>
      </c>
      <c r="C36" s="281">
        <f t="shared" si="0"/>
        <v>9.5000000000000001E-2</v>
      </c>
      <c r="D36" s="281">
        <f t="shared" si="2"/>
        <v>6.8000000000000005E-2</v>
      </c>
      <c r="E36" s="281">
        <f>SUM(B37:B38)*M7</f>
        <v>2.7E-2</v>
      </c>
      <c r="F36" s="298">
        <f t="shared" si="3"/>
        <v>6.0999999999999999E-2</v>
      </c>
      <c r="G36" s="300"/>
      <c r="H36" s="275" t="str">
        <f t="shared" si="4"/>
        <v>50</v>
      </c>
      <c r="I36" s="291"/>
      <c r="J36" s="291">
        <f t="shared" si="5"/>
        <v>4.8000000000000001E-2</v>
      </c>
      <c r="K36" s="304" t="e">
        <f t="shared" ca="1" si="6"/>
        <v>#NAME?</v>
      </c>
      <c r="L36" s="284"/>
      <c r="M36" s="298" t="e">
        <f t="shared" ca="1" si="7"/>
        <v>#NAME?</v>
      </c>
      <c r="N36" s="285">
        <f>O35</f>
        <v>400.53</v>
      </c>
      <c r="O36" s="285">
        <v>405.88</v>
      </c>
      <c r="P36" s="306" t="e">
        <f ca="1">Q35</f>
        <v>#NAME?</v>
      </c>
      <c r="Q36" s="286" t="e">
        <f t="shared" ca="1" si="1"/>
        <v>#NAME?</v>
      </c>
    </row>
    <row r="37" spans="1:17" ht="15.75" customHeight="1">
      <c r="A37" s="277" t="s">
        <v>422</v>
      </c>
      <c r="B37" s="278">
        <v>118.16</v>
      </c>
      <c r="C37" s="281">
        <f t="shared" si="0"/>
        <v>2.7E-2</v>
      </c>
      <c r="D37" s="281">
        <f t="shared" si="2"/>
        <v>8.9999999999999993E-3</v>
      </c>
      <c r="E37" s="281">
        <f>SUM(B38)*M7</f>
        <v>1.7999999999999999E-2</v>
      </c>
      <c r="F37" s="298">
        <f t="shared" si="3"/>
        <v>2.2499999999999999E-2</v>
      </c>
      <c r="G37" s="300"/>
      <c r="H37" s="275" t="str">
        <f t="shared" si="4"/>
        <v>50</v>
      </c>
      <c r="I37" s="291"/>
      <c r="J37" s="291">
        <f t="shared" si="5"/>
        <v>1.4E-2</v>
      </c>
      <c r="K37" s="304" t="e">
        <f t="shared" ca="1" si="6"/>
        <v>#NAME?</v>
      </c>
      <c r="L37" s="284"/>
      <c r="M37" s="298" t="e">
        <f t="shared" ca="1" si="7"/>
        <v>#NAME?</v>
      </c>
      <c r="N37" s="285">
        <f>O36</f>
        <v>405.88</v>
      </c>
      <c r="O37" s="285">
        <v>407.75400000000002</v>
      </c>
      <c r="P37" s="306" t="e">
        <f ca="1">Q36</f>
        <v>#NAME?</v>
      </c>
      <c r="Q37" s="286" t="e">
        <f t="shared" ca="1" si="1"/>
        <v>#NAME?</v>
      </c>
    </row>
    <row r="38" spans="1:17" ht="15.75" customHeight="1">
      <c r="A38" s="277" t="s">
        <v>501</v>
      </c>
      <c r="B38" s="278">
        <v>234.96</v>
      </c>
      <c r="C38" s="281">
        <f t="shared" si="0"/>
        <v>1.7999999999999999E-2</v>
      </c>
      <c r="D38" s="281">
        <f t="shared" si="2"/>
        <v>1.7999999999999999E-2</v>
      </c>
      <c r="E38" s="281">
        <v>0</v>
      </c>
      <c r="F38" s="298">
        <f t="shared" si="3"/>
        <v>8.9999999999999993E-3</v>
      </c>
      <c r="G38" s="300"/>
      <c r="H38" s="275" t="str">
        <f t="shared" si="4"/>
        <v>50</v>
      </c>
      <c r="I38" s="291"/>
      <c r="J38" s="291">
        <f t="shared" si="5"/>
        <v>8.9999999999999993E-3</v>
      </c>
      <c r="K38" s="304" t="e">
        <f t="shared" ca="1" si="6"/>
        <v>#NAME?</v>
      </c>
      <c r="L38" s="284"/>
      <c r="M38" s="298" t="e">
        <f t="shared" ca="1" si="7"/>
        <v>#NAME?</v>
      </c>
      <c r="N38" s="285">
        <f>O37</f>
        <v>407.75400000000002</v>
      </c>
      <c r="O38" s="285">
        <v>411.53199999999998</v>
      </c>
      <c r="P38" s="306" t="e">
        <f ca="1">Q37</f>
        <v>#NAME?</v>
      </c>
      <c r="Q38" s="286" t="e">
        <f t="shared" ca="1" si="1"/>
        <v>#NAME?</v>
      </c>
    </row>
    <row r="39" spans="1:17" ht="15.75" customHeight="1">
      <c r="A39" s="277" t="s">
        <v>502</v>
      </c>
      <c r="B39" s="278">
        <v>47.55</v>
      </c>
      <c r="C39" s="281">
        <f t="shared" si="0"/>
        <v>0.318</v>
      </c>
      <c r="D39" s="281">
        <f t="shared" si="2"/>
        <v>4.0000000000000001E-3</v>
      </c>
      <c r="E39" s="281">
        <f>SUM(B40:B45)*M7</f>
        <v>0.314</v>
      </c>
      <c r="F39" s="298">
        <f t="shared" si="3"/>
        <v>0.316</v>
      </c>
      <c r="G39" s="300"/>
      <c r="H39" s="275" t="str">
        <f t="shared" si="4"/>
        <v>50</v>
      </c>
      <c r="I39" s="291"/>
      <c r="J39" s="291">
        <f t="shared" ref="J39:J45" si="8">(C39/1000)/(0.25*PI()*(H39/1000)^2)</f>
        <v>0.16200000000000001</v>
      </c>
      <c r="K39" s="304" t="e">
        <f t="shared" ref="K39:K45" ca="1" si="9">perda(F39,H39,$P$6)</f>
        <v>#NAME?</v>
      </c>
      <c r="L39" s="284"/>
      <c r="M39" s="298" t="e">
        <f t="shared" ref="M39:M45" ca="1" si="10">K39*B39+L39</f>
        <v>#NAME?</v>
      </c>
      <c r="N39" s="285">
        <f>O32</f>
        <v>407.32</v>
      </c>
      <c r="O39" s="285">
        <v>408.21800000000002</v>
      </c>
      <c r="P39" s="306" t="e">
        <f ca="1">Q32</f>
        <v>#NAME?</v>
      </c>
      <c r="Q39" s="286" t="e">
        <f t="shared" ca="1" si="1"/>
        <v>#NAME?</v>
      </c>
    </row>
    <row r="40" spans="1:17" ht="15.75" customHeight="1">
      <c r="A40" s="305" t="s">
        <v>503</v>
      </c>
      <c r="B40" s="278">
        <v>47.91</v>
      </c>
      <c r="C40" s="281">
        <f t="shared" si="0"/>
        <v>4.0000000000000001E-3</v>
      </c>
      <c r="D40" s="281">
        <f t="shared" si="2"/>
        <v>4.0000000000000001E-3</v>
      </c>
      <c r="E40" s="281">
        <v>0</v>
      </c>
      <c r="F40" s="298">
        <f t="shared" si="3"/>
        <v>2E-3</v>
      </c>
      <c r="G40" s="300"/>
      <c r="H40" s="275" t="str">
        <f t="shared" si="4"/>
        <v>50</v>
      </c>
      <c r="I40" s="291"/>
      <c r="J40" s="291">
        <f t="shared" si="8"/>
        <v>2E-3</v>
      </c>
      <c r="K40" s="304" t="e">
        <f t="shared" ca="1" si="9"/>
        <v>#NAME?</v>
      </c>
      <c r="L40" s="284"/>
      <c r="M40" s="298" t="e">
        <f t="shared" ca="1" si="10"/>
        <v>#NAME?</v>
      </c>
      <c r="N40" s="285">
        <f>O39</f>
        <v>408.21800000000002</v>
      </c>
      <c r="O40" s="285">
        <v>406.8</v>
      </c>
      <c r="P40" s="306" t="e">
        <f ca="1">Q39</f>
        <v>#NAME?</v>
      </c>
      <c r="Q40" s="286" t="e">
        <f t="shared" ca="1" si="1"/>
        <v>#NAME?</v>
      </c>
    </row>
    <row r="41" spans="1:17" ht="15.75" customHeight="1">
      <c r="A41" s="305" t="s">
        <v>504</v>
      </c>
      <c r="B41" s="278">
        <v>645.54</v>
      </c>
      <c r="C41" s="281">
        <f t="shared" si="0"/>
        <v>0.311</v>
      </c>
      <c r="D41" s="281">
        <f t="shared" si="2"/>
        <v>0.05</v>
      </c>
      <c r="E41" s="281">
        <f>SUM(B42:B45)*M7</f>
        <v>0.26100000000000001</v>
      </c>
      <c r="F41" s="298">
        <f t="shared" si="3"/>
        <v>0.28599999999999998</v>
      </c>
      <c r="G41" s="300"/>
      <c r="H41" s="275" t="str">
        <f t="shared" si="4"/>
        <v>50</v>
      </c>
      <c r="I41" s="291"/>
      <c r="J41" s="291">
        <f t="shared" si="8"/>
        <v>0.158</v>
      </c>
      <c r="K41" s="304" t="e">
        <f t="shared" ca="1" si="9"/>
        <v>#NAME?</v>
      </c>
      <c r="L41" s="284"/>
      <c r="M41" s="298" t="e">
        <f t="shared" ca="1" si="10"/>
        <v>#NAME?</v>
      </c>
      <c r="N41" s="285">
        <f>O39</f>
        <v>408.21800000000002</v>
      </c>
      <c r="O41" s="285">
        <v>398.072</v>
      </c>
      <c r="P41" s="306" t="e">
        <f ca="1">Q39</f>
        <v>#NAME?</v>
      </c>
      <c r="Q41" s="286" t="e">
        <f t="shared" ca="1" si="1"/>
        <v>#NAME?</v>
      </c>
    </row>
    <row r="42" spans="1:17" ht="15.75" customHeight="1">
      <c r="A42" s="305" t="s">
        <v>505</v>
      </c>
      <c r="B42" s="278">
        <v>1312.75</v>
      </c>
      <c r="C42" s="281">
        <f t="shared" si="0"/>
        <v>0.26100000000000001</v>
      </c>
      <c r="D42" s="281">
        <f t="shared" si="2"/>
        <v>0.10100000000000001</v>
      </c>
      <c r="E42" s="281">
        <f>SUM(B43:B45)*M7</f>
        <v>0.16</v>
      </c>
      <c r="F42" s="298">
        <f t="shared" si="3"/>
        <v>0.21049999999999999</v>
      </c>
      <c r="G42" s="300"/>
      <c r="H42" s="275" t="str">
        <f t="shared" si="4"/>
        <v>50</v>
      </c>
      <c r="I42" s="291"/>
      <c r="J42" s="291">
        <f t="shared" si="8"/>
        <v>0.13300000000000001</v>
      </c>
      <c r="K42" s="304" t="e">
        <f t="shared" ca="1" si="9"/>
        <v>#NAME?</v>
      </c>
      <c r="L42" s="284"/>
      <c r="M42" s="298" t="e">
        <f t="shared" ca="1" si="10"/>
        <v>#NAME?</v>
      </c>
      <c r="N42" s="285">
        <f>O41</f>
        <v>398.072</v>
      </c>
      <c r="O42" s="285">
        <v>406.01799999999997</v>
      </c>
      <c r="P42" s="306" t="e">
        <f ca="1">Q41</f>
        <v>#NAME?</v>
      </c>
      <c r="Q42" s="286" t="e">
        <f t="shared" ca="1" si="1"/>
        <v>#NAME?</v>
      </c>
    </row>
    <row r="43" spans="1:17" ht="15.75" customHeight="1">
      <c r="A43" s="305" t="s">
        <v>506</v>
      </c>
      <c r="B43" s="278">
        <v>59.05</v>
      </c>
      <c r="C43" s="281">
        <f t="shared" si="0"/>
        <v>5.0000000000000001E-3</v>
      </c>
      <c r="D43" s="281">
        <f t="shared" si="2"/>
        <v>5.0000000000000001E-3</v>
      </c>
      <c r="E43" s="281">
        <v>0</v>
      </c>
      <c r="F43" s="298">
        <f t="shared" si="3"/>
        <v>2.5000000000000001E-3</v>
      </c>
      <c r="G43" s="300"/>
      <c r="H43" s="275" t="str">
        <f t="shared" si="4"/>
        <v>50</v>
      </c>
      <c r="I43" s="291"/>
      <c r="J43" s="291">
        <f t="shared" si="8"/>
        <v>3.0000000000000001E-3</v>
      </c>
      <c r="K43" s="304" t="e">
        <f t="shared" ca="1" si="9"/>
        <v>#NAME?</v>
      </c>
      <c r="L43" s="284"/>
      <c r="M43" s="298" t="e">
        <f t="shared" ca="1" si="10"/>
        <v>#NAME?</v>
      </c>
      <c r="N43" s="285">
        <f>O42</f>
        <v>406.01799999999997</v>
      </c>
      <c r="O43" s="285">
        <v>406.39</v>
      </c>
      <c r="P43" s="306" t="e">
        <f ca="1">Q42</f>
        <v>#NAME?</v>
      </c>
      <c r="Q43" s="286" t="e">
        <f t="shared" ca="1" si="1"/>
        <v>#NAME?</v>
      </c>
    </row>
    <row r="44" spans="1:17" ht="15.75" customHeight="1">
      <c r="A44" s="305" t="s">
        <v>508</v>
      </c>
      <c r="B44" s="278">
        <v>1897.21</v>
      </c>
      <c r="C44" s="281">
        <f t="shared" si="0"/>
        <v>0.155</v>
      </c>
      <c r="D44" s="281">
        <f t="shared" si="2"/>
        <v>0.14599999999999999</v>
      </c>
      <c r="E44" s="281">
        <f>SUM(B45)*M7</f>
        <v>8.9999999999999993E-3</v>
      </c>
      <c r="F44" s="298">
        <f t="shared" si="3"/>
        <v>8.2000000000000003E-2</v>
      </c>
      <c r="G44" s="300"/>
      <c r="H44" s="275" t="str">
        <f t="shared" si="4"/>
        <v>50</v>
      </c>
      <c r="I44" s="291"/>
      <c r="J44" s="291">
        <f t="shared" si="8"/>
        <v>7.9000000000000001E-2</v>
      </c>
      <c r="K44" s="304" t="e">
        <f t="shared" ca="1" si="9"/>
        <v>#NAME?</v>
      </c>
      <c r="L44" s="284"/>
      <c r="M44" s="298" t="e">
        <f t="shared" ca="1" si="10"/>
        <v>#NAME?</v>
      </c>
      <c r="N44" s="285">
        <f>O42</f>
        <v>406.01799999999997</v>
      </c>
      <c r="O44" s="285">
        <v>386.9</v>
      </c>
      <c r="P44" s="306" t="e">
        <f ca="1">Q42</f>
        <v>#NAME?</v>
      </c>
      <c r="Q44" s="286" t="e">
        <f t="shared" ca="1" si="1"/>
        <v>#NAME?</v>
      </c>
    </row>
    <row r="45" spans="1:17" ht="15.75" customHeight="1">
      <c r="A45" s="305" t="s">
        <v>507</v>
      </c>
      <c r="B45" s="278">
        <v>120.87</v>
      </c>
      <c r="C45" s="281">
        <f t="shared" si="0"/>
        <v>8.9999999999999993E-3</v>
      </c>
      <c r="D45" s="281">
        <f t="shared" si="2"/>
        <v>8.9999999999999993E-3</v>
      </c>
      <c r="E45" s="281">
        <v>0</v>
      </c>
      <c r="F45" s="298">
        <f t="shared" si="3"/>
        <v>4.4999999999999997E-3</v>
      </c>
      <c r="G45" s="300"/>
      <c r="H45" s="275" t="str">
        <f t="shared" si="4"/>
        <v>50</v>
      </c>
      <c r="I45" s="291"/>
      <c r="J45" s="291">
        <f t="shared" si="8"/>
        <v>5.0000000000000001E-3</v>
      </c>
      <c r="K45" s="304" t="e">
        <f t="shared" ca="1" si="9"/>
        <v>#NAME?</v>
      </c>
      <c r="L45" s="284"/>
      <c r="M45" s="298" t="e">
        <f t="shared" ca="1" si="10"/>
        <v>#NAME?</v>
      </c>
      <c r="N45" s="285">
        <f>O44</f>
        <v>386.9</v>
      </c>
      <c r="O45" s="285">
        <v>388</v>
      </c>
      <c r="P45" s="306" t="e">
        <f ca="1">Q44</f>
        <v>#NAME?</v>
      </c>
      <c r="Q45" s="286" t="e">
        <f t="shared" ca="1" si="1"/>
        <v>#NAME?</v>
      </c>
    </row>
    <row r="46" spans="1:17" ht="27" customHeight="1">
      <c r="A46" s="283" t="s">
        <v>167</v>
      </c>
      <c r="B46" s="282">
        <f>SUM(B15:B45)</f>
        <v>11362.19</v>
      </c>
      <c r="C46" s="878" t="s">
        <v>245</v>
      </c>
      <c r="D46" s="878"/>
      <c r="E46" s="878"/>
      <c r="F46" s="878"/>
      <c r="G46" s="878"/>
      <c r="H46" s="876">
        <v>394.74900000000002</v>
      </c>
      <c r="I46" s="876"/>
      <c r="J46" s="92"/>
      <c r="K46" s="874"/>
      <c r="L46" s="874"/>
      <c r="M46" s="874"/>
      <c r="N46" s="874"/>
      <c r="O46" s="874"/>
      <c r="P46" s="874"/>
      <c r="Q46" s="875"/>
    </row>
    <row r="47" spans="1:17" ht="12.75" customHeight="1">
      <c r="A47" s="89"/>
      <c r="B47" s="90"/>
      <c r="Q47" s="65"/>
    </row>
    <row r="48" spans="1:17" ht="12.75" customHeight="1">
      <c r="A48" s="89"/>
      <c r="B48" s="90"/>
      <c r="Q48" s="65"/>
    </row>
    <row r="49" spans="1:17" ht="12.75" customHeight="1">
      <c r="A49" s="89"/>
      <c r="B49" s="90"/>
      <c r="Q49" s="65"/>
    </row>
    <row r="50" spans="1:17">
      <c r="A50" s="91"/>
      <c r="B50" s="863" t="s">
        <v>487</v>
      </c>
      <c r="C50" s="863"/>
      <c r="D50" s="863"/>
      <c r="E50" s="863"/>
      <c r="F50" s="863"/>
      <c r="G50" s="863"/>
      <c r="H50" s="863"/>
      <c r="I50" s="863"/>
      <c r="J50" s="65"/>
      <c r="K50" s="65"/>
      <c r="L50" s="65"/>
      <c r="M50" s="65"/>
      <c r="N50" s="65"/>
      <c r="O50" s="65"/>
      <c r="P50" s="65"/>
      <c r="Q50" s="65"/>
    </row>
    <row r="51" spans="1:17">
      <c r="A51" s="66"/>
      <c r="B51" s="64"/>
      <c r="C51" s="93">
        <v>25</v>
      </c>
      <c r="D51" s="93">
        <v>32</v>
      </c>
      <c r="E51" s="93">
        <v>42</v>
      </c>
      <c r="F51" s="93">
        <v>50</v>
      </c>
      <c r="G51" s="93">
        <v>75</v>
      </c>
      <c r="H51" s="93">
        <v>100</v>
      </c>
      <c r="I51" s="93">
        <v>150</v>
      </c>
      <c r="J51" s="67"/>
      <c r="K51" s="67"/>
      <c r="L51" s="67"/>
      <c r="M51" s="67"/>
      <c r="N51" s="65"/>
      <c r="O51" s="65"/>
      <c r="P51" s="65"/>
      <c r="Q51" s="65"/>
    </row>
    <row r="52" spans="1:17">
      <c r="A52" s="66"/>
      <c r="B52" s="62" t="s">
        <v>168</v>
      </c>
      <c r="C52" s="62" t="s">
        <v>169</v>
      </c>
      <c r="D52" s="62" t="s">
        <v>170</v>
      </c>
      <c r="E52" s="64" t="s">
        <v>171</v>
      </c>
      <c r="F52" s="64" t="s">
        <v>172</v>
      </c>
      <c r="G52" s="64" t="s">
        <v>248</v>
      </c>
      <c r="H52" s="64" t="s">
        <v>173</v>
      </c>
      <c r="I52" s="64" t="s">
        <v>174</v>
      </c>
      <c r="J52" s="67"/>
      <c r="K52" s="67"/>
      <c r="L52" s="67"/>
      <c r="M52" s="67"/>
      <c r="N52" s="65"/>
      <c r="O52" s="65"/>
      <c r="P52" s="65"/>
      <c r="Q52" s="65"/>
    </row>
    <row r="53" spans="1:17">
      <c r="A53" s="66"/>
      <c r="B53" s="66" t="str">
        <f t="shared" ref="B53:B76" si="11">A15</f>
        <v>RE-01</v>
      </c>
      <c r="C53" s="66">
        <f t="shared" ref="C53:C83" si="12">IF(H15=25,B15,0)</f>
        <v>0</v>
      </c>
      <c r="D53" s="66">
        <f t="shared" ref="D53:D83" si="13">IF(H15=32,B15,0)</f>
        <v>0</v>
      </c>
      <c r="E53" s="66">
        <f t="shared" ref="E53:E83" si="14">IF(H15=42,B15,0)</f>
        <v>0</v>
      </c>
      <c r="F53" s="66">
        <f t="shared" ref="F53:F83" si="15">SUMIF(H15,50,B15)</f>
        <v>15.67</v>
      </c>
      <c r="G53" s="66">
        <f t="shared" ref="G53:G83" si="16">SUMIF(H15,75,B15)</f>
        <v>0</v>
      </c>
      <c r="H53" s="66">
        <f t="shared" ref="H53:H83" si="17">SUMIF(H15,100,B15)</f>
        <v>0</v>
      </c>
      <c r="I53" s="66">
        <f t="shared" ref="I53:I83" si="18">SUMIF(H15,150,B15)</f>
        <v>0</v>
      </c>
      <c r="J53" s="68"/>
      <c r="K53" s="67"/>
      <c r="L53" s="67"/>
      <c r="M53" s="67"/>
      <c r="N53" s="65"/>
      <c r="O53" s="65"/>
      <c r="P53" s="65"/>
      <c r="Q53" s="65"/>
    </row>
    <row r="54" spans="1:17">
      <c r="A54" s="66"/>
      <c r="B54" s="91" t="str">
        <f t="shared" si="11"/>
        <v>01-02</v>
      </c>
      <c r="C54" s="91">
        <f t="shared" si="12"/>
        <v>0</v>
      </c>
      <c r="D54" s="91">
        <f t="shared" si="13"/>
        <v>0</v>
      </c>
      <c r="E54" s="91">
        <f t="shared" si="14"/>
        <v>0</v>
      </c>
      <c r="F54" s="91">
        <f t="shared" si="15"/>
        <v>402.79</v>
      </c>
      <c r="G54" s="91">
        <f t="shared" si="16"/>
        <v>0</v>
      </c>
      <c r="H54" s="91">
        <f t="shared" si="17"/>
        <v>0</v>
      </c>
      <c r="I54" s="91">
        <f t="shared" si="18"/>
        <v>0</v>
      </c>
      <c r="J54" s="68"/>
      <c r="K54" s="67"/>
      <c r="L54" s="67"/>
      <c r="M54" s="67"/>
      <c r="N54" s="65"/>
      <c r="O54" s="65"/>
      <c r="P54" s="65"/>
      <c r="Q54" s="65"/>
    </row>
    <row r="55" spans="1:17">
      <c r="A55" s="66"/>
      <c r="B55" s="91" t="str">
        <f t="shared" si="11"/>
        <v>02-03</v>
      </c>
      <c r="C55" s="91">
        <f t="shared" si="12"/>
        <v>0</v>
      </c>
      <c r="D55" s="91">
        <f t="shared" si="13"/>
        <v>0</v>
      </c>
      <c r="E55" s="91">
        <f t="shared" si="14"/>
        <v>0</v>
      </c>
      <c r="F55" s="91">
        <f t="shared" si="15"/>
        <v>474.37</v>
      </c>
      <c r="G55" s="91">
        <f t="shared" si="16"/>
        <v>0</v>
      </c>
      <c r="H55" s="91">
        <f t="shared" si="17"/>
        <v>0</v>
      </c>
      <c r="I55" s="91">
        <f t="shared" si="18"/>
        <v>0</v>
      </c>
      <c r="J55" s="68"/>
      <c r="K55" s="67"/>
      <c r="L55" s="67"/>
      <c r="M55" s="67"/>
      <c r="N55" s="65"/>
      <c r="O55" s="65"/>
      <c r="P55" s="65"/>
      <c r="Q55" s="65"/>
    </row>
    <row r="56" spans="1:17">
      <c r="A56" s="91"/>
      <c r="B56" s="91" t="str">
        <f t="shared" si="11"/>
        <v>01-04</v>
      </c>
      <c r="C56" s="91">
        <f t="shared" si="12"/>
        <v>0</v>
      </c>
      <c r="D56" s="91">
        <f t="shared" si="13"/>
        <v>0</v>
      </c>
      <c r="E56" s="91">
        <f t="shared" si="14"/>
        <v>0</v>
      </c>
      <c r="F56" s="91">
        <f t="shared" si="15"/>
        <v>32.28</v>
      </c>
      <c r="G56" s="91">
        <f t="shared" si="16"/>
        <v>0</v>
      </c>
      <c r="H56" s="91">
        <f t="shared" si="17"/>
        <v>0</v>
      </c>
      <c r="I56" s="91">
        <f t="shared" si="18"/>
        <v>0</v>
      </c>
      <c r="J56" s="68"/>
      <c r="K56" s="67"/>
      <c r="L56" s="67"/>
      <c r="M56" s="67"/>
      <c r="N56" s="65"/>
      <c r="O56" s="65"/>
      <c r="P56" s="65"/>
      <c r="Q56" s="65"/>
    </row>
    <row r="57" spans="1:17">
      <c r="A57" s="91"/>
      <c r="B57" s="91" t="str">
        <f t="shared" si="11"/>
        <v>04-05</v>
      </c>
      <c r="C57" s="91">
        <f t="shared" si="12"/>
        <v>0</v>
      </c>
      <c r="D57" s="91">
        <f t="shared" si="13"/>
        <v>0</v>
      </c>
      <c r="E57" s="91">
        <f t="shared" si="14"/>
        <v>0</v>
      </c>
      <c r="F57" s="91">
        <f t="shared" si="15"/>
        <v>1843.75</v>
      </c>
      <c r="G57" s="91">
        <f t="shared" si="16"/>
        <v>0</v>
      </c>
      <c r="H57" s="91">
        <f t="shared" si="17"/>
        <v>0</v>
      </c>
      <c r="I57" s="91">
        <f t="shared" si="18"/>
        <v>0</v>
      </c>
      <c r="J57" s="68"/>
      <c r="K57" s="67"/>
      <c r="L57" s="67"/>
      <c r="M57" s="67"/>
      <c r="N57" s="65"/>
      <c r="O57" s="65"/>
      <c r="P57" s="65"/>
      <c r="Q57" s="65"/>
    </row>
    <row r="58" spans="1:17">
      <c r="A58" s="91"/>
      <c r="B58" s="91" t="str">
        <f t="shared" si="11"/>
        <v>05-06</v>
      </c>
      <c r="C58" s="91">
        <f t="shared" si="12"/>
        <v>0</v>
      </c>
      <c r="D58" s="91">
        <f t="shared" si="13"/>
        <v>0</v>
      </c>
      <c r="E58" s="91">
        <f t="shared" si="14"/>
        <v>0</v>
      </c>
      <c r="F58" s="91">
        <f t="shared" si="15"/>
        <v>40.450000000000003</v>
      </c>
      <c r="G58" s="91">
        <f t="shared" si="16"/>
        <v>0</v>
      </c>
      <c r="H58" s="91">
        <f t="shared" si="17"/>
        <v>0</v>
      </c>
      <c r="I58" s="91">
        <f t="shared" si="18"/>
        <v>0</v>
      </c>
      <c r="J58" s="68"/>
      <c r="K58" s="67"/>
      <c r="L58" s="67"/>
      <c r="M58" s="67"/>
      <c r="N58" s="65"/>
      <c r="O58" s="65"/>
      <c r="P58" s="65"/>
      <c r="Q58" s="65"/>
    </row>
    <row r="59" spans="1:17">
      <c r="A59" s="91"/>
      <c r="B59" s="91" t="str">
        <f t="shared" si="11"/>
        <v>06-07</v>
      </c>
      <c r="C59" s="91">
        <f t="shared" si="12"/>
        <v>0</v>
      </c>
      <c r="D59" s="91">
        <f t="shared" si="13"/>
        <v>0</v>
      </c>
      <c r="E59" s="91">
        <f t="shared" si="14"/>
        <v>0</v>
      </c>
      <c r="F59" s="91">
        <f t="shared" si="15"/>
        <v>39.56</v>
      </c>
      <c r="G59" s="91">
        <f t="shared" si="16"/>
        <v>0</v>
      </c>
      <c r="H59" s="91">
        <f t="shared" si="17"/>
        <v>0</v>
      </c>
      <c r="I59" s="91">
        <f t="shared" si="18"/>
        <v>0</v>
      </c>
      <c r="J59" s="68"/>
      <c r="K59" s="67"/>
      <c r="L59" s="67"/>
      <c r="M59" s="67"/>
      <c r="N59" s="65"/>
      <c r="O59" s="65"/>
      <c r="P59" s="65"/>
      <c r="Q59" s="65"/>
    </row>
    <row r="60" spans="1:17">
      <c r="A60" s="91"/>
      <c r="B60" s="91" t="str">
        <f t="shared" si="11"/>
        <v>06-08</v>
      </c>
      <c r="C60" s="91">
        <f t="shared" si="12"/>
        <v>0</v>
      </c>
      <c r="D60" s="91">
        <f t="shared" si="13"/>
        <v>0</v>
      </c>
      <c r="E60" s="91">
        <f t="shared" si="14"/>
        <v>0</v>
      </c>
      <c r="F60" s="91">
        <f t="shared" si="15"/>
        <v>76.2</v>
      </c>
      <c r="G60" s="91">
        <f t="shared" si="16"/>
        <v>0</v>
      </c>
      <c r="H60" s="91">
        <f t="shared" si="17"/>
        <v>0</v>
      </c>
      <c r="I60" s="91">
        <f t="shared" si="18"/>
        <v>0</v>
      </c>
      <c r="J60" s="68"/>
      <c r="K60" s="67"/>
      <c r="L60" s="67"/>
      <c r="M60" s="67"/>
      <c r="N60" s="65"/>
      <c r="O60" s="65"/>
      <c r="P60" s="65"/>
      <c r="Q60" s="65"/>
    </row>
    <row r="61" spans="1:17">
      <c r="A61" s="91"/>
      <c r="B61" s="91" t="str">
        <f t="shared" si="11"/>
        <v>05-09</v>
      </c>
      <c r="C61" s="91">
        <f t="shared" si="12"/>
        <v>0</v>
      </c>
      <c r="D61" s="91">
        <f t="shared" si="13"/>
        <v>0</v>
      </c>
      <c r="E61" s="91">
        <f t="shared" si="14"/>
        <v>0</v>
      </c>
      <c r="F61" s="91">
        <f t="shared" si="15"/>
        <v>297.44</v>
      </c>
      <c r="G61" s="91">
        <f t="shared" si="16"/>
        <v>0</v>
      </c>
      <c r="H61" s="91">
        <f t="shared" si="17"/>
        <v>0</v>
      </c>
      <c r="I61" s="91">
        <f t="shared" si="18"/>
        <v>0</v>
      </c>
      <c r="J61" s="68"/>
      <c r="K61" s="67"/>
      <c r="L61" s="67"/>
      <c r="M61" s="67"/>
      <c r="N61" s="65"/>
      <c r="O61" s="65"/>
      <c r="P61" s="65"/>
      <c r="Q61" s="65"/>
    </row>
    <row r="62" spans="1:17">
      <c r="A62" s="91"/>
      <c r="B62" s="91" t="str">
        <f t="shared" si="11"/>
        <v>09-10</v>
      </c>
      <c r="C62" s="91">
        <f t="shared" si="12"/>
        <v>0</v>
      </c>
      <c r="D62" s="91">
        <f t="shared" si="13"/>
        <v>0</v>
      </c>
      <c r="E62" s="91">
        <f t="shared" si="14"/>
        <v>0</v>
      </c>
      <c r="F62" s="91">
        <f t="shared" si="15"/>
        <v>98.13</v>
      </c>
      <c r="G62" s="91">
        <f t="shared" si="16"/>
        <v>0</v>
      </c>
      <c r="H62" s="91">
        <f t="shared" si="17"/>
        <v>0</v>
      </c>
      <c r="I62" s="91">
        <f t="shared" si="18"/>
        <v>0</v>
      </c>
      <c r="J62" s="68"/>
      <c r="K62" s="67"/>
      <c r="L62" s="67"/>
      <c r="M62" s="67"/>
      <c r="N62" s="65"/>
      <c r="O62" s="65"/>
      <c r="P62" s="65"/>
      <c r="Q62" s="65"/>
    </row>
    <row r="63" spans="1:17">
      <c r="A63" s="91"/>
      <c r="B63" s="91" t="str">
        <f t="shared" si="11"/>
        <v>09-11</v>
      </c>
      <c r="C63" s="91">
        <f t="shared" si="12"/>
        <v>0</v>
      </c>
      <c r="D63" s="91">
        <f t="shared" si="13"/>
        <v>0</v>
      </c>
      <c r="E63" s="91">
        <f t="shared" si="14"/>
        <v>0</v>
      </c>
      <c r="F63" s="91">
        <f t="shared" si="15"/>
        <v>158.24</v>
      </c>
      <c r="G63" s="91">
        <f t="shared" si="16"/>
        <v>0</v>
      </c>
      <c r="H63" s="91">
        <f t="shared" si="17"/>
        <v>0</v>
      </c>
      <c r="I63" s="91">
        <f t="shared" si="18"/>
        <v>0</v>
      </c>
      <c r="J63" s="68"/>
      <c r="K63" s="67"/>
      <c r="L63" s="67"/>
      <c r="M63" s="67"/>
      <c r="N63" s="65"/>
      <c r="O63" s="65"/>
      <c r="P63" s="65"/>
      <c r="Q63" s="65"/>
    </row>
    <row r="64" spans="1:17">
      <c r="A64" s="91"/>
      <c r="B64" s="91" t="str">
        <f t="shared" si="11"/>
        <v>05-12</v>
      </c>
      <c r="C64" s="91">
        <f t="shared" si="12"/>
        <v>0</v>
      </c>
      <c r="D64" s="91">
        <f t="shared" si="13"/>
        <v>0</v>
      </c>
      <c r="E64" s="91">
        <f t="shared" si="14"/>
        <v>0</v>
      </c>
      <c r="F64" s="91">
        <f t="shared" si="15"/>
        <v>158.47</v>
      </c>
      <c r="G64" s="91">
        <f t="shared" si="16"/>
        <v>0</v>
      </c>
      <c r="H64" s="91">
        <f t="shared" si="17"/>
        <v>0</v>
      </c>
      <c r="I64" s="91">
        <f t="shared" si="18"/>
        <v>0</v>
      </c>
      <c r="J64" s="68"/>
      <c r="K64" s="67"/>
      <c r="L64" s="67"/>
      <c r="M64" s="67"/>
      <c r="N64" s="65"/>
      <c r="O64" s="65"/>
      <c r="P64" s="65"/>
      <c r="Q64" s="65"/>
    </row>
    <row r="65" spans="1:17">
      <c r="A65" s="91"/>
      <c r="B65" s="91" t="str">
        <f t="shared" si="11"/>
        <v>12-13</v>
      </c>
      <c r="C65" s="91">
        <f t="shared" si="12"/>
        <v>0</v>
      </c>
      <c r="D65" s="91">
        <f t="shared" si="13"/>
        <v>0</v>
      </c>
      <c r="E65" s="91">
        <f t="shared" si="14"/>
        <v>0</v>
      </c>
      <c r="F65" s="91">
        <f t="shared" si="15"/>
        <v>40.409999999999997</v>
      </c>
      <c r="G65" s="91">
        <f t="shared" si="16"/>
        <v>0</v>
      </c>
      <c r="H65" s="91">
        <f t="shared" si="17"/>
        <v>0</v>
      </c>
      <c r="I65" s="91">
        <f t="shared" si="18"/>
        <v>0</v>
      </c>
      <c r="J65" s="68"/>
      <c r="K65" s="67"/>
      <c r="L65" s="67"/>
      <c r="M65" s="67"/>
      <c r="N65" s="65"/>
      <c r="O65" s="65"/>
      <c r="P65" s="65"/>
      <c r="Q65" s="65"/>
    </row>
    <row r="66" spans="1:17">
      <c r="A66" s="91"/>
      <c r="B66" s="91" t="str">
        <f t="shared" si="11"/>
        <v>12-14</v>
      </c>
      <c r="C66" s="91">
        <f t="shared" si="12"/>
        <v>0</v>
      </c>
      <c r="D66" s="91">
        <f t="shared" si="13"/>
        <v>0</v>
      </c>
      <c r="E66" s="91">
        <f t="shared" si="14"/>
        <v>0</v>
      </c>
      <c r="F66" s="91">
        <f t="shared" si="15"/>
        <v>392.13</v>
      </c>
      <c r="G66" s="91">
        <f t="shared" si="16"/>
        <v>0</v>
      </c>
      <c r="H66" s="91">
        <f t="shared" si="17"/>
        <v>0</v>
      </c>
      <c r="I66" s="91">
        <f t="shared" si="18"/>
        <v>0</v>
      </c>
      <c r="J66" s="68"/>
      <c r="K66" s="67"/>
      <c r="L66" s="67"/>
      <c r="M66" s="67"/>
      <c r="N66" s="65"/>
      <c r="O66" s="65"/>
      <c r="P66" s="65"/>
      <c r="Q66" s="65"/>
    </row>
    <row r="67" spans="1:17">
      <c r="A67" s="91"/>
      <c r="B67" s="91" t="str">
        <f t="shared" si="11"/>
        <v>14-15</v>
      </c>
      <c r="C67" s="91">
        <f t="shared" si="12"/>
        <v>0</v>
      </c>
      <c r="D67" s="91">
        <f t="shared" si="13"/>
        <v>0</v>
      </c>
      <c r="E67" s="91">
        <f t="shared" si="14"/>
        <v>0</v>
      </c>
      <c r="F67" s="91">
        <f t="shared" si="15"/>
        <v>31.78</v>
      </c>
      <c r="G67" s="91">
        <f t="shared" si="16"/>
        <v>0</v>
      </c>
      <c r="H67" s="91">
        <f t="shared" si="17"/>
        <v>0</v>
      </c>
      <c r="I67" s="91">
        <f t="shared" si="18"/>
        <v>0</v>
      </c>
      <c r="J67" s="68"/>
      <c r="K67" s="67"/>
      <c r="L67" s="67"/>
      <c r="M67" s="67"/>
      <c r="N67" s="65"/>
      <c r="O67" s="65"/>
      <c r="P67" s="65"/>
      <c r="Q67" s="65"/>
    </row>
    <row r="68" spans="1:17">
      <c r="A68" s="91"/>
      <c r="B68" s="91" t="str">
        <f t="shared" si="11"/>
        <v>15-16</v>
      </c>
      <c r="C68" s="91">
        <f t="shared" si="12"/>
        <v>0</v>
      </c>
      <c r="D68" s="91">
        <f t="shared" si="13"/>
        <v>0</v>
      </c>
      <c r="E68" s="91">
        <f t="shared" si="14"/>
        <v>0</v>
      </c>
      <c r="F68" s="91">
        <f t="shared" si="15"/>
        <v>83.81</v>
      </c>
      <c r="G68" s="91">
        <f t="shared" si="16"/>
        <v>0</v>
      </c>
      <c r="H68" s="91">
        <f t="shared" si="17"/>
        <v>0</v>
      </c>
      <c r="I68" s="91">
        <f t="shared" si="18"/>
        <v>0</v>
      </c>
      <c r="J68" s="68"/>
      <c r="K68" s="67"/>
      <c r="L68" s="67"/>
      <c r="M68" s="67"/>
      <c r="N68" s="65"/>
      <c r="O68" s="65"/>
      <c r="P68" s="65"/>
      <c r="Q68" s="65"/>
    </row>
    <row r="69" spans="1:17">
      <c r="A69" s="91"/>
      <c r="B69" s="91" t="str">
        <f t="shared" si="11"/>
        <v>15-17</v>
      </c>
      <c r="C69" s="91">
        <f t="shared" si="12"/>
        <v>0</v>
      </c>
      <c r="D69" s="91">
        <f t="shared" si="13"/>
        <v>0</v>
      </c>
      <c r="E69" s="91">
        <f t="shared" si="14"/>
        <v>0</v>
      </c>
      <c r="F69" s="91">
        <f t="shared" si="15"/>
        <v>37.770000000000003</v>
      </c>
      <c r="G69" s="91">
        <f t="shared" si="16"/>
        <v>0</v>
      </c>
      <c r="H69" s="91">
        <f t="shared" si="17"/>
        <v>0</v>
      </c>
      <c r="I69" s="91">
        <f t="shared" si="18"/>
        <v>0</v>
      </c>
      <c r="J69" s="68"/>
      <c r="K69" s="67"/>
      <c r="L69" s="67"/>
      <c r="M69" s="67"/>
      <c r="N69" s="65"/>
      <c r="O69" s="65"/>
      <c r="P69" s="65"/>
      <c r="Q69" s="65"/>
    </row>
    <row r="70" spans="1:17">
      <c r="A70" s="91"/>
      <c r="B70" s="91" t="str">
        <f t="shared" si="11"/>
        <v>14-18</v>
      </c>
      <c r="C70" s="91">
        <f t="shared" si="12"/>
        <v>0</v>
      </c>
      <c r="D70" s="91">
        <f t="shared" si="13"/>
        <v>0</v>
      </c>
      <c r="E70" s="91">
        <f t="shared" si="14"/>
        <v>0</v>
      </c>
      <c r="F70" s="91">
        <f t="shared" si="15"/>
        <v>375.01</v>
      </c>
      <c r="G70" s="91">
        <f t="shared" si="16"/>
        <v>0</v>
      </c>
      <c r="H70" s="91">
        <f t="shared" si="17"/>
        <v>0</v>
      </c>
      <c r="I70" s="91">
        <f t="shared" si="18"/>
        <v>0</v>
      </c>
      <c r="J70" s="68"/>
      <c r="K70" s="67"/>
      <c r="L70" s="67"/>
      <c r="M70" s="67"/>
      <c r="N70" s="65"/>
      <c r="O70" s="65"/>
      <c r="P70" s="65"/>
      <c r="Q70" s="65"/>
    </row>
    <row r="71" spans="1:17">
      <c r="A71" s="91"/>
      <c r="B71" s="91" t="str">
        <f t="shared" si="11"/>
        <v>18-19</v>
      </c>
      <c r="C71" s="91">
        <f t="shared" si="12"/>
        <v>0</v>
      </c>
      <c r="D71" s="91">
        <f t="shared" si="13"/>
        <v>0</v>
      </c>
      <c r="E71" s="91">
        <f t="shared" si="14"/>
        <v>0</v>
      </c>
      <c r="F71" s="91">
        <f t="shared" si="15"/>
        <v>321.8</v>
      </c>
      <c r="G71" s="91">
        <f t="shared" si="16"/>
        <v>0</v>
      </c>
      <c r="H71" s="91">
        <f t="shared" si="17"/>
        <v>0</v>
      </c>
      <c r="I71" s="91">
        <f t="shared" si="18"/>
        <v>0</v>
      </c>
      <c r="J71" s="68"/>
      <c r="K71" s="67"/>
      <c r="L71" s="67"/>
      <c r="M71" s="67"/>
      <c r="N71" s="65"/>
      <c r="O71" s="65"/>
      <c r="P71" s="65"/>
      <c r="Q71" s="65"/>
    </row>
    <row r="72" spans="1:17">
      <c r="A72" s="91"/>
      <c r="B72" s="91" t="str">
        <f t="shared" si="11"/>
        <v>19-20</v>
      </c>
      <c r="C72" s="91">
        <f t="shared" si="12"/>
        <v>0</v>
      </c>
      <c r="D72" s="91">
        <f t="shared" si="13"/>
        <v>0</v>
      </c>
      <c r="E72" s="91">
        <f t="shared" si="14"/>
        <v>0</v>
      </c>
      <c r="F72" s="91">
        <f t="shared" si="15"/>
        <v>238.73</v>
      </c>
      <c r="G72" s="91">
        <f t="shared" si="16"/>
        <v>0</v>
      </c>
      <c r="H72" s="91">
        <f t="shared" si="17"/>
        <v>0</v>
      </c>
      <c r="I72" s="91">
        <f t="shared" si="18"/>
        <v>0</v>
      </c>
      <c r="J72" s="68"/>
      <c r="K72" s="67"/>
      <c r="L72" s="67"/>
      <c r="M72" s="67"/>
      <c r="N72" s="65"/>
      <c r="O72" s="65"/>
      <c r="P72" s="65"/>
      <c r="Q72" s="65"/>
    </row>
    <row r="73" spans="1:17">
      <c r="A73" s="91"/>
      <c r="B73" s="91" t="str">
        <f t="shared" si="11"/>
        <v>19-21</v>
      </c>
      <c r="C73" s="91">
        <f t="shared" si="12"/>
        <v>0</v>
      </c>
      <c r="D73" s="91">
        <f t="shared" si="13"/>
        <v>0</v>
      </c>
      <c r="E73" s="91">
        <f t="shared" si="14"/>
        <v>0</v>
      </c>
      <c r="F73" s="91">
        <f t="shared" si="15"/>
        <v>830.49</v>
      </c>
      <c r="G73" s="91">
        <f t="shared" si="16"/>
        <v>0</v>
      </c>
      <c r="H73" s="91">
        <f t="shared" si="17"/>
        <v>0</v>
      </c>
      <c r="I73" s="91">
        <f t="shared" si="18"/>
        <v>0</v>
      </c>
      <c r="J73" s="68"/>
      <c r="K73" s="67"/>
      <c r="L73" s="67"/>
      <c r="M73" s="67"/>
      <c r="N73" s="65"/>
      <c r="O73" s="65"/>
      <c r="P73" s="65"/>
      <c r="Q73" s="65"/>
    </row>
    <row r="74" spans="1:17">
      <c r="A74" s="91"/>
      <c r="B74" s="91" t="str">
        <f t="shared" si="11"/>
        <v>21-22</v>
      </c>
      <c r="C74" s="91">
        <f t="shared" si="12"/>
        <v>0</v>
      </c>
      <c r="D74" s="91">
        <f t="shared" si="13"/>
        <v>0</v>
      </c>
      <c r="E74" s="91">
        <f t="shared" si="14"/>
        <v>0</v>
      </c>
      <c r="F74" s="91">
        <f t="shared" si="15"/>
        <v>888.91</v>
      </c>
      <c r="G74" s="91">
        <f t="shared" si="16"/>
        <v>0</v>
      </c>
      <c r="H74" s="91">
        <f t="shared" si="17"/>
        <v>0</v>
      </c>
      <c r="I74" s="91">
        <f t="shared" si="18"/>
        <v>0</v>
      </c>
      <c r="J74" s="68"/>
      <c r="K74" s="67"/>
      <c r="L74" s="67"/>
      <c r="M74" s="67"/>
      <c r="N74" s="65"/>
      <c r="O74" s="65"/>
      <c r="P74" s="65"/>
      <c r="Q74" s="65"/>
    </row>
    <row r="75" spans="1:17">
      <c r="A75" s="91"/>
      <c r="B75" s="91" t="str">
        <f t="shared" si="11"/>
        <v>22-23</v>
      </c>
      <c r="C75" s="91">
        <f t="shared" si="12"/>
        <v>0</v>
      </c>
      <c r="D75" s="91">
        <f t="shared" si="13"/>
        <v>0</v>
      </c>
      <c r="E75" s="91">
        <f t="shared" si="14"/>
        <v>0</v>
      </c>
      <c r="F75" s="91">
        <f t="shared" si="15"/>
        <v>118.16</v>
      </c>
      <c r="G75" s="91">
        <f t="shared" si="16"/>
        <v>0</v>
      </c>
      <c r="H75" s="91">
        <f t="shared" si="17"/>
        <v>0</v>
      </c>
      <c r="I75" s="91">
        <f t="shared" si="18"/>
        <v>0</v>
      </c>
      <c r="J75" s="68"/>
      <c r="K75" s="67"/>
      <c r="L75" s="67"/>
      <c r="M75" s="67"/>
      <c r="N75" s="65"/>
      <c r="O75" s="65"/>
      <c r="P75" s="65"/>
      <c r="Q75" s="65"/>
    </row>
    <row r="76" spans="1:17">
      <c r="A76" s="91"/>
      <c r="B76" s="91" t="str">
        <f t="shared" si="11"/>
        <v>23-24</v>
      </c>
      <c r="C76" s="91">
        <f t="shared" si="12"/>
        <v>0</v>
      </c>
      <c r="D76" s="91">
        <f t="shared" si="13"/>
        <v>0</v>
      </c>
      <c r="E76" s="91">
        <f t="shared" si="14"/>
        <v>0</v>
      </c>
      <c r="F76" s="91">
        <f t="shared" si="15"/>
        <v>234.96</v>
      </c>
      <c r="G76" s="91">
        <f t="shared" si="16"/>
        <v>0</v>
      </c>
      <c r="H76" s="91">
        <f t="shared" si="17"/>
        <v>0</v>
      </c>
      <c r="I76" s="91">
        <f t="shared" si="18"/>
        <v>0</v>
      </c>
      <c r="J76" s="68"/>
      <c r="K76" s="67"/>
      <c r="L76" s="67"/>
      <c r="M76" s="67"/>
      <c r="N76" s="65"/>
      <c r="O76" s="65"/>
      <c r="P76" s="65"/>
      <c r="Q76" s="65"/>
    </row>
    <row r="77" spans="1:17">
      <c r="A77" s="91"/>
      <c r="B77" s="91" t="str">
        <f t="shared" ref="B77:B83" si="19">A39</f>
        <v>18-25</v>
      </c>
      <c r="C77" s="91">
        <f t="shared" si="12"/>
        <v>0</v>
      </c>
      <c r="D77" s="91">
        <f t="shared" si="13"/>
        <v>0</v>
      </c>
      <c r="E77" s="91">
        <f t="shared" si="14"/>
        <v>0</v>
      </c>
      <c r="F77" s="91">
        <f t="shared" si="15"/>
        <v>47.55</v>
      </c>
      <c r="G77" s="91">
        <f t="shared" si="16"/>
        <v>0</v>
      </c>
      <c r="H77" s="91">
        <f t="shared" si="17"/>
        <v>0</v>
      </c>
      <c r="I77" s="91">
        <f t="shared" si="18"/>
        <v>0</v>
      </c>
      <c r="J77" s="68"/>
      <c r="K77" s="67"/>
      <c r="L77" s="67"/>
      <c r="M77" s="67"/>
      <c r="N77" s="65"/>
      <c r="O77" s="65"/>
      <c r="P77" s="65"/>
      <c r="Q77" s="65"/>
    </row>
    <row r="78" spans="1:17">
      <c r="A78" s="91"/>
      <c r="B78" s="91" t="str">
        <f t="shared" si="19"/>
        <v>25-26</v>
      </c>
      <c r="C78" s="91">
        <f t="shared" si="12"/>
        <v>0</v>
      </c>
      <c r="D78" s="91">
        <f t="shared" si="13"/>
        <v>0</v>
      </c>
      <c r="E78" s="91">
        <f t="shared" si="14"/>
        <v>0</v>
      </c>
      <c r="F78" s="91">
        <f t="shared" si="15"/>
        <v>47.91</v>
      </c>
      <c r="G78" s="91">
        <f t="shared" si="16"/>
        <v>0</v>
      </c>
      <c r="H78" s="91">
        <f t="shared" si="17"/>
        <v>0</v>
      </c>
      <c r="I78" s="91">
        <f t="shared" si="18"/>
        <v>0</v>
      </c>
      <c r="J78" s="68"/>
      <c r="K78" s="67"/>
      <c r="L78" s="67"/>
      <c r="M78" s="67"/>
      <c r="N78" s="65"/>
      <c r="O78" s="65"/>
      <c r="P78" s="65"/>
      <c r="Q78" s="65"/>
    </row>
    <row r="79" spans="1:17">
      <c r="A79" s="91"/>
      <c r="B79" s="91" t="str">
        <f t="shared" si="19"/>
        <v>25-27</v>
      </c>
      <c r="C79" s="91">
        <f t="shared" si="12"/>
        <v>0</v>
      </c>
      <c r="D79" s="91">
        <f t="shared" si="13"/>
        <v>0</v>
      </c>
      <c r="E79" s="91">
        <f t="shared" si="14"/>
        <v>0</v>
      </c>
      <c r="F79" s="91">
        <f t="shared" si="15"/>
        <v>645.54</v>
      </c>
      <c r="G79" s="91">
        <f t="shared" si="16"/>
        <v>0</v>
      </c>
      <c r="H79" s="91">
        <f t="shared" si="17"/>
        <v>0</v>
      </c>
      <c r="I79" s="91">
        <f t="shared" si="18"/>
        <v>0</v>
      </c>
      <c r="J79" s="68"/>
      <c r="K79" s="67"/>
      <c r="L79" s="67"/>
      <c r="M79" s="67"/>
      <c r="N79" s="65"/>
      <c r="O79" s="65"/>
      <c r="P79" s="65"/>
      <c r="Q79" s="65"/>
    </row>
    <row r="80" spans="1:17">
      <c r="A80" s="91"/>
      <c r="B80" s="91" t="str">
        <f t="shared" si="19"/>
        <v>27-28</v>
      </c>
      <c r="C80" s="91">
        <f t="shared" si="12"/>
        <v>0</v>
      </c>
      <c r="D80" s="91">
        <f t="shared" si="13"/>
        <v>0</v>
      </c>
      <c r="E80" s="91">
        <f t="shared" si="14"/>
        <v>0</v>
      </c>
      <c r="F80" s="91">
        <f t="shared" si="15"/>
        <v>1312.75</v>
      </c>
      <c r="G80" s="91">
        <f t="shared" si="16"/>
        <v>0</v>
      </c>
      <c r="H80" s="91">
        <f t="shared" si="17"/>
        <v>0</v>
      </c>
      <c r="I80" s="91">
        <f t="shared" si="18"/>
        <v>0</v>
      </c>
      <c r="J80" s="68"/>
      <c r="K80" s="67"/>
      <c r="L80" s="67"/>
      <c r="M80" s="67"/>
      <c r="N80" s="65"/>
      <c r="O80" s="65"/>
      <c r="P80" s="65"/>
      <c r="Q80" s="65"/>
    </row>
    <row r="81" spans="1:17">
      <c r="A81" s="91"/>
      <c r="B81" s="91" t="str">
        <f t="shared" si="19"/>
        <v>28-29</v>
      </c>
      <c r="C81" s="91">
        <f t="shared" si="12"/>
        <v>0</v>
      </c>
      <c r="D81" s="91">
        <f t="shared" si="13"/>
        <v>0</v>
      </c>
      <c r="E81" s="91">
        <f t="shared" si="14"/>
        <v>0</v>
      </c>
      <c r="F81" s="91">
        <f t="shared" si="15"/>
        <v>59.05</v>
      </c>
      <c r="G81" s="91">
        <f t="shared" si="16"/>
        <v>0</v>
      </c>
      <c r="H81" s="91">
        <f t="shared" si="17"/>
        <v>0</v>
      </c>
      <c r="I81" s="91">
        <f t="shared" si="18"/>
        <v>0</v>
      </c>
      <c r="J81" s="68"/>
      <c r="K81" s="67"/>
      <c r="L81" s="67"/>
      <c r="M81" s="67"/>
      <c r="N81" s="65"/>
      <c r="O81" s="65"/>
      <c r="P81" s="65"/>
      <c r="Q81" s="65"/>
    </row>
    <row r="82" spans="1:17">
      <c r="A82" s="91"/>
      <c r="B82" s="91" t="str">
        <f t="shared" si="19"/>
        <v>28-30</v>
      </c>
      <c r="C82" s="91">
        <f t="shared" si="12"/>
        <v>0</v>
      </c>
      <c r="D82" s="91">
        <f t="shared" si="13"/>
        <v>0</v>
      </c>
      <c r="E82" s="91">
        <f t="shared" si="14"/>
        <v>0</v>
      </c>
      <c r="F82" s="91">
        <f t="shared" si="15"/>
        <v>1897.21</v>
      </c>
      <c r="G82" s="91">
        <f t="shared" si="16"/>
        <v>0</v>
      </c>
      <c r="H82" s="91">
        <f t="shared" si="17"/>
        <v>0</v>
      </c>
      <c r="I82" s="91">
        <f t="shared" si="18"/>
        <v>0</v>
      </c>
      <c r="J82" s="68"/>
      <c r="K82" s="67"/>
      <c r="L82" s="67"/>
      <c r="M82" s="67"/>
      <c r="N82" s="65"/>
      <c r="O82" s="65"/>
      <c r="P82" s="65"/>
      <c r="Q82" s="65"/>
    </row>
    <row r="83" spans="1:17">
      <c r="A83" s="91"/>
      <c r="B83" s="91" t="str">
        <f t="shared" si="19"/>
        <v>30-31</v>
      </c>
      <c r="C83" s="91">
        <f t="shared" si="12"/>
        <v>0</v>
      </c>
      <c r="D83" s="91">
        <f t="shared" si="13"/>
        <v>0</v>
      </c>
      <c r="E83" s="91">
        <f t="shared" si="14"/>
        <v>0</v>
      </c>
      <c r="F83" s="91">
        <f t="shared" si="15"/>
        <v>120.87</v>
      </c>
      <c r="G83" s="91">
        <f t="shared" si="16"/>
        <v>0</v>
      </c>
      <c r="H83" s="91">
        <f t="shared" si="17"/>
        <v>0</v>
      </c>
      <c r="I83" s="91">
        <f t="shared" si="18"/>
        <v>0</v>
      </c>
      <c r="J83" s="68"/>
      <c r="K83" s="67"/>
      <c r="L83" s="67"/>
      <c r="M83" s="67"/>
      <c r="N83" s="65"/>
      <c r="O83" s="65"/>
      <c r="P83" s="65"/>
      <c r="Q83" s="65"/>
    </row>
    <row r="84" spans="1:17">
      <c r="A84" s="63"/>
      <c r="B84" s="63" t="s">
        <v>175</v>
      </c>
      <c r="C84" s="70">
        <f t="shared" ref="C84:I84" si="20">SUM(C53:C76)</f>
        <v>0</v>
      </c>
      <c r="D84" s="178">
        <f t="shared" si="20"/>
        <v>0</v>
      </c>
      <c r="E84" s="178">
        <f t="shared" si="20"/>
        <v>0</v>
      </c>
      <c r="F84" s="178">
        <f>SUM(F53:F83)</f>
        <v>11362.19</v>
      </c>
      <c r="G84" s="178">
        <f t="shared" si="20"/>
        <v>0</v>
      </c>
      <c r="H84" s="178">
        <f t="shared" si="20"/>
        <v>0</v>
      </c>
      <c r="I84" s="178">
        <f t="shared" si="20"/>
        <v>0</v>
      </c>
      <c r="J84" s="65"/>
      <c r="K84" s="69"/>
      <c r="L84" s="65"/>
      <c r="M84" s="65"/>
      <c r="N84" s="69"/>
      <c r="O84" s="69"/>
      <c r="P84" s="69"/>
      <c r="Q84" s="69"/>
    </row>
    <row r="85" spans="1:17">
      <c r="A85" s="63"/>
      <c r="B85" s="70" t="s">
        <v>176</v>
      </c>
      <c r="C85" s="70"/>
      <c r="D85" s="864" t="s">
        <v>177</v>
      </c>
      <c r="E85" s="864"/>
      <c r="F85" s="864"/>
      <c r="G85" s="865">
        <f>SUM(C84:I84)</f>
        <v>11362.19</v>
      </c>
      <c r="H85" s="866"/>
      <c r="I85" s="867"/>
      <c r="J85" s="69"/>
      <c r="L85" s="69"/>
      <c r="M85" s="69"/>
      <c r="N85" s="69"/>
      <c r="O85" s="69"/>
      <c r="P85" s="69"/>
      <c r="Q85" s="69"/>
    </row>
    <row r="86" spans="1:17">
      <c r="A86" s="63"/>
      <c r="B86" s="863" t="s">
        <v>488</v>
      </c>
      <c r="C86" s="863"/>
      <c r="D86" s="863"/>
      <c r="E86" s="863"/>
      <c r="F86" s="863"/>
      <c r="G86" s="863"/>
      <c r="H86" s="863"/>
      <c r="I86" s="863"/>
      <c r="J86" s="69"/>
      <c r="K86" s="69"/>
      <c r="L86" s="69"/>
      <c r="M86" s="69"/>
      <c r="N86" s="69"/>
      <c r="O86" s="69"/>
      <c r="P86" s="69"/>
      <c r="Q86" s="69"/>
    </row>
    <row r="87" spans="1:17">
      <c r="A87" s="63"/>
      <c r="B87" s="273"/>
      <c r="C87" s="93">
        <v>25</v>
      </c>
      <c r="D87" s="93">
        <v>32</v>
      </c>
      <c r="E87" s="93">
        <v>42</v>
      </c>
      <c r="F87" s="93">
        <v>50</v>
      </c>
      <c r="G87" s="93">
        <v>75</v>
      </c>
      <c r="H87" s="93">
        <v>100</v>
      </c>
      <c r="I87" s="93">
        <v>150</v>
      </c>
      <c r="J87" s="69"/>
      <c r="K87" s="69"/>
      <c r="L87" s="69"/>
      <c r="M87" s="69"/>
      <c r="N87" s="69"/>
      <c r="O87" s="69"/>
      <c r="P87" s="69"/>
      <c r="Q87" s="69"/>
    </row>
    <row r="88" spans="1:17">
      <c r="A88" s="63"/>
      <c r="B88" s="273"/>
      <c r="C88" s="274">
        <v>0</v>
      </c>
      <c r="D88" s="274">
        <v>0</v>
      </c>
      <c r="E88" s="274">
        <v>0</v>
      </c>
      <c r="F88" s="274">
        <f>D11</f>
        <v>7356.54</v>
      </c>
      <c r="G88" s="274">
        <v>0</v>
      </c>
      <c r="H88" s="274">
        <v>0</v>
      </c>
      <c r="I88" s="274">
        <v>0</v>
      </c>
      <c r="J88" s="69"/>
      <c r="K88" s="69"/>
      <c r="L88" s="69"/>
      <c r="M88" s="69"/>
      <c r="N88" s="69"/>
      <c r="O88" s="69"/>
      <c r="P88" s="69"/>
      <c r="Q88" s="69"/>
    </row>
    <row r="89" spans="1:17">
      <c r="A89" s="63"/>
      <c r="B89" s="272" t="s">
        <v>176</v>
      </c>
      <c r="C89" s="272"/>
      <c r="D89" s="864" t="s">
        <v>177</v>
      </c>
      <c r="E89" s="864"/>
      <c r="F89" s="864"/>
      <c r="G89" s="865">
        <f>SUM(C88:I88)</f>
        <v>7356.54</v>
      </c>
      <c r="H89" s="866"/>
      <c r="I89" s="867"/>
    </row>
  </sheetData>
  <mergeCells count="38">
    <mergeCell ref="C13:F13"/>
    <mergeCell ref="H4:L4"/>
    <mergeCell ref="O4:Q5"/>
    <mergeCell ref="H5:L5"/>
    <mergeCell ref="H6:L6"/>
    <mergeCell ref="A4:C4"/>
    <mergeCell ref="A1:C2"/>
    <mergeCell ref="D1:Q2"/>
    <mergeCell ref="E10:F10"/>
    <mergeCell ref="E11:F11"/>
    <mergeCell ref="E4:F4"/>
    <mergeCell ref="E5:F5"/>
    <mergeCell ref="A5:C5"/>
    <mergeCell ref="A6:C6"/>
    <mergeCell ref="E9:F9"/>
    <mergeCell ref="H7:L7"/>
    <mergeCell ref="H8:L8"/>
    <mergeCell ref="H9:L9"/>
    <mergeCell ref="E6:F6"/>
    <mergeCell ref="E7:F7"/>
    <mergeCell ref="E8:F8"/>
    <mergeCell ref="A3:Q3"/>
    <mergeCell ref="B86:I86"/>
    <mergeCell ref="D89:F89"/>
    <mergeCell ref="G89:I89"/>
    <mergeCell ref="H10:L10"/>
    <mergeCell ref="A9:C9"/>
    <mergeCell ref="A10:C10"/>
    <mergeCell ref="K46:Q46"/>
    <mergeCell ref="H46:I46"/>
    <mergeCell ref="N12:O12"/>
    <mergeCell ref="A11:C11"/>
    <mergeCell ref="K12:M12"/>
    <mergeCell ref="D85:F85"/>
    <mergeCell ref="B50:I50"/>
    <mergeCell ref="G85:I85"/>
    <mergeCell ref="C46:G46"/>
    <mergeCell ref="C12:F12"/>
  </mergeCells>
  <phoneticPr fontId="9" type="noConversion"/>
  <conditionalFormatting sqref="Q15:Q45">
    <cfRule type="cellIs" dxfId="8" priority="2" stopIfTrue="1" operator="lessThan">
      <formula>7</formula>
    </cfRule>
  </conditionalFormatting>
  <conditionalFormatting sqref="P15">
    <cfRule type="cellIs" dxfId="7" priority="1" stopIfTrue="1" operator="lessThan">
      <formula>5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57" orientation="landscape" r:id="rId1"/>
  <headerFooter>
    <oddHeader>&amp;A</oddHeader>
    <oddFooter>Página &amp;P de &amp;N</oddFooter>
  </headerFooter>
  <rowBreaks count="1" manualBreakCount="1">
    <brk id="47" max="16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2:G55"/>
  <sheetViews>
    <sheetView zoomScale="90" zoomScaleNormal="90" workbookViewId="0"/>
  </sheetViews>
  <sheetFormatPr defaultRowHeight="12.75"/>
  <cols>
    <col min="1" max="1" width="2" customWidth="1"/>
    <col min="2" max="2" width="8.5703125" customWidth="1"/>
    <col min="3" max="3" width="51.42578125" customWidth="1"/>
    <col min="4" max="4" width="16.42578125" customWidth="1"/>
    <col min="5" max="5" width="3.140625" customWidth="1"/>
    <col min="257" max="257" width="2" customWidth="1"/>
    <col min="258" max="258" width="8.5703125" customWidth="1"/>
    <col min="259" max="259" width="51.42578125" customWidth="1"/>
    <col min="260" max="260" width="16.42578125" customWidth="1"/>
    <col min="261" max="261" width="3.140625" customWidth="1"/>
    <col min="513" max="513" width="2" customWidth="1"/>
    <col min="514" max="514" width="8.5703125" customWidth="1"/>
    <col min="515" max="515" width="51.42578125" customWidth="1"/>
    <col min="516" max="516" width="16.42578125" customWidth="1"/>
    <col min="517" max="517" width="3.140625" customWidth="1"/>
    <col min="769" max="769" width="2" customWidth="1"/>
    <col min="770" max="770" width="8.5703125" customWidth="1"/>
    <col min="771" max="771" width="51.42578125" customWidth="1"/>
    <col min="772" max="772" width="16.42578125" customWidth="1"/>
    <col min="773" max="773" width="3.140625" customWidth="1"/>
    <col min="1025" max="1025" width="2" customWidth="1"/>
    <col min="1026" max="1026" width="8.5703125" customWidth="1"/>
    <col min="1027" max="1027" width="51.42578125" customWidth="1"/>
    <col min="1028" max="1028" width="16.42578125" customWidth="1"/>
    <col min="1029" max="1029" width="3.140625" customWidth="1"/>
    <col min="1281" max="1281" width="2" customWidth="1"/>
    <col min="1282" max="1282" width="8.5703125" customWidth="1"/>
    <col min="1283" max="1283" width="51.42578125" customWidth="1"/>
    <col min="1284" max="1284" width="16.42578125" customWidth="1"/>
    <col min="1285" max="1285" width="3.140625" customWidth="1"/>
    <col min="1537" max="1537" width="2" customWidth="1"/>
    <col min="1538" max="1538" width="8.5703125" customWidth="1"/>
    <col min="1539" max="1539" width="51.42578125" customWidth="1"/>
    <col min="1540" max="1540" width="16.42578125" customWidth="1"/>
    <col min="1541" max="1541" width="3.140625" customWidth="1"/>
    <col min="1793" max="1793" width="2" customWidth="1"/>
    <col min="1794" max="1794" width="8.5703125" customWidth="1"/>
    <col min="1795" max="1795" width="51.42578125" customWidth="1"/>
    <col min="1796" max="1796" width="16.42578125" customWidth="1"/>
    <col min="1797" max="1797" width="3.140625" customWidth="1"/>
    <col min="2049" max="2049" width="2" customWidth="1"/>
    <col min="2050" max="2050" width="8.5703125" customWidth="1"/>
    <col min="2051" max="2051" width="51.42578125" customWidth="1"/>
    <col min="2052" max="2052" width="16.42578125" customWidth="1"/>
    <col min="2053" max="2053" width="3.140625" customWidth="1"/>
    <col min="2305" max="2305" width="2" customWidth="1"/>
    <col min="2306" max="2306" width="8.5703125" customWidth="1"/>
    <col min="2307" max="2307" width="51.42578125" customWidth="1"/>
    <col min="2308" max="2308" width="16.42578125" customWidth="1"/>
    <col min="2309" max="2309" width="3.140625" customWidth="1"/>
    <col min="2561" max="2561" width="2" customWidth="1"/>
    <col min="2562" max="2562" width="8.5703125" customWidth="1"/>
    <col min="2563" max="2563" width="51.42578125" customWidth="1"/>
    <col min="2564" max="2564" width="16.42578125" customWidth="1"/>
    <col min="2565" max="2565" width="3.140625" customWidth="1"/>
    <col min="2817" max="2817" width="2" customWidth="1"/>
    <col min="2818" max="2818" width="8.5703125" customWidth="1"/>
    <col min="2819" max="2819" width="51.42578125" customWidth="1"/>
    <col min="2820" max="2820" width="16.42578125" customWidth="1"/>
    <col min="2821" max="2821" width="3.140625" customWidth="1"/>
    <col min="3073" max="3073" width="2" customWidth="1"/>
    <col min="3074" max="3074" width="8.5703125" customWidth="1"/>
    <col min="3075" max="3075" width="51.42578125" customWidth="1"/>
    <col min="3076" max="3076" width="16.42578125" customWidth="1"/>
    <col min="3077" max="3077" width="3.140625" customWidth="1"/>
    <col min="3329" max="3329" width="2" customWidth="1"/>
    <col min="3330" max="3330" width="8.5703125" customWidth="1"/>
    <col min="3331" max="3331" width="51.42578125" customWidth="1"/>
    <col min="3332" max="3332" width="16.42578125" customWidth="1"/>
    <col min="3333" max="3333" width="3.140625" customWidth="1"/>
    <col min="3585" max="3585" width="2" customWidth="1"/>
    <col min="3586" max="3586" width="8.5703125" customWidth="1"/>
    <col min="3587" max="3587" width="51.42578125" customWidth="1"/>
    <col min="3588" max="3588" width="16.42578125" customWidth="1"/>
    <col min="3589" max="3589" width="3.140625" customWidth="1"/>
    <col min="3841" max="3841" width="2" customWidth="1"/>
    <col min="3842" max="3842" width="8.5703125" customWidth="1"/>
    <col min="3843" max="3843" width="51.42578125" customWidth="1"/>
    <col min="3844" max="3844" width="16.42578125" customWidth="1"/>
    <col min="3845" max="3845" width="3.140625" customWidth="1"/>
    <col min="4097" max="4097" width="2" customWidth="1"/>
    <col min="4098" max="4098" width="8.5703125" customWidth="1"/>
    <col min="4099" max="4099" width="51.42578125" customWidth="1"/>
    <col min="4100" max="4100" width="16.42578125" customWidth="1"/>
    <col min="4101" max="4101" width="3.140625" customWidth="1"/>
    <col min="4353" max="4353" width="2" customWidth="1"/>
    <col min="4354" max="4354" width="8.5703125" customWidth="1"/>
    <col min="4355" max="4355" width="51.42578125" customWidth="1"/>
    <col min="4356" max="4356" width="16.42578125" customWidth="1"/>
    <col min="4357" max="4357" width="3.140625" customWidth="1"/>
    <col min="4609" max="4609" width="2" customWidth="1"/>
    <col min="4610" max="4610" width="8.5703125" customWidth="1"/>
    <col min="4611" max="4611" width="51.42578125" customWidth="1"/>
    <col min="4612" max="4612" width="16.42578125" customWidth="1"/>
    <col min="4613" max="4613" width="3.140625" customWidth="1"/>
    <col min="4865" max="4865" width="2" customWidth="1"/>
    <col min="4866" max="4866" width="8.5703125" customWidth="1"/>
    <col min="4867" max="4867" width="51.42578125" customWidth="1"/>
    <col min="4868" max="4868" width="16.42578125" customWidth="1"/>
    <col min="4869" max="4869" width="3.140625" customWidth="1"/>
    <col min="5121" max="5121" width="2" customWidth="1"/>
    <col min="5122" max="5122" width="8.5703125" customWidth="1"/>
    <col min="5123" max="5123" width="51.42578125" customWidth="1"/>
    <col min="5124" max="5124" width="16.42578125" customWidth="1"/>
    <col min="5125" max="5125" width="3.140625" customWidth="1"/>
    <col min="5377" max="5377" width="2" customWidth="1"/>
    <col min="5378" max="5378" width="8.5703125" customWidth="1"/>
    <col min="5379" max="5379" width="51.42578125" customWidth="1"/>
    <col min="5380" max="5380" width="16.42578125" customWidth="1"/>
    <col min="5381" max="5381" width="3.140625" customWidth="1"/>
    <col min="5633" max="5633" width="2" customWidth="1"/>
    <col min="5634" max="5634" width="8.5703125" customWidth="1"/>
    <col min="5635" max="5635" width="51.42578125" customWidth="1"/>
    <col min="5636" max="5636" width="16.42578125" customWidth="1"/>
    <col min="5637" max="5637" width="3.140625" customWidth="1"/>
    <col min="5889" max="5889" width="2" customWidth="1"/>
    <col min="5890" max="5890" width="8.5703125" customWidth="1"/>
    <col min="5891" max="5891" width="51.42578125" customWidth="1"/>
    <col min="5892" max="5892" width="16.42578125" customWidth="1"/>
    <col min="5893" max="5893" width="3.140625" customWidth="1"/>
    <col min="6145" max="6145" width="2" customWidth="1"/>
    <col min="6146" max="6146" width="8.5703125" customWidth="1"/>
    <col min="6147" max="6147" width="51.42578125" customWidth="1"/>
    <col min="6148" max="6148" width="16.42578125" customWidth="1"/>
    <col min="6149" max="6149" width="3.140625" customWidth="1"/>
    <col min="6401" max="6401" width="2" customWidth="1"/>
    <col min="6402" max="6402" width="8.5703125" customWidth="1"/>
    <col min="6403" max="6403" width="51.42578125" customWidth="1"/>
    <col min="6404" max="6404" width="16.42578125" customWidth="1"/>
    <col min="6405" max="6405" width="3.140625" customWidth="1"/>
    <col min="6657" max="6657" width="2" customWidth="1"/>
    <col min="6658" max="6658" width="8.5703125" customWidth="1"/>
    <col min="6659" max="6659" width="51.42578125" customWidth="1"/>
    <col min="6660" max="6660" width="16.42578125" customWidth="1"/>
    <col min="6661" max="6661" width="3.140625" customWidth="1"/>
    <col min="6913" max="6913" width="2" customWidth="1"/>
    <col min="6914" max="6914" width="8.5703125" customWidth="1"/>
    <col min="6915" max="6915" width="51.42578125" customWidth="1"/>
    <col min="6916" max="6916" width="16.42578125" customWidth="1"/>
    <col min="6917" max="6917" width="3.140625" customWidth="1"/>
    <col min="7169" max="7169" width="2" customWidth="1"/>
    <col min="7170" max="7170" width="8.5703125" customWidth="1"/>
    <col min="7171" max="7171" width="51.42578125" customWidth="1"/>
    <col min="7172" max="7172" width="16.42578125" customWidth="1"/>
    <col min="7173" max="7173" width="3.140625" customWidth="1"/>
    <col min="7425" max="7425" width="2" customWidth="1"/>
    <col min="7426" max="7426" width="8.5703125" customWidth="1"/>
    <col min="7427" max="7427" width="51.42578125" customWidth="1"/>
    <col min="7428" max="7428" width="16.42578125" customWidth="1"/>
    <col min="7429" max="7429" width="3.140625" customWidth="1"/>
    <col min="7681" max="7681" width="2" customWidth="1"/>
    <col min="7682" max="7682" width="8.5703125" customWidth="1"/>
    <col min="7683" max="7683" width="51.42578125" customWidth="1"/>
    <col min="7684" max="7684" width="16.42578125" customWidth="1"/>
    <col min="7685" max="7685" width="3.140625" customWidth="1"/>
    <col min="7937" max="7937" width="2" customWidth="1"/>
    <col min="7938" max="7938" width="8.5703125" customWidth="1"/>
    <col min="7939" max="7939" width="51.42578125" customWidth="1"/>
    <col min="7940" max="7940" width="16.42578125" customWidth="1"/>
    <col min="7941" max="7941" width="3.140625" customWidth="1"/>
    <col min="8193" max="8193" width="2" customWidth="1"/>
    <col min="8194" max="8194" width="8.5703125" customWidth="1"/>
    <col min="8195" max="8195" width="51.42578125" customWidth="1"/>
    <col min="8196" max="8196" width="16.42578125" customWidth="1"/>
    <col min="8197" max="8197" width="3.140625" customWidth="1"/>
    <col min="8449" max="8449" width="2" customWidth="1"/>
    <col min="8450" max="8450" width="8.5703125" customWidth="1"/>
    <col min="8451" max="8451" width="51.42578125" customWidth="1"/>
    <col min="8452" max="8452" width="16.42578125" customWidth="1"/>
    <col min="8453" max="8453" width="3.140625" customWidth="1"/>
    <col min="8705" max="8705" width="2" customWidth="1"/>
    <col min="8706" max="8706" width="8.5703125" customWidth="1"/>
    <col min="8707" max="8707" width="51.42578125" customWidth="1"/>
    <col min="8708" max="8708" width="16.42578125" customWidth="1"/>
    <col min="8709" max="8709" width="3.140625" customWidth="1"/>
    <col min="8961" max="8961" width="2" customWidth="1"/>
    <col min="8962" max="8962" width="8.5703125" customWidth="1"/>
    <col min="8963" max="8963" width="51.42578125" customWidth="1"/>
    <col min="8964" max="8964" width="16.42578125" customWidth="1"/>
    <col min="8965" max="8965" width="3.140625" customWidth="1"/>
    <col min="9217" max="9217" width="2" customWidth="1"/>
    <col min="9218" max="9218" width="8.5703125" customWidth="1"/>
    <col min="9219" max="9219" width="51.42578125" customWidth="1"/>
    <col min="9220" max="9220" width="16.42578125" customWidth="1"/>
    <col min="9221" max="9221" width="3.140625" customWidth="1"/>
    <col min="9473" max="9473" width="2" customWidth="1"/>
    <col min="9474" max="9474" width="8.5703125" customWidth="1"/>
    <col min="9475" max="9475" width="51.42578125" customWidth="1"/>
    <col min="9476" max="9476" width="16.42578125" customWidth="1"/>
    <col min="9477" max="9477" width="3.140625" customWidth="1"/>
    <col min="9729" max="9729" width="2" customWidth="1"/>
    <col min="9730" max="9730" width="8.5703125" customWidth="1"/>
    <col min="9731" max="9731" width="51.42578125" customWidth="1"/>
    <col min="9732" max="9732" width="16.42578125" customWidth="1"/>
    <col min="9733" max="9733" width="3.140625" customWidth="1"/>
    <col min="9985" max="9985" width="2" customWidth="1"/>
    <col min="9986" max="9986" width="8.5703125" customWidth="1"/>
    <col min="9987" max="9987" width="51.42578125" customWidth="1"/>
    <col min="9988" max="9988" width="16.42578125" customWidth="1"/>
    <col min="9989" max="9989" width="3.140625" customWidth="1"/>
    <col min="10241" max="10241" width="2" customWidth="1"/>
    <col min="10242" max="10242" width="8.5703125" customWidth="1"/>
    <col min="10243" max="10243" width="51.42578125" customWidth="1"/>
    <col min="10244" max="10244" width="16.42578125" customWidth="1"/>
    <col min="10245" max="10245" width="3.140625" customWidth="1"/>
    <col min="10497" max="10497" width="2" customWidth="1"/>
    <col min="10498" max="10498" width="8.5703125" customWidth="1"/>
    <col min="10499" max="10499" width="51.42578125" customWidth="1"/>
    <col min="10500" max="10500" width="16.42578125" customWidth="1"/>
    <col min="10501" max="10501" width="3.140625" customWidth="1"/>
    <col min="10753" max="10753" width="2" customWidth="1"/>
    <col min="10754" max="10754" width="8.5703125" customWidth="1"/>
    <col min="10755" max="10755" width="51.42578125" customWidth="1"/>
    <col min="10756" max="10756" width="16.42578125" customWidth="1"/>
    <col min="10757" max="10757" width="3.140625" customWidth="1"/>
    <col min="11009" max="11009" width="2" customWidth="1"/>
    <col min="11010" max="11010" width="8.5703125" customWidth="1"/>
    <col min="11011" max="11011" width="51.42578125" customWidth="1"/>
    <col min="11012" max="11012" width="16.42578125" customWidth="1"/>
    <col min="11013" max="11013" width="3.140625" customWidth="1"/>
    <col min="11265" max="11265" width="2" customWidth="1"/>
    <col min="11266" max="11266" width="8.5703125" customWidth="1"/>
    <col min="11267" max="11267" width="51.42578125" customWidth="1"/>
    <col min="11268" max="11268" width="16.42578125" customWidth="1"/>
    <col min="11269" max="11269" width="3.140625" customWidth="1"/>
    <col min="11521" max="11521" width="2" customWidth="1"/>
    <col min="11522" max="11522" width="8.5703125" customWidth="1"/>
    <col min="11523" max="11523" width="51.42578125" customWidth="1"/>
    <col min="11524" max="11524" width="16.42578125" customWidth="1"/>
    <col min="11525" max="11525" width="3.140625" customWidth="1"/>
    <col min="11777" max="11777" width="2" customWidth="1"/>
    <col min="11778" max="11778" width="8.5703125" customWidth="1"/>
    <col min="11779" max="11779" width="51.42578125" customWidth="1"/>
    <col min="11780" max="11780" width="16.42578125" customWidth="1"/>
    <col min="11781" max="11781" width="3.140625" customWidth="1"/>
    <col min="12033" max="12033" width="2" customWidth="1"/>
    <col min="12034" max="12034" width="8.5703125" customWidth="1"/>
    <col min="12035" max="12035" width="51.42578125" customWidth="1"/>
    <col min="12036" max="12036" width="16.42578125" customWidth="1"/>
    <col min="12037" max="12037" width="3.140625" customWidth="1"/>
    <col min="12289" max="12289" width="2" customWidth="1"/>
    <col min="12290" max="12290" width="8.5703125" customWidth="1"/>
    <col min="12291" max="12291" width="51.42578125" customWidth="1"/>
    <col min="12292" max="12292" width="16.42578125" customWidth="1"/>
    <col min="12293" max="12293" width="3.140625" customWidth="1"/>
    <col min="12545" max="12545" width="2" customWidth="1"/>
    <col min="12546" max="12546" width="8.5703125" customWidth="1"/>
    <col min="12547" max="12547" width="51.42578125" customWidth="1"/>
    <col min="12548" max="12548" width="16.42578125" customWidth="1"/>
    <col min="12549" max="12549" width="3.140625" customWidth="1"/>
    <col min="12801" max="12801" width="2" customWidth="1"/>
    <col min="12802" max="12802" width="8.5703125" customWidth="1"/>
    <col min="12803" max="12803" width="51.42578125" customWidth="1"/>
    <col min="12804" max="12804" width="16.42578125" customWidth="1"/>
    <col min="12805" max="12805" width="3.140625" customWidth="1"/>
    <col min="13057" max="13057" width="2" customWidth="1"/>
    <col min="13058" max="13058" width="8.5703125" customWidth="1"/>
    <col min="13059" max="13059" width="51.42578125" customWidth="1"/>
    <col min="13060" max="13060" width="16.42578125" customWidth="1"/>
    <col min="13061" max="13061" width="3.140625" customWidth="1"/>
    <col min="13313" max="13313" width="2" customWidth="1"/>
    <col min="13314" max="13314" width="8.5703125" customWidth="1"/>
    <col min="13315" max="13315" width="51.42578125" customWidth="1"/>
    <col min="13316" max="13316" width="16.42578125" customWidth="1"/>
    <col min="13317" max="13317" width="3.140625" customWidth="1"/>
    <col min="13569" max="13569" width="2" customWidth="1"/>
    <col min="13570" max="13570" width="8.5703125" customWidth="1"/>
    <col min="13571" max="13571" width="51.42578125" customWidth="1"/>
    <col min="13572" max="13572" width="16.42578125" customWidth="1"/>
    <col min="13573" max="13573" width="3.140625" customWidth="1"/>
    <col min="13825" max="13825" width="2" customWidth="1"/>
    <col min="13826" max="13826" width="8.5703125" customWidth="1"/>
    <col min="13827" max="13827" width="51.42578125" customWidth="1"/>
    <col min="13828" max="13828" width="16.42578125" customWidth="1"/>
    <col min="13829" max="13829" width="3.140625" customWidth="1"/>
    <col min="14081" max="14081" width="2" customWidth="1"/>
    <col min="14082" max="14082" width="8.5703125" customWidth="1"/>
    <col min="14083" max="14083" width="51.42578125" customWidth="1"/>
    <col min="14084" max="14084" width="16.42578125" customWidth="1"/>
    <col min="14085" max="14085" width="3.140625" customWidth="1"/>
    <col min="14337" max="14337" width="2" customWidth="1"/>
    <col min="14338" max="14338" width="8.5703125" customWidth="1"/>
    <col min="14339" max="14339" width="51.42578125" customWidth="1"/>
    <col min="14340" max="14340" width="16.42578125" customWidth="1"/>
    <col min="14341" max="14341" width="3.140625" customWidth="1"/>
    <col min="14593" max="14593" width="2" customWidth="1"/>
    <col min="14594" max="14594" width="8.5703125" customWidth="1"/>
    <col min="14595" max="14595" width="51.42578125" customWidth="1"/>
    <col min="14596" max="14596" width="16.42578125" customWidth="1"/>
    <col min="14597" max="14597" width="3.140625" customWidth="1"/>
    <col min="14849" max="14849" width="2" customWidth="1"/>
    <col min="14850" max="14850" width="8.5703125" customWidth="1"/>
    <col min="14851" max="14851" width="51.42578125" customWidth="1"/>
    <col min="14852" max="14852" width="16.42578125" customWidth="1"/>
    <col min="14853" max="14853" width="3.140625" customWidth="1"/>
    <col min="15105" max="15105" width="2" customWidth="1"/>
    <col min="15106" max="15106" width="8.5703125" customWidth="1"/>
    <col min="15107" max="15107" width="51.42578125" customWidth="1"/>
    <col min="15108" max="15108" width="16.42578125" customWidth="1"/>
    <col min="15109" max="15109" width="3.140625" customWidth="1"/>
    <col min="15361" max="15361" width="2" customWidth="1"/>
    <col min="15362" max="15362" width="8.5703125" customWidth="1"/>
    <col min="15363" max="15363" width="51.42578125" customWidth="1"/>
    <col min="15364" max="15364" width="16.42578125" customWidth="1"/>
    <col min="15365" max="15365" width="3.140625" customWidth="1"/>
    <col min="15617" max="15617" width="2" customWidth="1"/>
    <col min="15618" max="15618" width="8.5703125" customWidth="1"/>
    <col min="15619" max="15619" width="51.42578125" customWidth="1"/>
    <col min="15620" max="15620" width="16.42578125" customWidth="1"/>
    <col min="15621" max="15621" width="3.140625" customWidth="1"/>
    <col min="15873" max="15873" width="2" customWidth="1"/>
    <col min="15874" max="15874" width="8.5703125" customWidth="1"/>
    <col min="15875" max="15875" width="51.42578125" customWidth="1"/>
    <col min="15876" max="15876" width="16.42578125" customWidth="1"/>
    <col min="15877" max="15877" width="3.140625" customWidth="1"/>
    <col min="16129" max="16129" width="2" customWidth="1"/>
    <col min="16130" max="16130" width="8.5703125" customWidth="1"/>
    <col min="16131" max="16131" width="51.42578125" customWidth="1"/>
    <col min="16132" max="16132" width="16.42578125" customWidth="1"/>
    <col min="16133" max="16133" width="3.140625" customWidth="1"/>
  </cols>
  <sheetData>
    <row r="2" spans="2:6" ht="27.75" customHeight="1">
      <c r="B2" s="892" t="s">
        <v>8</v>
      </c>
      <c r="C2" s="892"/>
      <c r="D2" s="892"/>
    </row>
    <row r="3" spans="2:6" ht="2.25" customHeight="1">
      <c r="B3" s="893"/>
      <c r="C3" s="893"/>
      <c r="D3" s="893"/>
    </row>
    <row r="4" spans="2:6" ht="19.5" customHeight="1">
      <c r="B4" s="894" t="s">
        <v>683</v>
      </c>
      <c r="C4" s="894"/>
      <c r="D4" s="894"/>
      <c r="F4" s="427"/>
    </row>
    <row r="5" spans="2:6">
      <c r="B5" s="428"/>
      <c r="C5" s="429" t="s">
        <v>210</v>
      </c>
      <c r="D5" s="430"/>
    </row>
    <row r="6" spans="2:6">
      <c r="B6" s="428" t="s">
        <v>27</v>
      </c>
      <c r="C6" s="429" t="s">
        <v>273</v>
      </c>
      <c r="D6" s="431"/>
      <c r="F6" s="432"/>
    </row>
    <row r="7" spans="2:6">
      <c r="B7" s="428" t="s">
        <v>23</v>
      </c>
      <c r="C7" s="433" t="s">
        <v>274</v>
      </c>
      <c r="D7" s="434">
        <v>31377</v>
      </c>
    </row>
    <row r="8" spans="2:6">
      <c r="B8" s="428" t="s">
        <v>24</v>
      </c>
      <c r="C8" s="433" t="s">
        <v>275</v>
      </c>
      <c r="D8" s="431">
        <v>36</v>
      </c>
    </row>
    <row r="9" spans="2:6">
      <c r="B9" s="428" t="s">
        <v>25</v>
      </c>
      <c r="C9" s="433" t="s">
        <v>276</v>
      </c>
      <c r="D9" s="435">
        <v>0.4</v>
      </c>
    </row>
    <row r="10" spans="2:6">
      <c r="B10" s="428" t="s">
        <v>26</v>
      </c>
      <c r="C10" s="433" t="s">
        <v>277</v>
      </c>
      <c r="D10" s="431">
        <f>(D7-(D9*D7))/D8</f>
        <v>522.95000000000005</v>
      </c>
    </row>
    <row r="11" spans="2:6">
      <c r="B11" s="428"/>
      <c r="C11" s="433"/>
      <c r="D11" s="431"/>
    </row>
    <row r="12" spans="2:6">
      <c r="B12" s="428" t="s">
        <v>30</v>
      </c>
      <c r="C12" s="429" t="s">
        <v>278</v>
      </c>
      <c r="D12" s="431"/>
    </row>
    <row r="13" spans="2:6">
      <c r="B13" s="428" t="s">
        <v>28</v>
      </c>
      <c r="C13" s="433" t="s">
        <v>279</v>
      </c>
      <c r="D13" s="435">
        <v>0.05</v>
      </c>
    </row>
    <row r="14" spans="2:6">
      <c r="B14" s="428" t="s">
        <v>29</v>
      </c>
      <c r="C14" s="433" t="s">
        <v>280</v>
      </c>
      <c r="D14" s="431">
        <f>D13*D10</f>
        <v>26.15</v>
      </c>
    </row>
    <row r="15" spans="2:6">
      <c r="B15" s="428"/>
      <c r="C15" s="429"/>
      <c r="D15" s="431"/>
    </row>
    <row r="16" spans="2:6">
      <c r="B16" s="428" t="s">
        <v>33</v>
      </c>
      <c r="C16" s="429" t="s">
        <v>281</v>
      </c>
      <c r="D16" s="431"/>
    </row>
    <row r="17" spans="2:6">
      <c r="B17" s="428" t="s">
        <v>31</v>
      </c>
      <c r="C17" s="433" t="s">
        <v>282</v>
      </c>
      <c r="D17" s="435">
        <v>1</v>
      </c>
      <c r="F17" s="432"/>
    </row>
    <row r="18" spans="2:6">
      <c r="B18" s="428" t="s">
        <v>32</v>
      </c>
      <c r="C18" s="433" t="s">
        <v>283</v>
      </c>
      <c r="D18" s="431">
        <f>D17*D10</f>
        <v>522.95000000000005</v>
      </c>
    </row>
    <row r="19" spans="2:6">
      <c r="B19" s="428" t="s">
        <v>210</v>
      </c>
      <c r="C19" s="433" t="s">
        <v>210</v>
      </c>
      <c r="D19" s="434" t="s">
        <v>210</v>
      </c>
    </row>
    <row r="20" spans="2:6">
      <c r="B20" s="428" t="s">
        <v>36</v>
      </c>
      <c r="C20" s="429" t="s">
        <v>284</v>
      </c>
      <c r="D20" s="434"/>
    </row>
    <row r="21" spans="2:6">
      <c r="B21" s="428" t="s">
        <v>34</v>
      </c>
      <c r="C21" s="433" t="s">
        <v>285</v>
      </c>
      <c r="D21" s="434">
        <v>3000</v>
      </c>
    </row>
    <row r="22" spans="2:6">
      <c r="B22" s="428" t="s">
        <v>35</v>
      </c>
      <c r="C22" s="433" t="s">
        <v>286</v>
      </c>
      <c r="D22" s="434">
        <v>2.97</v>
      </c>
    </row>
    <row r="23" spans="2:6">
      <c r="B23" s="428" t="s">
        <v>287</v>
      </c>
      <c r="C23" s="433" t="s">
        <v>288</v>
      </c>
      <c r="D23" s="434">
        <v>10</v>
      </c>
    </row>
    <row r="24" spans="2:6">
      <c r="B24" s="428" t="s">
        <v>289</v>
      </c>
      <c r="C24" s="433" t="s">
        <v>290</v>
      </c>
      <c r="D24" s="434">
        <f>(D21/D23)*D22</f>
        <v>891</v>
      </c>
    </row>
    <row r="25" spans="2:6">
      <c r="B25" s="428"/>
      <c r="C25" s="433"/>
      <c r="D25" s="434"/>
    </row>
    <row r="26" spans="2:6">
      <c r="B26" s="428" t="s">
        <v>291</v>
      </c>
      <c r="C26" s="429" t="s">
        <v>292</v>
      </c>
      <c r="D26" s="434"/>
      <c r="F26" s="436"/>
    </row>
    <row r="27" spans="2:6">
      <c r="B27" s="428" t="s">
        <v>293</v>
      </c>
      <c r="C27" s="433" t="s">
        <v>294</v>
      </c>
      <c r="D27" s="434">
        <f>D21*6</f>
        <v>18000</v>
      </c>
    </row>
    <row r="28" spans="2:6">
      <c r="B28" s="428" t="s">
        <v>295</v>
      </c>
      <c r="C28" s="433" t="s">
        <v>296</v>
      </c>
      <c r="D28" s="434">
        <v>5000</v>
      </c>
    </row>
    <row r="29" spans="2:6">
      <c r="B29" s="428" t="s">
        <v>297</v>
      </c>
      <c r="C29" s="433" t="s">
        <v>298</v>
      </c>
      <c r="D29" s="434">
        <v>12</v>
      </c>
    </row>
    <row r="30" spans="2:6">
      <c r="B30" s="428" t="s">
        <v>299</v>
      </c>
      <c r="C30" s="433" t="s">
        <v>300</v>
      </c>
      <c r="D30" s="434">
        <v>3.5</v>
      </c>
    </row>
    <row r="31" spans="2:6">
      <c r="B31" s="428" t="s">
        <v>301</v>
      </c>
      <c r="C31" s="433" t="s">
        <v>302</v>
      </c>
      <c r="D31" s="434">
        <f>6*30</f>
        <v>180</v>
      </c>
    </row>
    <row r="32" spans="2:6">
      <c r="B32" s="428" t="s">
        <v>303</v>
      </c>
      <c r="C32" s="433" t="s">
        <v>304</v>
      </c>
      <c r="D32" s="437">
        <f>(D27*D29*D30*30)/(D28*D31)</f>
        <v>25.2</v>
      </c>
    </row>
    <row r="33" spans="2:7">
      <c r="B33" s="428"/>
      <c r="C33" s="433"/>
      <c r="D33" s="438"/>
    </row>
    <row r="34" spans="2:7">
      <c r="B34" s="428" t="s">
        <v>305</v>
      </c>
      <c r="C34" s="429" t="s">
        <v>306</v>
      </c>
      <c r="D34" s="438"/>
    </row>
    <row r="35" spans="2:7">
      <c r="B35" s="428" t="s">
        <v>307</v>
      </c>
      <c r="C35" s="433" t="s">
        <v>294</v>
      </c>
      <c r="D35" s="434">
        <f>D27</f>
        <v>18000</v>
      </c>
      <c r="F35" s="439"/>
    </row>
    <row r="36" spans="2:7">
      <c r="B36" s="428" t="s">
        <v>308</v>
      </c>
      <c r="C36" s="433" t="s">
        <v>309</v>
      </c>
      <c r="D36" s="434">
        <v>45000</v>
      </c>
    </row>
    <row r="37" spans="2:7">
      <c r="B37" s="428" t="s">
        <v>310</v>
      </c>
      <c r="C37" s="433" t="s">
        <v>311</v>
      </c>
      <c r="D37" s="434">
        <v>5</v>
      </c>
    </row>
    <row r="38" spans="2:7">
      <c r="B38" s="428" t="s">
        <v>312</v>
      </c>
      <c r="C38" s="433" t="s">
        <v>313</v>
      </c>
      <c r="D38" s="434">
        <v>215.07</v>
      </c>
    </row>
    <row r="39" spans="2:7">
      <c r="B39" s="428" t="s">
        <v>314</v>
      </c>
      <c r="C39" s="433" t="s">
        <v>315</v>
      </c>
      <c r="D39" s="434">
        <f>D31</f>
        <v>180</v>
      </c>
    </row>
    <row r="40" spans="2:7">
      <c r="B40" s="428" t="s">
        <v>316</v>
      </c>
      <c r="C40" s="433" t="s">
        <v>317</v>
      </c>
      <c r="D40" s="434">
        <f>(D35*D37*D38*30)/(D36*D39)</f>
        <v>71.69</v>
      </c>
    </row>
    <row r="41" spans="2:7">
      <c r="B41" s="428"/>
      <c r="C41" s="433"/>
      <c r="D41" s="434"/>
    </row>
    <row r="42" spans="2:7">
      <c r="B42" s="428" t="s">
        <v>318</v>
      </c>
      <c r="C42" s="429" t="s">
        <v>319</v>
      </c>
      <c r="D42" s="434"/>
    </row>
    <row r="43" spans="2:7">
      <c r="B43" s="428" t="s">
        <v>320</v>
      </c>
      <c r="C43" s="433" t="s">
        <v>321</v>
      </c>
      <c r="D43" s="434">
        <v>1416.8</v>
      </c>
    </row>
    <row r="44" spans="2:7">
      <c r="B44" s="428"/>
      <c r="C44" s="433"/>
      <c r="D44" s="434"/>
    </row>
    <row r="45" spans="2:7">
      <c r="B45" s="428" t="s">
        <v>322</v>
      </c>
      <c r="C45" s="429" t="s">
        <v>323</v>
      </c>
      <c r="D45" s="437" t="s">
        <v>210</v>
      </c>
    </row>
    <row r="46" spans="2:7">
      <c r="B46" s="428"/>
      <c r="C46" s="433" t="s">
        <v>324</v>
      </c>
      <c r="D46" s="440">
        <f>D10+D14+D18+D24+D32+D40</f>
        <v>2059.94</v>
      </c>
      <c r="G46" s="441" t="s">
        <v>210</v>
      </c>
    </row>
    <row r="47" spans="2:7">
      <c r="B47" s="428"/>
      <c r="C47" s="433" t="s">
        <v>325</v>
      </c>
      <c r="D47" s="437">
        <f>D10+D14+D18+D24+D32+D40+D43</f>
        <v>3476.74</v>
      </c>
    </row>
    <row r="48" spans="2:7">
      <c r="B48" s="428"/>
      <c r="C48" s="429"/>
      <c r="D48" s="437"/>
    </row>
    <row r="49" spans="2:4">
      <c r="B49" s="428" t="s">
        <v>326</v>
      </c>
      <c r="C49" s="429" t="s">
        <v>327</v>
      </c>
      <c r="D49" s="437"/>
    </row>
    <row r="50" spans="2:4">
      <c r="B50" s="428"/>
      <c r="C50" s="433" t="s">
        <v>324</v>
      </c>
      <c r="D50" s="437">
        <f>D46/D21</f>
        <v>0.69</v>
      </c>
    </row>
    <row r="51" spans="2:4">
      <c r="B51" s="428"/>
      <c r="C51" s="433" t="s">
        <v>325</v>
      </c>
      <c r="D51" s="437">
        <f>D47/D21</f>
        <v>1.1599999999999999</v>
      </c>
    </row>
    <row r="52" spans="2:4">
      <c r="B52" s="428"/>
      <c r="C52" s="429"/>
      <c r="D52" s="437"/>
    </row>
    <row r="53" spans="2:4">
      <c r="B53" s="442" t="s">
        <v>328</v>
      </c>
      <c r="C53" s="443" t="s">
        <v>329</v>
      </c>
      <c r="D53" s="444" t="s">
        <v>210</v>
      </c>
    </row>
    <row r="54" spans="2:4">
      <c r="B54" s="442" t="s">
        <v>330</v>
      </c>
      <c r="C54" s="445" t="s">
        <v>324</v>
      </c>
      <c r="D54" s="444">
        <f>D46*(1+'BDI''s'!C33%)</f>
        <v>2558.0300000000002</v>
      </c>
    </row>
    <row r="55" spans="2:4">
      <c r="B55" s="446" t="s">
        <v>331</v>
      </c>
      <c r="C55" s="447" t="s">
        <v>325</v>
      </c>
      <c r="D55" s="448">
        <f>D47*(1+'BDI''s'!C33%)</f>
        <v>4317.42</v>
      </c>
    </row>
  </sheetData>
  <sheetProtection selectLockedCells="1" selectUnlockedCells="1"/>
  <mergeCells count="3">
    <mergeCell ref="B2:D2"/>
    <mergeCell ref="B3:D3"/>
    <mergeCell ref="B4:D4"/>
  </mergeCells>
  <printOptions horizontalCentered="1"/>
  <pageMargins left="0.51181102362204722" right="0.51181102362204722" top="0.78740157480314965" bottom="0.78740157480314965" header="0.51181102362204722" footer="0.51181102362204722"/>
  <pageSetup paperSize="9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>
    <tabColor rgb="FF0070C0"/>
  </sheetPr>
  <dimension ref="A1:P50"/>
  <sheetViews>
    <sheetView view="pageBreakPreview" zoomScaleNormal="100" zoomScaleSheetLayoutView="100" workbookViewId="0"/>
  </sheetViews>
  <sheetFormatPr defaultRowHeight="15"/>
  <cols>
    <col min="1" max="1" width="3.42578125" style="73" customWidth="1"/>
    <col min="2" max="4" width="9.140625" style="73"/>
    <col min="5" max="5" width="11.7109375" style="73" customWidth="1"/>
    <col min="6" max="6" width="14.28515625" style="73" customWidth="1"/>
    <col min="7" max="7" width="2.28515625" style="73" customWidth="1"/>
    <col min="8" max="14" width="9.140625" style="73"/>
    <col min="15" max="15" width="1.28515625" style="73" customWidth="1"/>
    <col min="16" max="16384" width="9.140625" style="73"/>
  </cols>
  <sheetData>
    <row r="1" spans="1:16" ht="4.5" customHeight="1" thickBot="1">
      <c r="A1" s="71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6" ht="58.5" customHeight="1" thickBot="1">
      <c r="B2" s="906"/>
      <c r="C2" s="907"/>
      <c r="D2" s="907"/>
      <c r="E2" s="907"/>
      <c r="F2" s="903" t="s">
        <v>339</v>
      </c>
      <c r="G2" s="904"/>
      <c r="H2" s="904"/>
      <c r="I2" s="904"/>
      <c r="J2" s="904"/>
      <c r="K2" s="904"/>
      <c r="L2" s="904"/>
      <c r="M2" s="904"/>
      <c r="N2" s="905"/>
    </row>
    <row r="3" spans="1:16" ht="6.75" customHeight="1" thickBot="1">
      <c r="B3" s="906"/>
      <c r="C3" s="907"/>
      <c r="D3" s="907"/>
      <c r="E3" s="907"/>
      <c r="F3" s="907"/>
      <c r="G3" s="907"/>
      <c r="H3" s="907"/>
      <c r="I3" s="907"/>
      <c r="J3" s="907"/>
      <c r="K3" s="907"/>
      <c r="L3" s="907"/>
      <c r="M3" s="907"/>
      <c r="N3" s="913"/>
    </row>
    <row r="4" spans="1:16" ht="26.25" customHeight="1">
      <c r="B4" s="929" t="s">
        <v>424</v>
      </c>
      <c r="C4" s="929"/>
      <c r="D4" s="929"/>
      <c r="E4" s="929"/>
      <c r="F4" s="929"/>
      <c r="G4" s="929"/>
      <c r="H4" s="929"/>
      <c r="I4" s="929"/>
      <c r="J4" s="929"/>
      <c r="K4" s="929"/>
      <c r="L4" s="929"/>
      <c r="M4" s="929"/>
      <c r="N4" s="929"/>
    </row>
    <row r="5" spans="1:16" ht="6.75" customHeight="1" thickBot="1">
      <c r="B5" s="929"/>
      <c r="C5" s="929"/>
      <c r="D5" s="929"/>
      <c r="E5" s="929"/>
      <c r="F5" s="929"/>
      <c r="G5" s="929"/>
      <c r="H5" s="929"/>
      <c r="I5" s="929"/>
      <c r="J5" s="929"/>
      <c r="K5" s="929"/>
      <c r="L5" s="929"/>
      <c r="M5" s="929"/>
      <c r="N5" s="929"/>
    </row>
    <row r="6" spans="1:16" ht="24.95" customHeight="1">
      <c r="B6" s="908" t="s">
        <v>453</v>
      </c>
      <c r="C6" s="909"/>
      <c r="D6" s="909"/>
      <c r="E6" s="909"/>
      <c r="F6" s="909"/>
      <c r="G6" s="909"/>
      <c r="H6" s="909"/>
      <c r="I6" s="909"/>
      <c r="J6" s="909"/>
      <c r="K6" s="909"/>
      <c r="L6" s="909"/>
      <c r="M6" s="909"/>
      <c r="N6" s="910"/>
    </row>
    <row r="7" spans="1:16" ht="18" customHeight="1">
      <c r="B7" s="901" t="s">
        <v>178</v>
      </c>
      <c r="C7" s="902"/>
      <c r="D7" s="902"/>
      <c r="E7" s="74">
        <v>110</v>
      </c>
      <c r="F7" s="99" t="s">
        <v>62</v>
      </c>
      <c r="G7" s="76"/>
      <c r="H7" s="76"/>
      <c r="I7" s="76"/>
      <c r="J7" s="76"/>
      <c r="K7" s="76"/>
      <c r="L7" s="71"/>
      <c r="M7" s="71"/>
      <c r="N7" s="77"/>
    </row>
    <row r="8" spans="1:16" ht="18" customHeight="1">
      <c r="B8" s="901" t="s">
        <v>179</v>
      </c>
      <c r="C8" s="902"/>
      <c r="D8" s="902"/>
      <c r="E8" s="74">
        <v>740</v>
      </c>
      <c r="F8" s="99" t="s">
        <v>4</v>
      </c>
      <c r="G8" s="76"/>
      <c r="H8" s="76"/>
      <c r="I8" s="76"/>
      <c r="J8" s="76"/>
      <c r="K8" s="76"/>
      <c r="L8" s="71"/>
      <c r="M8" s="71"/>
      <c r="N8" s="77"/>
    </row>
    <row r="9" spans="1:16" ht="18" customHeight="1">
      <c r="B9" s="901" t="s">
        <v>180</v>
      </c>
      <c r="C9" s="902"/>
      <c r="D9" s="902"/>
      <c r="E9" s="74">
        <v>0.65</v>
      </c>
      <c r="F9" s="99" t="str">
        <f>F8</f>
        <v>m</v>
      </c>
      <c r="G9" s="76"/>
      <c r="H9" s="898" t="s">
        <v>181</v>
      </c>
      <c r="I9" s="898"/>
      <c r="J9" s="911">
        <v>50</v>
      </c>
      <c r="K9" s="76"/>
      <c r="L9" s="71"/>
      <c r="M9" s="71"/>
      <c r="N9" s="77"/>
    </row>
    <row r="10" spans="1:16" ht="18" customHeight="1">
      <c r="B10" s="901" t="s">
        <v>182</v>
      </c>
      <c r="C10" s="902"/>
      <c r="D10" s="902"/>
      <c r="E10" s="74">
        <v>0.6</v>
      </c>
      <c r="F10" s="99" t="str">
        <f>F9</f>
        <v>m</v>
      </c>
      <c r="G10" s="76"/>
      <c r="H10" s="898"/>
      <c r="I10" s="898"/>
      <c r="J10" s="912"/>
      <c r="K10" s="76"/>
      <c r="L10" s="71"/>
      <c r="M10" s="71"/>
      <c r="N10" s="77"/>
    </row>
    <row r="11" spans="1:16" ht="27" customHeight="1">
      <c r="B11" s="895" t="s">
        <v>183</v>
      </c>
      <c r="C11" s="896"/>
      <c r="D11" s="897"/>
      <c r="E11" s="74">
        <v>0.1</v>
      </c>
      <c r="F11" s="99" t="str">
        <f>F10</f>
        <v>m</v>
      </c>
      <c r="G11" s="76"/>
      <c r="H11" s="898" t="s">
        <v>184</v>
      </c>
      <c r="I11" s="898"/>
      <c r="J11" s="911">
        <v>45</v>
      </c>
      <c r="K11" s="76"/>
      <c r="L11" s="71"/>
      <c r="M11" s="71"/>
      <c r="N11" s="77"/>
    </row>
    <row r="12" spans="1:16" ht="18" customHeight="1">
      <c r="B12" s="901" t="s">
        <v>185</v>
      </c>
      <c r="C12" s="902"/>
      <c r="D12" s="902"/>
      <c r="E12" s="74">
        <f>E11*E9*E8</f>
        <v>48.1</v>
      </c>
      <c r="F12" s="99" t="s">
        <v>6</v>
      </c>
      <c r="G12" s="76"/>
      <c r="H12" s="898"/>
      <c r="I12" s="898"/>
      <c r="J12" s="912"/>
      <c r="K12" s="76"/>
      <c r="L12" s="71"/>
      <c r="M12" s="71"/>
      <c r="N12" s="77"/>
    </row>
    <row r="13" spans="1:16" ht="18" customHeight="1">
      <c r="B13" s="901" t="s">
        <v>186</v>
      </c>
      <c r="C13" s="902"/>
      <c r="D13" s="902"/>
      <c r="E13" s="74">
        <f>E11+E10+(E7/1000)</f>
        <v>0.81</v>
      </c>
      <c r="F13" s="99" t="str">
        <f>F10</f>
        <v>m</v>
      </c>
      <c r="G13" s="76"/>
      <c r="H13" s="898" t="s">
        <v>187</v>
      </c>
      <c r="I13" s="898"/>
      <c r="J13" s="915">
        <f>100-J11-J9</f>
        <v>5</v>
      </c>
      <c r="K13" s="78">
        <v>100</v>
      </c>
      <c r="L13" s="914" t="s">
        <v>188</v>
      </c>
      <c r="M13" s="914"/>
      <c r="N13" s="77"/>
      <c r="P13" s="142"/>
    </row>
    <row r="14" spans="1:16" ht="18" customHeight="1">
      <c r="B14" s="901" t="s">
        <v>189</v>
      </c>
      <c r="C14" s="902"/>
      <c r="D14" s="902"/>
      <c r="E14" s="74">
        <f>E13*E9*E8</f>
        <v>389.61</v>
      </c>
      <c r="F14" s="99" t="s">
        <v>6</v>
      </c>
      <c r="G14" s="76"/>
      <c r="H14" s="898"/>
      <c r="I14" s="898"/>
      <c r="J14" s="915"/>
      <c r="K14" s="79">
        <f>100-K13</f>
        <v>0</v>
      </c>
      <c r="L14" s="914" t="s">
        <v>190</v>
      </c>
      <c r="M14" s="914"/>
      <c r="N14" s="77"/>
    </row>
    <row r="15" spans="1:16" ht="31.5" customHeight="1">
      <c r="B15" s="930" t="s">
        <v>381</v>
      </c>
      <c r="C15" s="931"/>
      <c r="D15" s="932"/>
      <c r="E15" s="193">
        <f>E14*J9/100</f>
        <v>194.81</v>
      </c>
      <c r="F15" s="189" t="str">
        <f>F14</f>
        <v>m³</v>
      </c>
      <c r="G15" s="76"/>
      <c r="H15" s="76"/>
      <c r="I15" s="76"/>
      <c r="J15" s="76"/>
      <c r="K15" s="76"/>
      <c r="L15" s="71"/>
      <c r="M15" s="71"/>
      <c r="N15" s="77"/>
    </row>
    <row r="16" spans="1:16" ht="31.5" customHeight="1">
      <c r="B16" s="930" t="s">
        <v>382</v>
      </c>
      <c r="C16" s="931"/>
      <c r="D16" s="932"/>
      <c r="E16" s="193">
        <f>E14*J11/100</f>
        <v>175.32</v>
      </c>
      <c r="F16" s="189" t="str">
        <f>F14</f>
        <v>m³</v>
      </c>
      <c r="G16" s="76"/>
      <c r="H16" s="76"/>
      <c r="I16" s="76"/>
      <c r="J16" s="76"/>
      <c r="K16" s="76"/>
      <c r="L16" s="71"/>
      <c r="M16" s="71"/>
      <c r="N16" s="77"/>
    </row>
    <row r="17" spans="2:16" ht="33.75" customHeight="1">
      <c r="B17" s="930" t="s">
        <v>191</v>
      </c>
      <c r="C17" s="931"/>
      <c r="D17" s="932"/>
      <c r="E17" s="193">
        <f>E14*(J13/100)*(K13/100)</f>
        <v>19.48</v>
      </c>
      <c r="F17" s="189" t="str">
        <f>F15</f>
        <v>m³</v>
      </c>
      <c r="G17" s="76"/>
      <c r="H17" s="76"/>
      <c r="I17" s="76"/>
      <c r="J17" s="76"/>
      <c r="K17" s="76"/>
      <c r="L17" s="71"/>
      <c r="M17" s="71"/>
      <c r="N17" s="77"/>
    </row>
    <row r="18" spans="2:16" ht="18" customHeight="1">
      <c r="B18" s="901" t="s">
        <v>192</v>
      </c>
      <c r="C18" s="902"/>
      <c r="D18" s="902"/>
      <c r="E18" s="902">
        <f>E14*(J13/100)*(K14/100)</f>
        <v>0</v>
      </c>
      <c r="F18" s="921" t="str">
        <f>F17</f>
        <v>m³</v>
      </c>
      <c r="G18" s="76"/>
      <c r="H18" s="76"/>
      <c r="I18" s="76"/>
      <c r="J18" s="76"/>
      <c r="K18" s="76"/>
      <c r="L18" s="71"/>
      <c r="M18" s="71"/>
      <c r="N18" s="77"/>
    </row>
    <row r="19" spans="2:16" ht="18" customHeight="1">
      <c r="B19" s="933"/>
      <c r="C19" s="927"/>
      <c r="D19" s="927"/>
      <c r="E19" s="934"/>
      <c r="F19" s="935"/>
      <c r="G19" s="76"/>
      <c r="H19" s="76"/>
      <c r="I19" s="76"/>
      <c r="J19" s="76"/>
      <c r="K19" s="76"/>
      <c r="L19" s="71"/>
      <c r="M19" s="71"/>
      <c r="N19" s="77"/>
    </row>
    <row r="20" spans="2:16" ht="28.5" customHeight="1">
      <c r="B20" s="901" t="s">
        <v>193</v>
      </c>
      <c r="C20" s="902"/>
      <c r="D20" s="902"/>
      <c r="E20" s="74">
        <f>E18+E17</f>
        <v>19.48</v>
      </c>
      <c r="F20" s="180" t="str">
        <f>F18</f>
        <v>m³</v>
      </c>
      <c r="G20" s="76"/>
      <c r="H20" s="76"/>
      <c r="I20" s="76"/>
      <c r="J20" s="76"/>
      <c r="K20" s="76"/>
      <c r="L20" s="71"/>
      <c r="M20" s="71"/>
      <c r="N20" s="77"/>
    </row>
    <row r="21" spans="2:16" ht="30" customHeight="1" thickBot="1">
      <c r="B21" s="899" t="s">
        <v>194</v>
      </c>
      <c r="C21" s="900"/>
      <c r="D21" s="900"/>
      <c r="E21" s="181">
        <f>E14-E12-E20</f>
        <v>322.02999999999997</v>
      </c>
      <c r="F21" s="85" t="str">
        <f>F20</f>
        <v>m³</v>
      </c>
      <c r="G21" s="81"/>
      <c r="H21" s="81"/>
      <c r="I21" s="81"/>
      <c r="J21" s="81"/>
      <c r="K21" s="81"/>
      <c r="L21" s="82"/>
      <c r="M21" s="82"/>
      <c r="N21" s="83"/>
    </row>
    <row r="22" spans="2:16" ht="24.95" customHeight="1">
      <c r="B22" s="908" t="s">
        <v>340</v>
      </c>
      <c r="C22" s="909"/>
      <c r="D22" s="909"/>
      <c r="E22" s="909"/>
      <c r="F22" s="909"/>
      <c r="G22" s="909"/>
      <c r="H22" s="909"/>
      <c r="I22" s="909"/>
      <c r="J22" s="909"/>
      <c r="K22" s="909"/>
      <c r="L22" s="909"/>
      <c r="M22" s="909"/>
      <c r="N22" s="910"/>
    </row>
    <row r="23" spans="2:16" ht="18" customHeight="1">
      <c r="B23" s="901" t="s">
        <v>178</v>
      </c>
      <c r="C23" s="902"/>
      <c r="D23" s="902"/>
      <c r="E23" s="74">
        <v>60</v>
      </c>
      <c r="F23" s="75" t="s">
        <v>62</v>
      </c>
      <c r="G23" s="76"/>
      <c r="H23" s="76"/>
      <c r="I23" s="76"/>
      <c r="J23" s="76"/>
      <c r="K23" s="76"/>
      <c r="L23" s="71"/>
      <c r="M23" s="71"/>
      <c r="N23" s="77"/>
    </row>
    <row r="24" spans="2:16" ht="18" customHeight="1">
      <c r="B24" s="901" t="s">
        <v>179</v>
      </c>
      <c r="C24" s="902"/>
      <c r="D24" s="902"/>
      <c r="E24" s="74">
        <f>688+500</f>
        <v>1188</v>
      </c>
      <c r="F24" s="75" t="s">
        <v>4</v>
      </c>
      <c r="G24" s="76"/>
      <c r="H24" s="76"/>
      <c r="I24" s="76"/>
      <c r="J24" s="76"/>
      <c r="K24" s="76"/>
      <c r="L24" s="71"/>
      <c r="M24" s="71"/>
      <c r="N24" s="77"/>
    </row>
    <row r="25" spans="2:16" ht="18" customHeight="1">
      <c r="B25" s="901" t="s">
        <v>180</v>
      </c>
      <c r="C25" s="902"/>
      <c r="D25" s="902"/>
      <c r="E25" s="74">
        <v>0.65</v>
      </c>
      <c r="F25" s="75" t="str">
        <f>F24</f>
        <v>m</v>
      </c>
      <c r="G25" s="76"/>
      <c r="H25" s="898" t="s">
        <v>181</v>
      </c>
      <c r="I25" s="898"/>
      <c r="J25" s="911">
        <f>J9</f>
        <v>50</v>
      </c>
      <c r="K25" s="76"/>
      <c r="L25" s="71"/>
      <c r="M25" s="71"/>
      <c r="N25" s="77"/>
    </row>
    <row r="26" spans="2:16" ht="18" customHeight="1">
      <c r="B26" s="901" t="s">
        <v>182</v>
      </c>
      <c r="C26" s="902"/>
      <c r="D26" s="902"/>
      <c r="E26" s="74">
        <v>0.6</v>
      </c>
      <c r="F26" s="75" t="str">
        <f>F25</f>
        <v>m</v>
      </c>
      <c r="G26" s="76"/>
      <c r="H26" s="898"/>
      <c r="I26" s="898"/>
      <c r="J26" s="912"/>
      <c r="K26" s="76"/>
      <c r="L26" s="71"/>
      <c r="M26" s="71"/>
      <c r="N26" s="77"/>
    </row>
    <row r="27" spans="2:16" ht="27" customHeight="1">
      <c r="B27" s="895" t="s">
        <v>183</v>
      </c>
      <c r="C27" s="896"/>
      <c r="D27" s="897"/>
      <c r="E27" s="74">
        <v>0.1</v>
      </c>
      <c r="F27" s="75" t="str">
        <f>F26</f>
        <v>m</v>
      </c>
      <c r="G27" s="76"/>
      <c r="H27" s="898" t="s">
        <v>184</v>
      </c>
      <c r="I27" s="898"/>
      <c r="J27" s="911">
        <f>J11</f>
        <v>45</v>
      </c>
      <c r="K27" s="76"/>
      <c r="L27" s="71"/>
      <c r="M27" s="71"/>
      <c r="N27" s="77"/>
    </row>
    <row r="28" spans="2:16" ht="18" customHeight="1">
      <c r="B28" s="901" t="s">
        <v>185</v>
      </c>
      <c r="C28" s="902"/>
      <c r="D28" s="902"/>
      <c r="E28" s="74">
        <f>E27*E25*E24</f>
        <v>77.22</v>
      </c>
      <c r="F28" s="75" t="s">
        <v>6</v>
      </c>
      <c r="G28" s="76"/>
      <c r="H28" s="898"/>
      <c r="I28" s="898"/>
      <c r="J28" s="912"/>
      <c r="K28" s="76"/>
      <c r="L28" s="71"/>
      <c r="M28" s="71"/>
      <c r="N28" s="77"/>
    </row>
    <row r="29" spans="2:16" ht="18" customHeight="1">
      <c r="B29" s="901" t="s">
        <v>186</v>
      </c>
      <c r="C29" s="902"/>
      <c r="D29" s="902"/>
      <c r="E29" s="74">
        <f>E27+E26+(E23/1000)</f>
        <v>0.76</v>
      </c>
      <c r="F29" s="75" t="str">
        <f>F26</f>
        <v>m</v>
      </c>
      <c r="G29" s="76"/>
      <c r="H29" s="898" t="s">
        <v>187</v>
      </c>
      <c r="I29" s="898"/>
      <c r="J29" s="915">
        <f>100-(J25+J27)</f>
        <v>5</v>
      </c>
      <c r="K29" s="78">
        <v>100</v>
      </c>
      <c r="L29" s="914" t="s">
        <v>188</v>
      </c>
      <c r="M29" s="914"/>
      <c r="N29" s="77"/>
      <c r="P29" s="142"/>
    </row>
    <row r="30" spans="2:16" ht="18" customHeight="1">
      <c r="B30" s="901" t="s">
        <v>189</v>
      </c>
      <c r="C30" s="902"/>
      <c r="D30" s="902"/>
      <c r="E30" s="74">
        <f>E29*E25*E24</f>
        <v>586.87</v>
      </c>
      <c r="F30" s="75" t="s">
        <v>6</v>
      </c>
      <c r="G30" s="76"/>
      <c r="H30" s="898"/>
      <c r="I30" s="898"/>
      <c r="J30" s="915"/>
      <c r="K30" s="79">
        <f>100-K29</f>
        <v>0</v>
      </c>
      <c r="L30" s="914" t="s">
        <v>190</v>
      </c>
      <c r="M30" s="914"/>
      <c r="N30" s="77"/>
    </row>
    <row r="31" spans="2:16" ht="29.25" customHeight="1">
      <c r="B31" s="916" t="s">
        <v>381</v>
      </c>
      <c r="C31" s="917"/>
      <c r="D31" s="918"/>
      <c r="E31" s="193">
        <f>E30*J25/100</f>
        <v>293.44</v>
      </c>
      <c r="F31" s="196" t="str">
        <f>F30</f>
        <v>m³</v>
      </c>
      <c r="G31" s="76"/>
      <c r="H31" s="76"/>
      <c r="I31" s="76"/>
      <c r="J31" s="76"/>
      <c r="K31" s="76"/>
      <c r="L31" s="71"/>
      <c r="M31" s="71"/>
      <c r="N31" s="77"/>
    </row>
    <row r="32" spans="2:16" ht="27" customHeight="1">
      <c r="B32" s="916" t="s">
        <v>382</v>
      </c>
      <c r="C32" s="917"/>
      <c r="D32" s="918"/>
      <c r="E32" s="193">
        <f>E30*J27/100</f>
        <v>264.08999999999997</v>
      </c>
      <c r="F32" s="196" t="str">
        <f>F30</f>
        <v>m³</v>
      </c>
      <c r="G32" s="76"/>
      <c r="H32" s="76"/>
      <c r="I32" s="76"/>
      <c r="J32" s="76"/>
      <c r="K32" s="76"/>
      <c r="L32" s="71"/>
      <c r="M32" s="71"/>
      <c r="N32" s="77"/>
    </row>
    <row r="33" spans="2:14" ht="31.5" customHeight="1">
      <c r="B33" s="916" t="s">
        <v>191</v>
      </c>
      <c r="C33" s="917"/>
      <c r="D33" s="918"/>
      <c r="E33" s="193">
        <f>E30*(J29/100)*(K29/100)</f>
        <v>29.34</v>
      </c>
      <c r="F33" s="196" t="str">
        <f>F31</f>
        <v>m³</v>
      </c>
      <c r="G33" s="76"/>
      <c r="H33" s="76"/>
      <c r="I33" s="76"/>
      <c r="J33" s="76"/>
      <c r="K33" s="76"/>
      <c r="L33" s="71"/>
      <c r="M33" s="71"/>
      <c r="N33" s="77"/>
    </row>
    <row r="34" spans="2:14" ht="27.75" customHeight="1">
      <c r="B34" s="916" t="s">
        <v>192</v>
      </c>
      <c r="C34" s="917"/>
      <c r="D34" s="918"/>
      <c r="E34" s="193">
        <f>E30*(J29/100)*(K30/100)</f>
        <v>0</v>
      </c>
      <c r="F34" s="196" t="str">
        <f>F33</f>
        <v>m³</v>
      </c>
      <c r="G34" s="76"/>
      <c r="H34" s="76"/>
      <c r="I34" s="76"/>
      <c r="J34" s="76"/>
      <c r="K34" s="76"/>
      <c r="L34" s="71"/>
      <c r="M34" s="71"/>
      <c r="N34" s="77"/>
    </row>
    <row r="35" spans="2:14" ht="28.5" customHeight="1">
      <c r="B35" s="901" t="s">
        <v>193</v>
      </c>
      <c r="C35" s="902"/>
      <c r="D35" s="902"/>
      <c r="E35" s="74">
        <f>E34+E33</f>
        <v>29.34</v>
      </c>
      <c r="F35" s="80" t="str">
        <f>F34</f>
        <v>m³</v>
      </c>
      <c r="G35" s="76"/>
      <c r="H35" s="76"/>
      <c r="I35" s="76"/>
      <c r="J35" s="76"/>
      <c r="K35" s="76"/>
      <c r="L35" s="71"/>
      <c r="M35" s="71"/>
      <c r="N35" s="77"/>
    </row>
    <row r="36" spans="2:14" ht="30" customHeight="1" thickBot="1">
      <c r="B36" s="899" t="s">
        <v>194</v>
      </c>
      <c r="C36" s="900"/>
      <c r="D36" s="900"/>
      <c r="E36" s="84">
        <f>E30-E28-E35</f>
        <v>480.31</v>
      </c>
      <c r="F36" s="85" t="str">
        <f>F35</f>
        <v>m³</v>
      </c>
      <c r="G36" s="81"/>
      <c r="H36" s="81"/>
      <c r="I36" s="81"/>
      <c r="J36" s="81"/>
      <c r="K36" s="81"/>
      <c r="L36" s="82"/>
      <c r="M36" s="82"/>
      <c r="N36" s="83"/>
    </row>
    <row r="37" spans="2:14" ht="24.95" customHeight="1" thickBot="1">
      <c r="B37" s="922" t="s">
        <v>195</v>
      </c>
      <c r="C37" s="923"/>
      <c r="D37" s="923"/>
      <c r="E37" s="923"/>
      <c r="F37" s="923"/>
      <c r="G37" s="923"/>
      <c r="H37" s="923"/>
      <c r="I37" s="923"/>
      <c r="J37" s="923"/>
      <c r="K37" s="923"/>
      <c r="L37" s="923"/>
      <c r="M37" s="923"/>
      <c r="N37" s="924"/>
    </row>
    <row r="38" spans="2:14" ht="20.100000000000001" customHeight="1">
      <c r="B38" s="919" t="s">
        <v>179</v>
      </c>
      <c r="C38" s="920"/>
      <c r="D38" s="920"/>
      <c r="E38" s="94">
        <f>E24+E8</f>
        <v>1928</v>
      </c>
      <c r="F38" s="95" t="s">
        <v>4</v>
      </c>
      <c r="G38" s="96"/>
      <c r="H38" s="96"/>
      <c r="I38" s="96"/>
      <c r="J38" s="96"/>
      <c r="K38" s="96"/>
      <c r="L38" s="97"/>
      <c r="M38" s="97"/>
      <c r="N38" s="98"/>
    </row>
    <row r="39" spans="2:14" ht="20.100000000000001" customHeight="1">
      <c r="B39" s="901" t="s">
        <v>185</v>
      </c>
      <c r="C39" s="902"/>
      <c r="D39" s="902"/>
      <c r="E39" s="86">
        <f>E28+E12</f>
        <v>125.32</v>
      </c>
      <c r="F39" s="99" t="str">
        <f>F40</f>
        <v>m³</v>
      </c>
      <c r="G39" s="87"/>
      <c r="H39" s="87"/>
      <c r="I39" s="87"/>
      <c r="J39" s="87"/>
      <c r="K39" s="87"/>
      <c r="L39" s="71"/>
      <c r="M39" s="71"/>
      <c r="N39" s="77"/>
    </row>
    <row r="40" spans="2:14" ht="20.100000000000001" customHeight="1">
      <c r="B40" s="901" t="s">
        <v>189</v>
      </c>
      <c r="C40" s="902"/>
      <c r="D40" s="902"/>
      <c r="E40" s="86">
        <f>E30+E14</f>
        <v>976.48</v>
      </c>
      <c r="F40" s="100" t="s">
        <v>6</v>
      </c>
      <c r="G40" s="87"/>
      <c r="H40" s="87"/>
      <c r="I40" s="87"/>
      <c r="J40" s="87"/>
      <c r="K40" s="87"/>
      <c r="L40" s="71"/>
      <c r="M40" s="71"/>
      <c r="N40" s="77"/>
    </row>
    <row r="41" spans="2:14" ht="20.100000000000001" customHeight="1">
      <c r="B41" s="901" t="s">
        <v>381</v>
      </c>
      <c r="C41" s="902"/>
      <c r="D41" s="902"/>
      <c r="E41" s="927">
        <f>E31+E15</f>
        <v>488.25</v>
      </c>
      <c r="F41" s="921" t="str">
        <f>F40</f>
        <v>m³</v>
      </c>
      <c r="G41" s="76"/>
      <c r="H41" s="76"/>
      <c r="I41" s="76"/>
      <c r="J41" s="76"/>
      <c r="K41" s="76"/>
      <c r="L41" s="71"/>
      <c r="M41" s="71"/>
      <c r="N41" s="77"/>
    </row>
    <row r="42" spans="2:14" ht="20.100000000000001" customHeight="1">
      <c r="B42" s="901"/>
      <c r="C42" s="902"/>
      <c r="D42" s="902"/>
      <c r="E42" s="928"/>
      <c r="F42" s="921"/>
      <c r="G42" s="76"/>
      <c r="H42" s="76"/>
      <c r="I42" s="76"/>
      <c r="J42" s="76"/>
      <c r="K42" s="76"/>
      <c r="L42" s="71"/>
      <c r="M42" s="71"/>
      <c r="N42" s="77"/>
    </row>
    <row r="43" spans="2:14" ht="20.100000000000001" customHeight="1">
      <c r="B43" s="901" t="s">
        <v>382</v>
      </c>
      <c r="C43" s="902"/>
      <c r="D43" s="902"/>
      <c r="E43" s="927">
        <f>E32+E16</f>
        <v>439.41</v>
      </c>
      <c r="F43" s="921" t="str">
        <f>F40</f>
        <v>m³</v>
      </c>
      <c r="G43" s="76"/>
      <c r="H43" s="76"/>
      <c r="I43" s="76"/>
      <c r="J43" s="76"/>
      <c r="K43" s="76"/>
      <c r="L43" s="71"/>
      <c r="M43" s="71"/>
      <c r="N43" s="77"/>
    </row>
    <row r="44" spans="2:14" ht="20.100000000000001" customHeight="1">
      <c r="B44" s="901"/>
      <c r="C44" s="902"/>
      <c r="D44" s="902"/>
      <c r="E44" s="928"/>
      <c r="F44" s="921"/>
      <c r="G44" s="76"/>
      <c r="H44" s="76"/>
      <c r="I44" s="76"/>
      <c r="J44" s="76"/>
      <c r="K44" s="76"/>
      <c r="L44" s="71"/>
      <c r="M44" s="71"/>
      <c r="N44" s="77"/>
    </row>
    <row r="45" spans="2:14" ht="20.100000000000001" customHeight="1">
      <c r="B45" s="901" t="s">
        <v>191</v>
      </c>
      <c r="C45" s="902"/>
      <c r="D45" s="902"/>
      <c r="E45" s="927">
        <f>E33+E17</f>
        <v>48.82</v>
      </c>
      <c r="F45" s="921" t="str">
        <f>F41</f>
        <v>m³</v>
      </c>
      <c r="G45" s="76"/>
      <c r="H45" s="76"/>
      <c r="I45" s="76"/>
      <c r="J45" s="76"/>
      <c r="K45" s="76"/>
      <c r="L45" s="71"/>
      <c r="M45" s="71"/>
      <c r="N45" s="77"/>
    </row>
    <row r="46" spans="2:14" ht="20.100000000000001" customHeight="1">
      <c r="B46" s="901"/>
      <c r="C46" s="902"/>
      <c r="D46" s="902"/>
      <c r="E46" s="928"/>
      <c r="F46" s="921"/>
      <c r="G46" s="76"/>
      <c r="H46" s="76"/>
      <c r="I46" s="76"/>
      <c r="J46" s="76"/>
      <c r="K46" s="76"/>
      <c r="L46" s="71"/>
      <c r="M46" s="71"/>
      <c r="N46" s="77"/>
    </row>
    <row r="47" spans="2:14" ht="20.100000000000001" customHeight="1">
      <c r="B47" s="901" t="s">
        <v>192</v>
      </c>
      <c r="C47" s="902"/>
      <c r="D47" s="902"/>
      <c r="E47" s="927">
        <f>E34+E18</f>
        <v>0</v>
      </c>
      <c r="F47" s="921" t="str">
        <f>F45</f>
        <v>m³</v>
      </c>
      <c r="G47" s="76"/>
      <c r="H47" s="76"/>
      <c r="I47" s="76"/>
      <c r="J47" s="76"/>
      <c r="K47" s="76"/>
      <c r="L47" s="71"/>
      <c r="M47" s="71"/>
      <c r="N47" s="77"/>
    </row>
    <row r="48" spans="2:14" ht="20.100000000000001" customHeight="1">
      <c r="B48" s="901"/>
      <c r="C48" s="902"/>
      <c r="D48" s="902"/>
      <c r="E48" s="928"/>
      <c r="F48" s="921"/>
      <c r="G48" s="76"/>
      <c r="H48" s="76"/>
      <c r="I48" s="76"/>
      <c r="J48" s="76"/>
      <c r="K48" s="76"/>
      <c r="L48" s="71"/>
      <c r="M48" s="71"/>
      <c r="N48" s="77"/>
    </row>
    <row r="49" spans="2:14" ht="30" customHeight="1">
      <c r="B49" s="901" t="s">
        <v>193</v>
      </c>
      <c r="C49" s="902"/>
      <c r="D49" s="902"/>
      <c r="E49" s="86">
        <f>E35+E20</f>
        <v>48.82</v>
      </c>
      <c r="F49" s="99" t="str">
        <f>F47</f>
        <v>m³</v>
      </c>
      <c r="G49" s="76"/>
      <c r="H49" s="76"/>
      <c r="I49" s="76"/>
      <c r="J49" s="76"/>
      <c r="K49" s="76"/>
      <c r="L49" s="71"/>
      <c r="M49" s="71"/>
      <c r="N49" s="77"/>
    </row>
    <row r="50" spans="2:14" ht="35.25" customHeight="1" thickBot="1">
      <c r="B50" s="925" t="s">
        <v>194</v>
      </c>
      <c r="C50" s="926"/>
      <c r="D50" s="926"/>
      <c r="E50" s="84">
        <f>E36+E21</f>
        <v>802.34</v>
      </c>
      <c r="F50" s="88" t="str">
        <f>F49</f>
        <v>m³</v>
      </c>
      <c r="G50" s="81"/>
      <c r="H50" s="81"/>
      <c r="I50" s="81"/>
      <c r="J50" s="81"/>
      <c r="K50" s="81"/>
      <c r="L50" s="82"/>
      <c r="M50" s="82"/>
      <c r="N50" s="83"/>
    </row>
  </sheetData>
  <mergeCells count="70">
    <mergeCell ref="B18:D19"/>
    <mergeCell ref="E18:E19"/>
    <mergeCell ref="F18:F19"/>
    <mergeCell ref="B20:D20"/>
    <mergeCell ref="B21:D21"/>
    <mergeCell ref="L13:M13"/>
    <mergeCell ref="B14:D14"/>
    <mergeCell ref="L14:M14"/>
    <mergeCell ref="B15:D15"/>
    <mergeCell ref="B16:D16"/>
    <mergeCell ref="B17:D17"/>
    <mergeCell ref="B11:D11"/>
    <mergeCell ref="H11:I12"/>
    <mergeCell ref="J11:J12"/>
    <mergeCell ref="B12:D12"/>
    <mergeCell ref="B13:D13"/>
    <mergeCell ref="H13:I14"/>
    <mergeCell ref="J13:J14"/>
    <mergeCell ref="B4:N5"/>
    <mergeCell ref="B6:N6"/>
    <mergeCell ref="B7:D7"/>
    <mergeCell ref="B8:D8"/>
    <mergeCell ref="B9:D9"/>
    <mergeCell ref="H9:I10"/>
    <mergeCell ref="J9:J10"/>
    <mergeCell ref="B10:D10"/>
    <mergeCell ref="F47:F48"/>
    <mergeCell ref="B49:D49"/>
    <mergeCell ref="B50:D50"/>
    <mergeCell ref="B41:D42"/>
    <mergeCell ref="B47:D48"/>
    <mergeCell ref="E41:E42"/>
    <mergeCell ref="E45:E46"/>
    <mergeCell ref="B43:D44"/>
    <mergeCell ref="E43:E44"/>
    <mergeCell ref="F43:F44"/>
    <mergeCell ref="B45:D46"/>
    <mergeCell ref="F45:F46"/>
    <mergeCell ref="E47:E48"/>
    <mergeCell ref="B31:D31"/>
    <mergeCell ref="B39:D39"/>
    <mergeCell ref="B40:D40"/>
    <mergeCell ref="B38:D38"/>
    <mergeCell ref="F41:F42"/>
    <mergeCell ref="B32:D32"/>
    <mergeCell ref="B33:D33"/>
    <mergeCell ref="B34:D34"/>
    <mergeCell ref="B37:N37"/>
    <mergeCell ref="B30:D30"/>
    <mergeCell ref="L30:M30"/>
    <mergeCell ref="B28:D28"/>
    <mergeCell ref="J29:J30"/>
    <mergeCell ref="B29:D29"/>
    <mergeCell ref="H29:I30"/>
    <mergeCell ref="B27:D27"/>
    <mergeCell ref="H27:I28"/>
    <mergeCell ref="B36:D36"/>
    <mergeCell ref="B35:D35"/>
    <mergeCell ref="F2:N2"/>
    <mergeCell ref="B2:E2"/>
    <mergeCell ref="B22:N22"/>
    <mergeCell ref="J25:J26"/>
    <mergeCell ref="J27:J28"/>
    <mergeCell ref="B3:N3"/>
    <mergeCell ref="B23:D23"/>
    <mergeCell ref="B25:D25"/>
    <mergeCell ref="H25:I26"/>
    <mergeCell ref="B26:D26"/>
    <mergeCell ref="B24:D24"/>
    <mergeCell ref="L29:M29"/>
  </mergeCells>
  <phoneticPr fontId="9" type="noConversion"/>
  <conditionalFormatting sqref="E24:E31 E1 E38:E41 E49:E65536 E17:E21 E33:E36">
    <cfRule type="cellIs" dxfId="6" priority="7" stopIfTrue="1" operator="equal">
      <formula>100</formula>
    </cfRule>
  </conditionalFormatting>
  <conditionalFormatting sqref="E45">
    <cfRule type="cellIs" dxfId="5" priority="6" stopIfTrue="1" operator="equal">
      <formula>100</formula>
    </cfRule>
  </conditionalFormatting>
  <conditionalFormatting sqref="E47">
    <cfRule type="cellIs" dxfId="4" priority="5" stopIfTrue="1" operator="equal">
      <formula>100</formula>
    </cfRule>
  </conditionalFormatting>
  <conditionalFormatting sqref="E32">
    <cfRule type="cellIs" dxfId="3" priority="4" stopIfTrue="1" operator="equal">
      <formula>100</formula>
    </cfRule>
  </conditionalFormatting>
  <conditionalFormatting sqref="E43">
    <cfRule type="cellIs" dxfId="2" priority="3" stopIfTrue="1" operator="equal">
      <formula>100</formula>
    </cfRule>
  </conditionalFormatting>
  <conditionalFormatting sqref="E8:E15">
    <cfRule type="cellIs" dxfId="1" priority="2" stopIfTrue="1" operator="equal">
      <formula>100</formula>
    </cfRule>
  </conditionalFormatting>
  <conditionalFormatting sqref="E16">
    <cfRule type="cellIs" dxfId="0" priority="1" stopIfTrue="1" operator="equal">
      <formula>100</formula>
    </cfRule>
  </conditionalFormatting>
  <printOptions horizontalCentered="1"/>
  <pageMargins left="0.51181102362204722" right="0.11811023622047245" top="0.78740157480314965" bottom="0.78740157480314965" header="0.31496062992125984" footer="0.31496062992125984"/>
  <pageSetup paperSize="9" scale="61" fitToHeight="0" orientation="portrait" r:id="rId1"/>
  <headerFooter>
    <oddHeader>&amp;A</oddHeader>
    <oddFooter>Página &amp;P de &amp;N</oddFooter>
  </headerFooter>
  <rowBreaks count="1" manualBreakCount="1">
    <brk id="50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14</vt:i4>
      </vt:variant>
    </vt:vector>
  </HeadingPairs>
  <TitlesOfParts>
    <vt:vector size="23" baseType="lpstr">
      <vt:lpstr>Planilha Orçamentária</vt:lpstr>
      <vt:lpstr>COMPOSIÇÕES</vt:lpstr>
      <vt:lpstr>CPU Poços</vt:lpstr>
      <vt:lpstr>Insumos poços</vt:lpstr>
      <vt:lpstr>BDI's</vt:lpstr>
      <vt:lpstr>Adutora Bruta de Recalque</vt:lpstr>
      <vt:lpstr>Rede de Distribuição</vt:lpstr>
      <vt:lpstr>VEICULO POPULAR</vt:lpstr>
      <vt:lpstr>Mem. Cálc. Escavações</vt:lpstr>
      <vt:lpstr>'Adutora Bruta de Recalque'!Area_de_impressao</vt:lpstr>
      <vt:lpstr>'BDI''s'!Area_de_impressao</vt:lpstr>
      <vt:lpstr>COMPOSIÇÕES!Area_de_impressao</vt:lpstr>
      <vt:lpstr>'CPU Poços'!Area_de_impressao</vt:lpstr>
      <vt:lpstr>'Insumos poços'!Area_de_impressao</vt:lpstr>
      <vt:lpstr>'Mem. Cálc. Escavações'!Area_de_impressao</vt:lpstr>
      <vt:lpstr>'Planilha Orçamentária'!Area_de_impressao</vt:lpstr>
      <vt:lpstr>'Rede de Distribuição'!Area_de_impressao</vt:lpstr>
      <vt:lpstr>'VEICULO POPULAR'!Area_de_impressao</vt:lpstr>
      <vt:lpstr>'Adutora Bruta de Recalque'!Titulos_de_impressao</vt:lpstr>
      <vt:lpstr>'Insumos poços'!Titulos_de_impressao</vt:lpstr>
      <vt:lpstr>'Mem. Cálc. Escavações'!Titulos_de_impressao</vt:lpstr>
      <vt:lpstr>'Planilha Orçamentária'!Titulos_de_impressao</vt:lpstr>
      <vt:lpstr>'Rede de Distribuição'!Titulos_de_impressao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</dc:creator>
  <cp:lastModifiedBy>Giuliano Marcondes Ladeira</cp:lastModifiedBy>
  <cp:lastPrinted>2014-11-17T14:04:29Z</cp:lastPrinted>
  <dcterms:created xsi:type="dcterms:W3CDTF">2011-08-08T12:10:57Z</dcterms:created>
  <dcterms:modified xsi:type="dcterms:W3CDTF">2014-11-17T14:04:46Z</dcterms:modified>
</cp:coreProperties>
</file>