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0" windowWidth="16380" windowHeight="7890" tabRatio="832"/>
  </bookViews>
  <sheets>
    <sheet name="Valor Global" sheetId="9" r:id="rId1"/>
    <sheet name="Quadro Resumo" sheetId="8" r:id="rId2"/>
    <sheet name="Complemento Serviço Limpeza" sheetId="7" r:id="rId3"/>
    <sheet name="Cálculo das Áreas" sheetId="6" r:id="rId4"/>
    <sheet name="Encarregado" sheetId="3" r:id="rId5"/>
    <sheet name="Servente" sheetId="2" r:id="rId6"/>
  </sheets>
  <externalReferences>
    <externalReference r:id="rId7"/>
  </externalReferences>
  <definedNames>
    <definedName name="_xlnm.Print_Area" localSheetId="3">'Cálculo das Áreas'!$A$1:$J$20</definedName>
    <definedName name="_xlnm.Print_Area" localSheetId="2">'Complemento Serviço Limpeza'!$A$1:$G$47</definedName>
    <definedName name="_xlnm.Print_Area" localSheetId="4">Encarregado!$A$1:$E$138</definedName>
    <definedName name="_xlnm.Print_Area" localSheetId="1">'Quadro Resumo'!$A$1:$G$18</definedName>
    <definedName name="_xlnm.Print_Area" localSheetId="5">Servente!$A$1:$E$140</definedName>
    <definedName name="_xlnm.Print_Area" localSheetId="0">'Valor Global'!$A$1:$F$18</definedName>
    <definedName name="Print_Area_0" localSheetId="4">Encarregado!$A$1:$E$131</definedName>
    <definedName name="Print_Area_0" localSheetId="5">Servente!$A$1:$E$134</definedName>
    <definedName name="Print_Area_0_0" localSheetId="4">Encarregado!$A$1:$E$131</definedName>
    <definedName name="Print_Area_0_0" localSheetId="5">Servente!$A$1:$E$134</definedName>
  </definedNames>
  <calcPr calcId="145621" iterateDelta="1E-4" fullPrecision="0"/>
</workbook>
</file>

<file path=xl/calcChain.xml><?xml version="1.0" encoding="utf-8"?>
<calcChain xmlns="http://schemas.openxmlformats.org/spreadsheetml/2006/main">
  <c r="F17" i="9" l="1"/>
  <c r="E15" i="9" l="1"/>
  <c r="E14" i="9"/>
  <c r="E13" i="9"/>
  <c r="D15" i="9"/>
  <c r="D14" i="9"/>
  <c r="D13" i="9"/>
  <c r="L16" i="7" l="1"/>
  <c r="F16" i="7" s="1"/>
  <c r="F24" i="7"/>
  <c r="M22" i="7"/>
  <c r="F25" i="7"/>
  <c r="K10" i="7"/>
  <c r="L8" i="7"/>
  <c r="F17" i="7"/>
  <c r="K8" i="7"/>
  <c r="F26" i="6"/>
  <c r="F25" i="6"/>
  <c r="E25" i="6"/>
  <c r="E24" i="6"/>
  <c r="E23" i="6"/>
  <c r="L22" i="2"/>
  <c r="D116" i="3"/>
  <c r="D115" i="3"/>
  <c r="D114" i="3"/>
  <c r="D111" i="3"/>
  <c r="E49" i="3"/>
  <c r="B49" i="3"/>
  <c r="E45" i="3"/>
  <c r="B34" i="3"/>
  <c r="E32" i="3"/>
  <c r="E59" i="2"/>
  <c r="E58" i="2"/>
  <c r="J8" i="7"/>
  <c r="D82" i="2" l="1"/>
  <c r="E47" i="2"/>
  <c r="E62" i="2" l="1"/>
  <c r="K26" i="2" l="1"/>
  <c r="L19" i="2"/>
  <c r="L18" i="2"/>
  <c r="K18" i="2"/>
  <c r="I18" i="2"/>
  <c r="Q17" i="2"/>
  <c r="R17" i="2" s="1"/>
  <c r="L17" i="2"/>
  <c r="I17" i="2"/>
  <c r="Q16" i="2"/>
  <c r="R16" i="2" s="1"/>
  <c r="L16" i="2"/>
  <c r="K16" i="2"/>
  <c r="I16" i="2"/>
  <c r="Q15" i="2"/>
  <c r="R15" i="2" s="1"/>
  <c r="P15" i="2"/>
  <c r="U12" i="2"/>
  <c r="Q23" i="2" l="1"/>
  <c r="U16" i="2"/>
  <c r="V16" i="2" s="1"/>
  <c r="U15" i="2"/>
  <c r="V15" i="2" s="1"/>
  <c r="U17" i="2"/>
  <c r="V17" i="2" s="1"/>
  <c r="D45" i="7"/>
  <c r="D44" i="7"/>
  <c r="D43" i="7"/>
  <c r="E11" i="6"/>
  <c r="D11" i="6"/>
  <c r="C11" i="6"/>
  <c r="F16" i="8" l="1"/>
  <c r="F17" i="8"/>
  <c r="F15" i="8"/>
  <c r="F13" i="8"/>
  <c r="F14" i="8"/>
  <c r="F12" i="8"/>
  <c r="E34" i="3"/>
  <c r="A22" i="3"/>
  <c r="E56" i="3"/>
  <c r="E55" i="3"/>
  <c r="I9" i="6"/>
  <c r="D33" i="7" l="1"/>
  <c r="E33" i="7" s="1"/>
  <c r="D35" i="7"/>
  <c r="E35" i="7" s="1"/>
  <c r="F46" i="7" l="1"/>
  <c r="E16" i="6"/>
  <c r="D16" i="6"/>
  <c r="C16" i="6"/>
  <c r="I15" i="6"/>
  <c r="H15" i="6"/>
  <c r="G15" i="6"/>
  <c r="F15" i="6"/>
  <c r="I14" i="6"/>
  <c r="H14" i="6"/>
  <c r="G14" i="6"/>
  <c r="F14" i="6"/>
  <c r="I13" i="6"/>
  <c r="H13" i="6"/>
  <c r="G13" i="6"/>
  <c r="F13" i="6"/>
  <c r="I12" i="6"/>
  <c r="H12" i="6"/>
  <c r="G12" i="6"/>
  <c r="F12" i="6"/>
  <c r="I11" i="6"/>
  <c r="H11" i="6"/>
  <c r="G11" i="6"/>
  <c r="F11" i="6"/>
  <c r="F16" i="6" s="1"/>
  <c r="F117" i="3"/>
  <c r="D117" i="3"/>
  <c r="D98" i="3"/>
  <c r="D105" i="3" s="1"/>
  <c r="D93" i="3"/>
  <c r="D104" i="3" s="1"/>
  <c r="D86" i="3"/>
  <c r="D103" i="3" s="1"/>
  <c r="D73" i="3"/>
  <c r="D102" i="3" s="1"/>
  <c r="E59" i="3"/>
  <c r="E127" i="3" s="1"/>
  <c r="D120" i="2"/>
  <c r="F119" i="2"/>
  <c r="D101" i="2"/>
  <c r="D108" i="2" s="1"/>
  <c r="D96" i="2"/>
  <c r="D107" i="2" s="1"/>
  <c r="D89" i="2"/>
  <c r="D106" i="2" s="1"/>
  <c r="D76" i="2"/>
  <c r="D105" i="2" s="1"/>
  <c r="E130" i="2"/>
  <c r="E34" i="2"/>
  <c r="E36" i="2" s="1"/>
  <c r="I16" i="6" l="1"/>
  <c r="H16" i="6"/>
  <c r="E52" i="2"/>
  <c r="E129" i="2" s="1"/>
  <c r="J12" i="6"/>
  <c r="J14" i="6"/>
  <c r="D107" i="3"/>
  <c r="J11" i="6"/>
  <c r="E50" i="3"/>
  <c r="E126" i="3" s="1"/>
  <c r="J13" i="6"/>
  <c r="J15" i="6"/>
  <c r="D110" i="2"/>
  <c r="E42" i="2"/>
  <c r="G16" i="6"/>
  <c r="E40" i="3"/>
  <c r="J16" i="6" l="1"/>
  <c r="E92" i="3"/>
  <c r="E82" i="3"/>
  <c r="E70" i="3"/>
  <c r="E66" i="3"/>
  <c r="E97" i="3"/>
  <c r="E98" i="3" s="1"/>
  <c r="E105" i="3" s="1"/>
  <c r="E91" i="3"/>
  <c r="E85" i="3"/>
  <c r="E81" i="3"/>
  <c r="E69" i="3"/>
  <c r="E65" i="3"/>
  <c r="E125" i="3"/>
  <c r="E90" i="3"/>
  <c r="E84" i="3"/>
  <c r="E80" i="3"/>
  <c r="E72" i="3"/>
  <c r="E68" i="3"/>
  <c r="E83" i="3"/>
  <c r="E79" i="3"/>
  <c r="E71" i="3"/>
  <c r="E67" i="3"/>
  <c r="E86" i="2"/>
  <c r="E82" i="2"/>
  <c r="E74" i="2"/>
  <c r="E70" i="2"/>
  <c r="E95" i="2"/>
  <c r="E85" i="2"/>
  <c r="E73" i="2"/>
  <c r="E69" i="2"/>
  <c r="E100" i="2"/>
  <c r="E101" i="2" s="1"/>
  <c r="E108" i="2" s="1"/>
  <c r="E94" i="2"/>
  <c r="E88" i="2"/>
  <c r="E84" i="2"/>
  <c r="E72" i="2"/>
  <c r="E68" i="2"/>
  <c r="E128" i="2"/>
  <c r="E93" i="2"/>
  <c r="E87" i="2"/>
  <c r="E83" i="2"/>
  <c r="E75" i="2"/>
  <c r="E71" i="2"/>
  <c r="E93" i="3" l="1"/>
  <c r="E104" i="3" s="1"/>
  <c r="E96" i="2"/>
  <c r="E107" i="2" s="1"/>
  <c r="E89" i="2"/>
  <c r="E106" i="2" s="1"/>
  <c r="E76" i="2"/>
  <c r="E105" i="2" s="1"/>
  <c r="E86" i="3"/>
  <c r="E103" i="3" s="1"/>
  <c r="E73" i="3"/>
  <c r="E102" i="3" s="1"/>
  <c r="E107" i="3" l="1"/>
  <c r="E110" i="2"/>
  <c r="E131" i="2" s="1"/>
  <c r="E132" i="2" s="1"/>
  <c r="E128" i="3" l="1"/>
  <c r="E129" i="3" s="1"/>
  <c r="E116" i="3"/>
  <c r="E111" i="3"/>
  <c r="E114" i="2"/>
  <c r="E119" i="2"/>
  <c r="G119" i="2" s="1"/>
  <c r="G117" i="3" l="1"/>
  <c r="E134" i="3"/>
  <c r="E135" i="3" s="1"/>
  <c r="E136" i="3" s="1"/>
  <c r="E137" i="3" s="1"/>
  <c r="E114" i="3" s="1"/>
  <c r="E136" i="2"/>
  <c r="E137" i="2" s="1"/>
  <c r="E138" i="2" s="1"/>
  <c r="E140" i="2" s="1"/>
  <c r="E118" i="2" s="1"/>
  <c r="E138" i="3" l="1"/>
  <c r="E115" i="3" s="1"/>
  <c r="E117" i="3" s="1"/>
  <c r="E130" i="3" s="1"/>
  <c r="E131" i="3" s="1"/>
  <c r="C12" i="8" s="1"/>
  <c r="E139" i="2"/>
  <c r="E117" i="2" s="1"/>
  <c r="E120" i="2" s="1"/>
  <c r="E133" i="2" s="1"/>
  <c r="E134" i="2" s="1"/>
  <c r="C16" i="8" l="1"/>
  <c r="S12" i="2"/>
  <c r="Q22" i="2" s="1"/>
  <c r="Q24" i="2" s="1"/>
  <c r="S18" i="2"/>
  <c r="S16" i="2"/>
  <c r="S17" i="2"/>
  <c r="S15" i="2"/>
  <c r="T15" i="2" s="1"/>
  <c r="F33" i="7"/>
  <c r="G33" i="7" s="1"/>
  <c r="E14" i="8" s="1"/>
  <c r="G14" i="8" s="1"/>
  <c r="D16" i="7"/>
  <c r="D24" i="7"/>
  <c r="E13" i="8" s="1"/>
  <c r="G13" i="8" s="1"/>
  <c r="C13" i="8"/>
  <c r="C14" i="8"/>
  <c r="C17" i="8"/>
  <c r="D17" i="7"/>
  <c r="D25" i="7"/>
  <c r="C15" i="8"/>
  <c r="F35" i="7"/>
  <c r="G35" i="7" s="1"/>
  <c r="E12" i="8" l="1"/>
  <c r="G12" i="8" s="1"/>
  <c r="T17" i="2"/>
  <c r="T16" i="2"/>
  <c r="S25" i="2"/>
  <c r="S24" i="2"/>
  <c r="S26" i="2"/>
  <c r="E15" i="8"/>
  <c r="G15" i="8" s="1"/>
  <c r="G37" i="7"/>
  <c r="E17" i="8"/>
  <c r="G17" i="8" s="1"/>
  <c r="F15" i="9" s="1"/>
  <c r="F26" i="7"/>
  <c r="B44" i="7" s="1"/>
  <c r="F44" i="7" s="1"/>
  <c r="E16" i="8"/>
  <c r="F13" i="9" l="1"/>
  <c r="F18" i="7"/>
  <c r="B43" i="7" s="1"/>
  <c r="F43" i="7" s="1"/>
  <c r="B45" i="7"/>
  <c r="F45" i="7" s="1"/>
  <c r="G16" i="8"/>
  <c r="G18" i="8" l="1"/>
  <c r="F14" i="9"/>
  <c r="F16" i="9" s="1"/>
  <c r="G26" i="6" s="1"/>
  <c r="H27" i="6" s="1"/>
  <c r="I27" i="6" s="1"/>
  <c r="F47" i="7"/>
  <c r="I17" i="7" l="1"/>
</calcChain>
</file>

<file path=xl/sharedStrings.xml><?xml version="1.0" encoding="utf-8"?>
<sst xmlns="http://schemas.openxmlformats.org/spreadsheetml/2006/main" count="550" uniqueCount="231">
  <si>
    <t>A</t>
  </si>
  <si>
    <t>B</t>
  </si>
  <si>
    <t>Município/UF</t>
  </si>
  <si>
    <t>Petrolina-PE</t>
  </si>
  <si>
    <t>C</t>
  </si>
  <si>
    <t>Ano Acordo, Convenção ou Sentença Normativa em Dissídio Coletivo</t>
  </si>
  <si>
    <t>D</t>
  </si>
  <si>
    <t>Nº de meses de execução contratual</t>
  </si>
  <si>
    <t>12 meses</t>
  </si>
  <si>
    <t>IDENTIFICAÇÃO DO SERVIÇO</t>
  </si>
  <si>
    <t>Tipo de serviço</t>
  </si>
  <si>
    <t>Unidade de Medida</t>
  </si>
  <si>
    <t> Quantidade total a contratar (em função da unidade de medida)</t>
  </si>
  <si>
    <t>Posto</t>
  </si>
  <si>
    <t>ANEXO III - A - PORTARIA Nº 07 DE 09/03/2011 - SLTI/MPOG</t>
  </si>
  <si>
    <t>MÃO-DE-OBRA VINCULADA À EXECUÇÃO CONTRATUAL</t>
  </si>
  <si>
    <t>Descrição:</t>
  </si>
  <si>
    <t>Dados complementares para composição dos custos referente à mão de obra</t>
  </si>
  <si>
    <t>Prestação de serviços no prédio da CODEVASF/3ª SR e CS-03</t>
  </si>
  <si>
    <t>Jatobá/PE</t>
  </si>
  <si>
    <t>Petrolina/PE</t>
  </si>
  <si>
    <t>Salário normativo da categoria profissional</t>
  </si>
  <si>
    <t>Categoria profissional vinculada à execução contratual (STEALMOAIC-PE)</t>
  </si>
  <si>
    <t>Data-base da categoria (dia/mês/ano)</t>
  </si>
  <si>
    <t>* Utilizada como base para o reajuste da categoria profissional previsto nos Acordos, Convenções ou Sentenças Normativas em Dissídios Coletivos.</t>
  </si>
  <si>
    <t>MÓDULO 1: COMPOSIÇÃO DA REMUNERAÇÃO</t>
  </si>
  <si>
    <t>Composição da Remuneração</t>
  </si>
  <si>
    <t>Valor (R$)</t>
  </si>
  <si>
    <t>Salário Base</t>
  </si>
  <si>
    <t>Adicional de Periculosidade</t>
  </si>
  <si>
    <t>Adicional Noturno</t>
  </si>
  <si>
    <t>E</t>
  </si>
  <si>
    <t>Hora noturna adicional</t>
  </si>
  <si>
    <t>F</t>
  </si>
  <si>
    <t>Adicional de hora extra</t>
  </si>
  <si>
    <t>G</t>
  </si>
  <si>
    <t>Intervalo intrajornada</t>
  </si>
  <si>
    <t>H</t>
  </si>
  <si>
    <t>Outros (especificar)</t>
  </si>
  <si>
    <t>TOTAL DA REMUNERAÇÃO</t>
  </si>
  <si>
    <t>MÓDULO 2: BENEFÍCIOS MENSAIS E DIÁRIOS</t>
  </si>
  <si>
    <t>Benefícios Mensais e Diários</t>
  </si>
  <si>
    <t>Auxílio alimentação (Vales, cesta básica, etc.) - CCT 2017</t>
  </si>
  <si>
    <t>Assistência médica e familiar - CCT 2017</t>
  </si>
  <si>
    <t>Auxílio creche</t>
  </si>
  <si>
    <t>Seguro de vida, invalidez e funeral</t>
  </si>
  <si>
    <t>TOTAL DE BENEFÍCIOS MENSAIS E DIÁRIOS</t>
  </si>
  <si>
    <t>MÓDULO 3: INSUMOS DIVERSOS</t>
  </si>
  <si>
    <t>Insumos Diversos</t>
  </si>
  <si>
    <t>Uniformes</t>
  </si>
  <si>
    <t>TOTAL DE INSUMOS DIVERSOS</t>
  </si>
  <si>
    <t>Nota: Valores mensais por empregado.</t>
  </si>
  <si>
    <t>MÓDULO 4: ENCARGOS SOCIAIS E TRABALHISTAS</t>
  </si>
  <si>
    <t>GRUPO "A"</t>
  </si>
  <si>
    <t>4.1</t>
  </si>
  <si>
    <t>%</t>
  </si>
  <si>
    <t>INSS (Art. 22 inciso I da Lei 8.212/91)</t>
  </si>
  <si>
    <t>FGTS (Art. 15 da Lei 8030/90 art. 7° inciso III CF/88)</t>
  </si>
  <si>
    <t>Riscos Ambientais do Trabalho - RAT x FAP - (Decreto 3.048/1999, Anexo V e Decreto 6.957/2009)</t>
  </si>
  <si>
    <t>Salário Educação (Art. 3° inciso I Decreto 87.043/)</t>
  </si>
  <si>
    <t>SESC/SESI (Art. 3° da Lei 8036/90)</t>
  </si>
  <si>
    <t>SENAC/SENAI (Decreto 2.318/86)</t>
  </si>
  <si>
    <t>SEBRAE (Art. 8° Lei 8029/90 e 8154 de 28/12/90)</t>
  </si>
  <si>
    <t>INCRA  (Lei 7787 de 30/06/890e DL 1146/70)</t>
  </si>
  <si>
    <t>TOTAL</t>
  </si>
  <si>
    <t>Notas: - Os percentuais dos encargos previdenciários e FGTS, a serem preenchidos na coluna %, são aqueles estabelecidos pela legislação vigente.</t>
  </si>
  <si>
    <t>- Percentuais incidentes sobre a remuneração.</t>
  </si>
  <si>
    <t>GRUPO "B"</t>
  </si>
  <si>
    <t>13º salário (1/12)</t>
  </si>
  <si>
    <t>Férias (incluindo 1/3) (1/12 + (1+1/3)</t>
  </si>
  <si>
    <t>Aviso prévio trabalhado</t>
  </si>
  <si>
    <t>Auxílio-enfermidade</t>
  </si>
  <si>
    <t>Auxílio acidente de trabalho</t>
  </si>
  <si>
    <t>Faltas legais</t>
  </si>
  <si>
    <t>Licença paternidade</t>
  </si>
  <si>
    <t>GRUPO "C"</t>
  </si>
  <si>
    <t>Aviso Prévio Indenizado</t>
  </si>
  <si>
    <t>Indenização adicional</t>
  </si>
  <si>
    <t>FGTS nas rescisões sem justa causa</t>
  </si>
  <si>
    <t>GRUPO "D"</t>
  </si>
  <si>
    <t>Incidência do grupo "A" sobre o grupo "B"</t>
  </si>
  <si>
    <t>QUADRO-RESUMO - Módulo 4 - Encargos Sociais e Trabalhistas</t>
  </si>
  <si>
    <t>Módulo 4 - Encargos sociais e trabalhistas</t>
  </si>
  <si>
    <t>4.2</t>
  </si>
  <si>
    <t>4.3</t>
  </si>
  <si>
    <t>4.4</t>
  </si>
  <si>
    <t>4.6</t>
  </si>
  <si>
    <t>-</t>
  </si>
  <si>
    <t>MÓDULO 5: BENEFÍCIO E CUSTOS INDIRETOS (BDI)</t>
  </si>
  <si>
    <t>Benefício e Custos Indiretos - BDI</t>
  </si>
  <si>
    <t>Tributos Federais (COFINS/PIS)</t>
  </si>
  <si>
    <t>Tributos Municipais (ISSQN ou ISS)</t>
  </si>
  <si>
    <t>Lucro</t>
  </si>
  <si>
    <t>- O valor referente a tributos é obtido aplicando-se o percentual sobre o valor do faturamento.</t>
  </si>
  <si>
    <t>ANEXO III - B - PORTARIA Nº 07 DE 09/03/2011 - SLTI/MPOG</t>
  </si>
  <si>
    <t>Quadro Resumo do Custo por Empregado</t>
  </si>
  <si>
    <t>Mão de obra vinculada à execução contratual (valor por empregado)</t>
  </si>
  <si>
    <t>Módulo 1 – Composição da Remuneração</t>
  </si>
  <si>
    <t>Módulo 2 – Benefícios Mensais e Diários</t>
  </si>
  <si>
    <t>Módulo 3 – Insumos Diversos (uniformes e outros)</t>
  </si>
  <si>
    <t>Módulo 4 – Encargos Sociais e Trabalhistas</t>
  </si>
  <si>
    <t>Subtotal (A + B + C + D)</t>
  </si>
  <si>
    <t>Módulo 5 – Benefício e Custos Indiretos</t>
  </si>
  <si>
    <t>P1 = P0/(1 - 0,0865)</t>
  </si>
  <si>
    <t>T = P1 - P0</t>
  </si>
  <si>
    <t>COFINS/PIS = (3,65/8,65) x T</t>
  </si>
  <si>
    <t>ISS = (5,00/8,65) x T</t>
  </si>
  <si>
    <t>Limpeza e conservação - Áreas Internas</t>
  </si>
  <si>
    <t>m2</t>
  </si>
  <si>
    <t>Limpeza e conservação - Áreas Externas</t>
  </si>
  <si>
    <t>Limpeza e conservação - Esquadrias</t>
  </si>
  <si>
    <t>Servente</t>
  </si>
  <si>
    <t>Vale Transporte (Deduzido 6% parte empregado) 
R$ 7,00 (valor transporte)*22 (dias trab.)= R$ 154,00- 6% do sal. Base</t>
  </si>
  <si>
    <t>Notas: - Custos Indiretos, Tributos e Lucro por empregado.</t>
  </si>
  <si>
    <t>VALOR TOTAL POR SERVENTE</t>
  </si>
  <si>
    <t>Encarregado</t>
  </si>
  <si>
    <t>VALOR TOTAL POR ENCARREGADO</t>
  </si>
  <si>
    <t>AREA ÚTIL EM M²</t>
  </si>
  <si>
    <t>AREAS</t>
  </si>
  <si>
    <t>EFETIVOS (Por indice de produtividade mínima)</t>
  </si>
  <si>
    <t>ITEM</t>
  </si>
  <si>
    <t>UNIDADE*</t>
  </si>
  <si>
    <t>INTERNA</t>
  </si>
  <si>
    <t>EXTERNA</t>
  </si>
  <si>
    <t>ESQUADRIAS</t>
  </si>
  <si>
    <t>TOTAL DE ÁREA ÚTIL</t>
  </si>
  <si>
    <t>* Os valores  com decimais serão arredondados para o inteiro anterior.</t>
  </si>
  <si>
    <t>COMPLEMENTO DOS SERVIÇOS DE LIMPEZA E CONSERVAÇÃO</t>
  </si>
  <si>
    <t>MÃO-DE-OBRA</t>
  </si>
  <si>
    <t>PRODUTIVIDADE</t>
  </si>
  <si>
    <t>PREÇO HOMEM-MÊS</t>
  </si>
  <si>
    <t>SUBTOTAL</t>
  </si>
  <si>
    <t>( 1 / m² )</t>
  </si>
  <si>
    <t>( R$ )</t>
  </si>
  <si>
    <t>(R$ / m² )</t>
  </si>
  <si>
    <t>( 1 )</t>
  </si>
  <si>
    <t>( 2 )</t>
  </si>
  <si>
    <t>(3 = 1 x 2)</t>
  </si>
  <si>
    <t>TOTAL (Área Tipo "A")</t>
  </si>
  <si>
    <t>TOTAL (Área Tipo "B")</t>
  </si>
  <si>
    <t>C - ESQUADRIAS INTERNAS E EXTERNAS</t>
  </si>
  <si>
    <t>FREQUÊNCIA NO MÊS (HORA)</t>
  </si>
  <si>
    <t>(1x2x3) Ki</t>
  </si>
  <si>
    <t>( 3 )</t>
  </si>
  <si>
    <t>( 4 )</t>
  </si>
  <si>
    <t>( 5 )</t>
  </si>
  <si>
    <t>(6 = 4 x 5)</t>
  </si>
  <si>
    <t>TOTAL (Área Tipo "C")</t>
  </si>
  <si>
    <t>II - VALOR MENSAL DOS SERVIÇOS DE CONSERVAÇÃO E LIMPEZA</t>
  </si>
  <si>
    <t>TIPO DE ÁREA</t>
  </si>
  <si>
    <t>PREÇO MENSAL UNITÁRIO</t>
  </si>
  <si>
    <t>ÁREA</t>
  </si>
  <si>
    <t>(R$ / m²)</t>
  </si>
  <si>
    <t>( m² )</t>
  </si>
  <si>
    <t>(R$)</t>
  </si>
  <si>
    <t>C - Esquadrias Internas e Externas</t>
  </si>
  <si>
    <t>D - Serviços (Outros)</t>
  </si>
  <si>
    <t>TOTAL MENSAL DOS SERVIÇOS</t>
  </si>
  <si>
    <t>QUADRO RESUMO - VALOR MENSAL DOS SERVIÇOS DE CONSERVAÇÃO E LIMPEZA</t>
  </si>
  <si>
    <t>Item</t>
  </si>
  <si>
    <t>Tipo de Serviço</t>
  </si>
  <si>
    <t>Valor Proposto por profissional</t>
  </si>
  <si>
    <t>Quant. Prof.</t>
  </si>
  <si>
    <t>Valor Proposto por Àrea (m²)</t>
  </si>
  <si>
    <t>Quant. de Área Total por Tipo de Serviço (m²)</t>
  </si>
  <si>
    <t>Valor Mensal por Tipo  de Serviço</t>
  </si>
  <si>
    <t>(A)</t>
  </si>
  <si>
    <t>( B )</t>
  </si>
  <si>
    <t>( C )</t>
  </si>
  <si>
    <t>( D )</t>
  </si>
  <si>
    <t>( E )</t>
  </si>
  <si>
    <t>(F = D x E)</t>
  </si>
  <si>
    <t>Serviços de Limpeza e Conservação - Área Interna - Encarregado</t>
  </si>
  <si>
    <t>Serviços de Limpeza e Conservação - Área Externa - Encarregado</t>
  </si>
  <si>
    <t>Serviços de Limpeza e Conservação - Esquadrias Internas e Externas  - Encarregado</t>
  </si>
  <si>
    <t>Serviços de Limpeza e Conservação - Área Interna - Servente</t>
  </si>
  <si>
    <t>Serviços de Limpeza e Conservação - Área Externa - Servente</t>
  </si>
  <si>
    <t>Serviços de Limpeza e Conservação - Esquadrias Internas e Externas - Servente</t>
  </si>
  <si>
    <t>Valor Mensal dos Serviços</t>
  </si>
  <si>
    <t>Valor global (Serviços de conservação e limpeza, Auxiliar de Manutenção, Copeiragem e Recepção)</t>
  </si>
  <si>
    <t>Descrição</t>
  </si>
  <si>
    <t>Und</t>
  </si>
  <si>
    <t>Quant.</t>
  </si>
  <si>
    <t>Preço Unit. Mensal</t>
  </si>
  <si>
    <t>Conservação e Limpeza</t>
  </si>
  <si>
    <t>1.1</t>
  </si>
  <si>
    <t>Área Interna</t>
  </si>
  <si>
    <t>m²</t>
  </si>
  <si>
    <t>1.2</t>
  </si>
  <si>
    <t>Área Externa</t>
  </si>
  <si>
    <t>1.3</t>
  </si>
  <si>
    <t>Esquadrias Externa e Interna</t>
  </si>
  <si>
    <t>VALOR TOTAL MENSAL</t>
  </si>
  <si>
    <t>Ministério   da   Integração   Nacional  -  M I</t>
  </si>
  <si>
    <t>Companhia de Desenvolvimento dos Vales do São Francisco e do Parnaíba</t>
  </si>
  <si>
    <t>3ª Superintendência Regional</t>
  </si>
  <si>
    <t>QUADRO DEMONSTRATIVO - VALOR GLOBAL</t>
  </si>
  <si>
    <t>PORTARIA Nº 07 DE 09/03/2011 - SLTI/MPOG</t>
  </si>
  <si>
    <t>PREÇO MENSAL UNITÁRIO POR METRO QUADRADO (m²)</t>
  </si>
  <si>
    <t>Despesas Indiretas</t>
  </si>
  <si>
    <t>JORNADA DE TRABALHO NO MÊS (HORAS) 1/188,76</t>
  </si>
  <si>
    <t>Número de meses de execução contratual</t>
  </si>
  <si>
    <t>Prestação dos serviços de limpeza, conservação, jardinagem e manutenção do CIRPA Bebedouro, com carga horária de 44 (quarenta e quatro) horas semanais, de segunda a sábado.</t>
  </si>
  <si>
    <t>Nota 1: O valor informado deverá ser o custo real do insumo (descontado o valor eventualmente pago pelo empregado).</t>
  </si>
  <si>
    <t>Nota 2: Não existe custo com o Vale Transporte, visto que, o pessoal a ser mobilizado reside próximo ao local de trabalho.</t>
  </si>
  <si>
    <t xml:space="preserve">Equipamentos - botas em PVC </t>
  </si>
  <si>
    <t>Materiais de limpeza</t>
  </si>
  <si>
    <t>A - Interna c/Insalubridade</t>
  </si>
  <si>
    <t>B - Externa c/ Insalubridade</t>
  </si>
  <si>
    <t>A - ÁREA INTERNA COM INSALUBRIDADE</t>
  </si>
  <si>
    <t>B - ÁREA EXTERNA COM INSALUBRIDADE</t>
  </si>
  <si>
    <t>servente</t>
  </si>
  <si>
    <t>encarregado</t>
  </si>
  <si>
    <t>R$</t>
  </si>
  <si>
    <t>qtd</t>
  </si>
  <si>
    <t>total areas</t>
  </si>
  <si>
    <t>P0 = (MÓD 1 + MÓD 2 + MÓD 3 + MÓD 4) + (DI) + (L)</t>
  </si>
  <si>
    <t>* De Acordo com o Caderno Técnico 2017 emitido pela Secretaria de Gestão (SEGES) do Ministério do Planejamento, Orçamento e Gestão, como não existe previsão na Convenção Coletiva 2017/2017 para salário-base ou mesmo gratificação para a função de Encarregado, o Departamento de Normas e Sistemas de Logística determina uma gratificação de 43,16% sobre o salário-base do servente, perfazendo o salário mensal de R$ 1.372,00 para a função de Encarregado.</t>
  </si>
  <si>
    <t>VALOR TOTAL GLOBAL (12 MESES)</t>
  </si>
  <si>
    <t>Outros (especificar) - Beneficio de complementação salarial/odontologico - CCT 14ª</t>
  </si>
  <si>
    <t>area interna</t>
  </si>
  <si>
    <t>area externa</t>
  </si>
  <si>
    <t>esquadrias</t>
  </si>
  <si>
    <t>PORTARIA Nº 213 DE 25/09/2017 - SLTI/MPOG</t>
  </si>
  <si>
    <t>Adicional de Insalubridade (20%) - Nota Técnica (fls. 289/548)</t>
  </si>
  <si>
    <t>1 / ( 217760)</t>
  </si>
  <si>
    <t>1 / (5 x 2405)</t>
  </si>
  <si>
    <t>1 / 300</t>
  </si>
  <si>
    <t>1 /28250</t>
  </si>
  <si>
    <t>1 / 1200</t>
  </si>
  <si>
    <t>* Estão sendo consideradas as produtividades de 1200m² para áreas internas, 28250 m² para áreas externas e 300 m² para áreas de esquadrias internas e externas.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</si>
</sst>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d/m/yyyy"/>
    <numFmt numFmtId="165" formatCode="#,##0.00_ ;[Red]\-#,##0.00\ "/>
    <numFmt numFmtId="166" formatCode="_(&quot;R$ &quot;* #,##0.00_);_(&quot;R$ &quot;* \(#,##0.00\);_(&quot;R$ &quot;* \-??_);_(@_)"/>
    <numFmt numFmtId="167" formatCode="_-* #,##0.00_-;\-* #,##0.00_-;_-* \-??_-;_-@_-"/>
    <numFmt numFmtId="168" formatCode="_(* #,##0.00_);_(* \(#,##0.00\);_(* \-??_);_(@_)"/>
    <numFmt numFmtId="169" formatCode="0.0000000"/>
    <numFmt numFmtId="170" formatCode="_(* #,##0.0000_);_(* \(#,##0.0000\);_(* \-????_);_(@_)"/>
    <numFmt numFmtId="171" formatCode="_-* #,##0_-;\-* #,##0_-;_-* \-_-;_-@_-"/>
    <numFmt numFmtId="172" formatCode="0.000"/>
    <numFmt numFmtId="173" formatCode="_(&quot;R$ &quot;* #,##0.000_);_(&quot;R$ &quot;* \(#,##0.000\);_(&quot;R$ &quot;* \-??_);_(@_)"/>
    <numFmt numFmtId="174" formatCode="#,##0.000"/>
    <numFmt numFmtId="175" formatCode="0.000000"/>
    <numFmt numFmtId="176" formatCode="0.0%"/>
    <numFmt numFmtId="177" formatCode="&quot;R$&quot;\ #,##0.00"/>
  </numFmts>
  <fonts count="16" x14ac:knownFonts="1">
    <font>
      <sz val="10"/>
      <name val="Arial"/>
      <family val="2"/>
      <charset val="1"/>
    </font>
    <font>
      <sz val="10"/>
      <color rgb="FFFF0000"/>
      <name val="Arial"/>
      <family val="2"/>
      <charset val="1"/>
    </font>
    <font>
      <sz val="10"/>
      <name val="Arial"/>
      <family val="2"/>
      <charset val="1"/>
    </font>
    <font>
      <b/>
      <sz val="10"/>
      <name val="Times New Roman"/>
      <family val="1"/>
    </font>
    <font>
      <sz val="10"/>
      <name val="Arial"/>
      <family val="2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9"/>
      <color rgb="FF000000"/>
      <name val="Times New Roman"/>
      <family val="1"/>
    </font>
    <font>
      <i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6">
    <xf numFmtId="0" fontId="0" fillId="0" borderId="0"/>
    <xf numFmtId="168" fontId="2" fillId="0" borderId="0" applyBorder="0" applyProtection="0"/>
    <xf numFmtId="166" fontId="2" fillId="0" borderId="0" applyBorder="0" applyProtection="0"/>
    <xf numFmtId="9" fontId="2" fillId="0" borderId="0" applyBorder="0" applyProtection="0"/>
    <xf numFmtId="0" fontId="4" fillId="0" borderId="0"/>
    <xf numFmtId="168" fontId="4" fillId="0" borderId="0"/>
  </cellStyleXfs>
  <cellXfs count="276">
    <xf numFmtId="0" fontId="0" fillId="0" borderId="0" xfId="0"/>
    <xf numFmtId="4" fontId="1" fillId="0" borderId="0" xfId="0" applyNumberFormat="1" applyFont="1" applyAlignment="1">
      <alignment vertical="center"/>
    </xf>
    <xf numFmtId="0" fontId="5" fillId="0" borderId="0" xfId="0" applyFont="1" applyBorder="1" applyAlignment="1"/>
    <xf numFmtId="0" fontId="6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6" fontId="6" fillId="0" borderId="1" xfId="0" applyNumberFormat="1" applyFont="1" applyBorder="1" applyAlignment="1">
      <alignment horizontal="left" vertical="center" wrapText="1"/>
    </xf>
    <xf numFmtId="166" fontId="6" fillId="0" borderId="5" xfId="2" applyFont="1" applyBorder="1" applyAlignment="1" applyProtection="1">
      <alignment horizontal="left" vertical="center"/>
    </xf>
    <xf numFmtId="166" fontId="6" fillId="0" borderId="0" xfId="2" applyFont="1" applyBorder="1" applyAlignment="1" applyProtection="1"/>
    <xf numFmtId="0" fontId="6" fillId="0" borderId="1" xfId="0" applyFont="1" applyBorder="1" applyAlignment="1">
      <alignment horizontal="center" vertical="center"/>
    </xf>
    <xf numFmtId="166" fontId="3" fillId="0" borderId="5" xfId="0" applyNumberFormat="1" applyFont="1" applyBorder="1" applyAlignment="1">
      <alignment horizontal="left" vertical="center" wrapText="1"/>
    </xf>
    <xf numFmtId="166" fontId="3" fillId="0" borderId="1" xfId="2" applyFont="1" applyBorder="1" applyAlignment="1" applyProtection="1">
      <alignment horizontal="left" vertical="center"/>
    </xf>
    <xf numFmtId="166" fontId="7" fillId="0" borderId="5" xfId="2" applyFont="1" applyBorder="1" applyAlignment="1" applyProtection="1">
      <alignment horizontal="left" vertical="center"/>
    </xf>
    <xf numFmtId="0" fontId="6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166" fontId="6" fillId="0" borderId="9" xfId="2" applyFont="1" applyBorder="1" applyAlignment="1" applyProtection="1">
      <alignment horizontal="left" vertical="center" wrapText="1"/>
    </xf>
    <xf numFmtId="1" fontId="6" fillId="0" borderId="9" xfId="0" applyNumberFormat="1" applyFont="1" applyBorder="1" applyAlignment="1">
      <alignment vertical="center" wrapText="1"/>
    </xf>
    <xf numFmtId="173" fontId="6" fillId="0" borderId="9" xfId="2" applyNumberFormat="1" applyFont="1" applyBorder="1" applyAlignment="1" applyProtection="1">
      <alignment horizontal="left" vertical="center" wrapText="1"/>
    </xf>
    <xf numFmtId="174" fontId="6" fillId="0" borderId="3" xfId="0" applyNumberFormat="1" applyFont="1" applyBorder="1" applyAlignment="1">
      <alignment vertical="center"/>
    </xf>
    <xf numFmtId="166" fontId="6" fillId="0" borderId="1" xfId="0" applyNumberFormat="1" applyFont="1" applyBorder="1" applyAlignment="1">
      <alignment vertical="center"/>
    </xf>
    <xf numFmtId="166" fontId="6" fillId="0" borderId="0" xfId="0" applyNumberFormat="1" applyFont="1"/>
    <xf numFmtId="166" fontId="6" fillId="0" borderId="1" xfId="2" applyFont="1" applyBorder="1" applyAlignment="1" applyProtection="1">
      <alignment horizontal="left" vertical="center"/>
    </xf>
    <xf numFmtId="171" fontId="6" fillId="0" borderId="1" xfId="0" applyNumberFormat="1" applyFont="1" applyBorder="1" applyAlignment="1">
      <alignment vertical="center"/>
    </xf>
    <xf numFmtId="173" fontId="6" fillId="0" borderId="1" xfId="2" applyNumberFormat="1" applyFont="1" applyBorder="1" applyAlignment="1" applyProtection="1">
      <alignment horizontal="left" vertical="center"/>
    </xf>
    <xf numFmtId="166" fontId="3" fillId="0" borderId="9" xfId="2" applyFont="1" applyBorder="1" applyAlignment="1" applyProtection="1">
      <alignment horizontal="left" vertical="center"/>
    </xf>
    <xf numFmtId="0" fontId="6" fillId="0" borderId="0" xfId="0" applyFont="1" applyAlignment="1"/>
    <xf numFmtId="4" fontId="6" fillId="0" borderId="0" xfId="0" applyNumberFormat="1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4" fontId="3" fillId="0" borderId="0" xfId="0" applyNumberFormat="1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6" xfId="0" applyFont="1" applyBorder="1" applyAlignment="1">
      <alignment vertical="center"/>
    </xf>
    <xf numFmtId="177" fontId="6" fillId="0" borderId="3" xfId="0" applyNumberFormat="1" applyFont="1" applyBorder="1" applyAlignment="1">
      <alignment vertical="center"/>
    </xf>
    <xf numFmtId="2" fontId="6" fillId="0" borderId="5" xfId="0" applyNumberFormat="1" applyFont="1" applyBorder="1" applyAlignment="1">
      <alignment vertical="center"/>
    </xf>
    <xf numFmtId="43" fontId="6" fillId="0" borderId="0" xfId="0" applyNumberFormat="1" applyFont="1" applyAlignment="1">
      <alignment vertical="center"/>
    </xf>
    <xf numFmtId="0" fontId="6" fillId="0" borderId="1" xfId="0" applyFont="1" applyBorder="1" applyAlignment="1">
      <alignment vertical="center"/>
    </xf>
    <xf numFmtId="172" fontId="6" fillId="0" borderId="5" xfId="0" applyNumberFormat="1" applyFont="1" applyBorder="1" applyAlignment="1">
      <alignment vertical="center"/>
    </xf>
    <xf numFmtId="0" fontId="6" fillId="0" borderId="5" xfId="0" applyFont="1" applyBorder="1" applyAlignment="1">
      <alignment horizontal="left" vertical="center" wrapText="1"/>
    </xf>
    <xf numFmtId="0" fontId="8" fillId="2" borderId="19" xfId="0" applyFont="1" applyFill="1" applyBorder="1" applyAlignment="1">
      <alignment horizontal="center" vertical="top"/>
    </xf>
    <xf numFmtId="0" fontId="3" fillId="2" borderId="19" xfId="0" applyFont="1" applyFill="1" applyBorder="1" applyAlignment="1">
      <alignment horizontal="center" vertical="top"/>
    </xf>
    <xf numFmtId="0" fontId="8" fillId="2" borderId="9" xfId="0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170" fontId="6" fillId="0" borderId="0" xfId="0" applyNumberFormat="1" applyFont="1" applyAlignment="1">
      <alignment vertical="center"/>
    </xf>
    <xf numFmtId="2" fontId="6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6" fillId="0" borderId="1" xfId="0" applyFont="1" applyBorder="1" applyAlignment="1">
      <alignment vertical="center" wrapText="1"/>
    </xf>
    <xf numFmtId="165" fontId="9" fillId="0" borderId="0" xfId="0" applyNumberFormat="1" applyFont="1" applyAlignment="1">
      <alignment vertical="center"/>
    </xf>
    <xf numFmtId="2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3" fontId="6" fillId="0" borderId="0" xfId="0" applyNumberFormat="1" applyFont="1"/>
    <xf numFmtId="0" fontId="6" fillId="2" borderId="1" xfId="0" applyFont="1" applyFill="1" applyBorder="1"/>
    <xf numFmtId="0" fontId="6" fillId="2" borderId="5" xfId="0" applyFont="1" applyFill="1" applyBorder="1"/>
    <xf numFmtId="0" fontId="6" fillId="4" borderId="1" xfId="0" applyFont="1" applyFill="1" applyBorder="1"/>
    <xf numFmtId="0" fontId="6" fillId="4" borderId="5" xfId="0" applyFont="1" applyFill="1" applyBorder="1"/>
    <xf numFmtId="0" fontId="6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11" fillId="4" borderId="10" xfId="0" applyFont="1" applyFill="1" applyBorder="1"/>
    <xf numFmtId="4" fontId="11" fillId="4" borderId="9" xfId="0" applyNumberFormat="1" applyFont="1" applyFill="1" applyBorder="1"/>
    <xf numFmtId="0" fontId="11" fillId="0" borderId="5" xfId="0" applyFont="1" applyBorder="1"/>
    <xf numFmtId="4" fontId="11" fillId="0" borderId="1" xfId="0" applyNumberFormat="1" applyFont="1" applyBorder="1"/>
    <xf numFmtId="4" fontId="11" fillId="4" borderId="1" xfId="0" applyNumberFormat="1" applyFont="1" applyFill="1" applyBorder="1"/>
    <xf numFmtId="0" fontId="11" fillId="4" borderId="9" xfId="0" applyFont="1" applyFill="1" applyBorder="1" applyAlignment="1">
      <alignment horizontal="center" vertical="center"/>
    </xf>
    <xf numFmtId="0" fontId="11" fillId="4" borderId="1" xfId="0" applyFont="1" applyFill="1" applyBorder="1"/>
    <xf numFmtId="4" fontId="10" fillId="2" borderId="1" xfId="0" applyNumberFormat="1" applyFont="1" applyFill="1" applyBorder="1"/>
    <xf numFmtId="0" fontId="10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4" fontId="10" fillId="0" borderId="0" xfId="0" applyNumberFormat="1" applyFont="1" applyBorder="1"/>
    <xf numFmtId="0" fontId="11" fillId="4" borderId="11" xfId="0" applyFont="1" applyFill="1" applyBorder="1"/>
    <xf numFmtId="0" fontId="6" fillId="4" borderId="12" xfId="0" applyFont="1" applyFill="1" applyBorder="1"/>
    <xf numFmtId="0" fontId="11" fillId="4" borderId="12" xfId="0" applyFont="1" applyFill="1" applyBorder="1"/>
    <xf numFmtId="4" fontId="10" fillId="4" borderId="12" xfId="0" applyNumberFormat="1" applyFont="1" applyFill="1" applyBorder="1"/>
    <xf numFmtId="4" fontId="10" fillId="4" borderId="13" xfId="0" applyNumberFormat="1" applyFont="1" applyFill="1" applyBorder="1"/>
    <xf numFmtId="0" fontId="11" fillId="4" borderId="14" xfId="0" applyFont="1" applyFill="1" applyBorder="1"/>
    <xf numFmtId="0" fontId="11" fillId="4" borderId="0" xfId="0" applyFont="1" applyFill="1" applyBorder="1"/>
    <xf numFmtId="4" fontId="11" fillId="4" borderId="0" xfId="0" applyNumberFormat="1" applyFont="1" applyFill="1" applyBorder="1"/>
    <xf numFmtId="0" fontId="6" fillId="4" borderId="0" xfId="0" applyFont="1" applyFill="1" applyBorder="1"/>
    <xf numFmtId="0" fontId="6" fillId="4" borderId="15" xfId="0" applyFont="1" applyFill="1" applyBorder="1"/>
    <xf numFmtId="0" fontId="11" fillId="4" borderId="16" xfId="0" applyFont="1" applyFill="1" applyBorder="1"/>
    <xf numFmtId="0" fontId="11" fillId="4" borderId="17" xfId="0" applyFont="1" applyFill="1" applyBorder="1"/>
    <xf numFmtId="4" fontId="11" fillId="4" borderId="17" xfId="0" applyNumberFormat="1" applyFont="1" applyFill="1" applyBorder="1"/>
    <xf numFmtId="0" fontId="6" fillId="4" borderId="17" xfId="0" applyFont="1" applyFill="1" applyBorder="1"/>
    <xf numFmtId="0" fontId="6" fillId="4" borderId="18" xfId="0" applyFont="1" applyFill="1" applyBorder="1"/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right" vertical="center" indent="15"/>
    </xf>
    <xf numFmtId="0" fontId="3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6" fontId="6" fillId="0" borderId="5" xfId="2" applyFont="1" applyBorder="1" applyAlignment="1" applyProtection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167" fontId="6" fillId="2" borderId="1" xfId="0" applyNumberFormat="1" applyFont="1" applyFill="1" applyBorder="1" applyAlignment="1">
      <alignment horizontal="center" vertical="center" wrapText="1"/>
    </xf>
    <xf numFmtId="168" fontId="13" fillId="0" borderId="1" xfId="0" applyNumberFormat="1" applyFont="1" applyBorder="1" applyAlignment="1">
      <alignment vertical="center" wrapText="1"/>
    </xf>
    <xf numFmtId="167" fontId="6" fillId="0" borderId="9" xfId="0" applyNumberFormat="1" applyFont="1" applyBorder="1" applyAlignment="1">
      <alignment horizontal="center" vertical="center" wrapText="1"/>
    </xf>
    <xf numFmtId="10" fontId="13" fillId="0" borderId="9" xfId="0" applyNumberFormat="1" applyFont="1" applyBorder="1" applyAlignment="1">
      <alignment horizontal="center"/>
    </xf>
    <xf numFmtId="10" fontId="13" fillId="0" borderId="1" xfId="0" applyNumberFormat="1" applyFont="1" applyBorder="1" applyAlignment="1">
      <alignment horizontal="center"/>
    </xf>
    <xf numFmtId="10" fontId="13" fillId="0" borderId="1" xfId="0" applyNumberFormat="1" applyFont="1" applyBorder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 wrapText="1"/>
    </xf>
    <xf numFmtId="167" fontId="3" fillId="2" borderId="1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67" fontId="6" fillId="0" borderId="1" xfId="2" applyNumberFormat="1" applyFont="1" applyBorder="1" applyAlignment="1" applyProtection="1">
      <alignment horizontal="center" vertical="center" wrapText="1"/>
    </xf>
    <xf numFmtId="10" fontId="6" fillId="0" borderId="1" xfId="3" applyNumberFormat="1" applyFont="1" applyBorder="1" applyAlignment="1" applyProtection="1">
      <alignment horizontal="center" vertical="center" wrapText="1"/>
    </xf>
    <xf numFmtId="167" fontId="3" fillId="2" borderId="1" xfId="0" applyNumberFormat="1" applyFont="1" applyFill="1" applyBorder="1" applyAlignment="1">
      <alignment horizontal="right" vertical="center" wrapText="1"/>
    </xf>
    <xf numFmtId="0" fontId="15" fillId="0" borderId="0" xfId="0" applyFont="1" applyBorder="1" applyAlignment="1">
      <alignment horizontal="left" vertical="center" wrapText="1"/>
    </xf>
    <xf numFmtId="10" fontId="13" fillId="0" borderId="1" xfId="0" applyNumberFormat="1" applyFont="1" applyBorder="1" applyAlignment="1">
      <alignment horizontal="right" vertical="center" wrapText="1"/>
    </xf>
    <xf numFmtId="0" fontId="12" fillId="2" borderId="1" xfId="0" applyFont="1" applyFill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10" fontId="6" fillId="0" borderId="5" xfId="0" applyNumberFormat="1" applyFont="1" applyBorder="1" applyAlignment="1">
      <alignment horizontal="center" vertical="center" wrapText="1"/>
    </xf>
    <xf numFmtId="167" fontId="6" fillId="0" borderId="1" xfId="2" applyNumberFormat="1" applyFont="1" applyBorder="1" applyAlignment="1" applyProtection="1">
      <alignment horizontal="left" vertical="center" wrapText="1"/>
    </xf>
    <xf numFmtId="167" fontId="6" fillId="0" borderId="0" xfId="0" applyNumberFormat="1" applyFont="1" applyAlignment="1">
      <alignment vertical="center"/>
    </xf>
    <xf numFmtId="167" fontId="3" fillId="2" borderId="1" xfId="2" applyNumberFormat="1" applyFont="1" applyFill="1" applyBorder="1" applyAlignment="1" applyProtection="1">
      <alignment horizontal="left" vertical="center" wrapText="1"/>
    </xf>
    <xf numFmtId="10" fontId="6" fillId="0" borderId="0" xfId="0" applyNumberFormat="1" applyFont="1" applyAlignment="1">
      <alignment vertical="center"/>
    </xf>
    <xf numFmtId="0" fontId="13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167" fontId="6" fillId="0" borderId="1" xfId="0" applyNumberFormat="1" applyFont="1" applyBorder="1" applyAlignment="1">
      <alignment horizontal="left" vertical="center" wrapText="1"/>
    </xf>
    <xf numFmtId="167" fontId="6" fillId="2" borderId="1" xfId="0" applyNumberFormat="1" applyFont="1" applyFill="1" applyBorder="1" applyAlignment="1">
      <alignment horizontal="left" vertical="center" wrapText="1"/>
    </xf>
    <xf numFmtId="167" fontId="3" fillId="2" borderId="1" xfId="0" applyNumberFormat="1" applyFont="1" applyFill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167" fontId="11" fillId="0" borderId="0" xfId="0" applyNumberFormat="1" applyFont="1" applyAlignment="1">
      <alignment horizontal="center" vertical="center"/>
    </xf>
    <xf numFmtId="168" fontId="6" fillId="3" borderId="1" xfId="0" applyNumberFormat="1" applyFont="1" applyFill="1" applyBorder="1" applyAlignment="1">
      <alignment horizontal="right" vertical="center"/>
    </xf>
    <xf numFmtId="168" fontId="6" fillId="3" borderId="1" xfId="1" applyFont="1" applyFill="1" applyBorder="1" applyAlignment="1" applyProtection="1">
      <alignment horizontal="right" vertical="center"/>
    </xf>
    <xf numFmtId="168" fontId="3" fillId="3" borderId="1" xfId="0" applyNumberFormat="1" applyFont="1" applyFill="1" applyBorder="1" applyAlignment="1">
      <alignment horizontal="right" vertical="center"/>
    </xf>
    <xf numFmtId="168" fontId="3" fillId="3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67" fontId="6" fillId="0" borderId="0" xfId="0" applyNumberFormat="1" applyFont="1" applyAlignment="1"/>
    <xf numFmtId="165" fontId="6" fillId="0" borderId="0" xfId="0" applyNumberFormat="1" applyFont="1"/>
    <xf numFmtId="10" fontId="6" fillId="0" borderId="0" xfId="3" applyNumberFormat="1" applyFont="1"/>
    <xf numFmtId="43" fontId="6" fillId="0" borderId="0" xfId="0" applyNumberFormat="1" applyFont="1" applyAlignment="1"/>
    <xf numFmtId="0" fontId="11" fillId="0" borderId="1" xfId="0" applyFont="1" applyBorder="1" applyAlignment="1">
      <alignment horizontal="left" vertical="center"/>
    </xf>
    <xf numFmtId="4" fontId="6" fillId="0" borderId="0" xfId="0" applyNumberFormat="1" applyFont="1"/>
    <xf numFmtId="0" fontId="3" fillId="0" borderId="0" xfId="0" applyFont="1" applyAlignment="1"/>
    <xf numFmtId="4" fontId="6" fillId="0" borderId="0" xfId="0" applyNumberFormat="1" applyFont="1" applyAlignment="1"/>
    <xf numFmtId="0" fontId="14" fillId="0" borderId="0" xfId="0" applyFont="1" applyBorder="1" applyAlignment="1">
      <alignment horizontal="justify" vertical="center" wrapText="1"/>
    </xf>
    <xf numFmtId="0" fontId="13" fillId="0" borderId="0" xfId="0" applyFont="1" applyBorder="1" applyAlignment="1">
      <alignment horizontal="justify" vertical="center" wrapText="1"/>
    </xf>
    <xf numFmtId="176" fontId="6" fillId="0" borderId="0" xfId="3" applyNumberFormat="1" applyFont="1"/>
    <xf numFmtId="10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2" fontId="6" fillId="0" borderId="3" xfId="0" applyNumberFormat="1" applyFont="1" applyBorder="1" applyAlignment="1">
      <alignment vertical="center"/>
    </xf>
    <xf numFmtId="172" fontId="6" fillId="0" borderId="6" xfId="0" applyNumberFormat="1" applyFont="1" applyBorder="1" applyAlignment="1">
      <alignment vertical="center"/>
    </xf>
    <xf numFmtId="172" fontId="6" fillId="0" borderId="9" xfId="0" applyNumberFormat="1" applyFont="1" applyBorder="1" applyAlignment="1">
      <alignment vertical="center"/>
    </xf>
    <xf numFmtId="172" fontId="6" fillId="0" borderId="1" xfId="0" applyNumberFormat="1" applyFont="1" applyBorder="1" applyAlignment="1">
      <alignment horizontal="right" vertical="center"/>
    </xf>
    <xf numFmtId="0" fontId="3" fillId="0" borderId="0" xfId="4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66" fontId="6" fillId="0" borderId="1" xfId="2" applyFont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/>
    </xf>
    <xf numFmtId="166" fontId="6" fillId="0" borderId="1" xfId="2" applyNumberFormat="1" applyFont="1" applyBorder="1" applyAlignment="1" applyProtection="1">
      <alignment horizontal="center" vertical="center"/>
    </xf>
    <xf numFmtId="2" fontId="6" fillId="0" borderId="1" xfId="0" applyNumberFormat="1" applyFont="1" applyBorder="1" applyAlignment="1">
      <alignment horizontal="right" vertical="center"/>
    </xf>
    <xf numFmtId="4" fontId="6" fillId="0" borderId="3" xfId="0" applyNumberFormat="1" applyFont="1" applyBorder="1" applyAlignment="1">
      <alignment horizontal="right" vertical="center"/>
    </xf>
    <xf numFmtId="2" fontId="6" fillId="0" borderId="3" xfId="0" applyNumberFormat="1" applyFont="1" applyBorder="1" applyAlignment="1">
      <alignment horizontal="right" vertical="center"/>
    </xf>
    <xf numFmtId="172" fontId="6" fillId="0" borderId="1" xfId="0" applyNumberFormat="1" applyFont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1" fontId="6" fillId="0" borderId="1" xfId="0" applyNumberFormat="1" applyFont="1" applyBorder="1" applyAlignment="1">
      <alignment horizontal="center" vertical="center"/>
    </xf>
    <xf numFmtId="175" fontId="6" fillId="0" borderId="1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left" vertical="center"/>
    </xf>
    <xf numFmtId="169" fontId="6" fillId="0" borderId="1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66" fontId="6" fillId="0" borderId="3" xfId="2" applyFont="1" applyBorder="1" applyAlignment="1" applyProtection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167" fontId="6" fillId="0" borderId="6" xfId="2" applyNumberFormat="1" applyFont="1" applyBorder="1" applyAlignment="1" applyProtection="1">
      <alignment horizontal="center" vertical="center" wrapText="1"/>
    </xf>
    <xf numFmtId="167" fontId="6" fillId="0" borderId="19" xfId="2" applyNumberFormat="1" applyFont="1" applyBorder="1" applyAlignment="1" applyProtection="1">
      <alignment horizontal="center" vertical="center" wrapText="1"/>
    </xf>
    <xf numFmtId="167" fontId="6" fillId="0" borderId="9" xfId="2" applyNumberFormat="1" applyFont="1" applyBorder="1" applyAlignment="1" applyProtection="1">
      <alignment horizontal="center" vertical="center" wrapText="1"/>
    </xf>
    <xf numFmtId="10" fontId="6" fillId="0" borderId="6" xfId="1" applyNumberFormat="1" applyFont="1" applyBorder="1" applyAlignment="1" applyProtection="1">
      <alignment horizontal="center" vertical="center" wrapText="1"/>
    </xf>
    <xf numFmtId="10" fontId="6" fillId="0" borderId="19" xfId="1" applyNumberFormat="1" applyFont="1" applyBorder="1" applyAlignment="1" applyProtection="1">
      <alignment horizontal="center" vertical="center" wrapText="1"/>
    </xf>
    <xf numFmtId="10" fontId="6" fillId="0" borderId="9" xfId="1" applyNumberFormat="1" applyFont="1" applyBorder="1" applyAlignment="1" applyProtection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26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14" fillId="0" borderId="2" xfId="0" applyFont="1" applyBorder="1" applyAlignment="1">
      <alignment horizontal="justify" vertical="center" wrapText="1"/>
    </xf>
    <xf numFmtId="0" fontId="13" fillId="0" borderId="2" xfId="0" applyFont="1" applyBorder="1" applyAlignment="1">
      <alignment horizontal="justify" vertical="center" wrapText="1"/>
    </xf>
    <xf numFmtId="0" fontId="14" fillId="0" borderId="0" xfId="0" applyFont="1" applyBorder="1" applyAlignment="1">
      <alignment horizontal="justify" vertical="center" wrapText="1"/>
    </xf>
    <xf numFmtId="0" fontId="13" fillId="0" borderId="0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166" fontId="6" fillId="0" borderId="4" xfId="2" applyFont="1" applyBorder="1"/>
    <xf numFmtId="166" fontId="6" fillId="0" borderId="5" xfId="2" applyFont="1" applyBorder="1"/>
    <xf numFmtId="0" fontId="6" fillId="0" borderId="1" xfId="0" applyFont="1" applyBorder="1" applyAlignment="1">
      <alignment horizontal="left" vertical="center"/>
    </xf>
    <xf numFmtId="4" fontId="6" fillId="0" borderId="1" xfId="0" applyNumberFormat="1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center" vertical="center"/>
    </xf>
    <xf numFmtId="165" fontId="6" fillId="0" borderId="5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</cellXfs>
  <cellStyles count="6">
    <cellStyle name="Excel Built-in Comma" xfId="5"/>
    <cellStyle name="Excel Built-in Normal" xfId="4"/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38100</xdr:colOff>
          <xdr:row>0</xdr:row>
          <xdr:rowOff>38100</xdr:rowOff>
        </xdr:from>
        <xdr:to>
          <xdr:col>1</xdr:col>
          <xdr:colOff>1447800</xdr:colOff>
          <xdr:row>2</xdr:row>
          <xdr:rowOff>28575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38100</xdr:colOff>
          <xdr:row>0</xdr:row>
          <xdr:rowOff>38100</xdr:rowOff>
        </xdr:from>
        <xdr:to>
          <xdr:col>1</xdr:col>
          <xdr:colOff>1514475</xdr:colOff>
          <xdr:row>2</xdr:row>
          <xdr:rowOff>38100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38100</xdr:colOff>
          <xdr:row>0</xdr:row>
          <xdr:rowOff>38100</xdr:rowOff>
        </xdr:from>
        <xdr:to>
          <xdr:col>1</xdr:col>
          <xdr:colOff>666750</xdr:colOff>
          <xdr:row>2</xdr:row>
          <xdr:rowOff>9525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47625</xdr:colOff>
          <xdr:row>1</xdr:row>
          <xdr:rowOff>9525</xdr:rowOff>
        </xdr:from>
        <xdr:to>
          <xdr:col>2</xdr:col>
          <xdr:colOff>9525</xdr:colOff>
          <xdr:row>3</xdr:row>
          <xdr:rowOff>152400</xdr:rowOff>
        </xdr:to>
        <xdr:sp macro="" textlink="">
          <xdr:nvSpPr>
            <xdr:cNvPr id="6146" name="Object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38100</xdr:colOff>
          <xdr:row>0</xdr:row>
          <xdr:rowOff>38100</xdr:rowOff>
        </xdr:from>
        <xdr:to>
          <xdr:col>1</xdr:col>
          <xdr:colOff>1438275</xdr:colOff>
          <xdr:row>2</xdr:row>
          <xdr:rowOff>171450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38100</xdr:colOff>
          <xdr:row>0</xdr:row>
          <xdr:rowOff>38100</xdr:rowOff>
        </xdr:from>
        <xdr:to>
          <xdr:col>1</xdr:col>
          <xdr:colOff>1495425</xdr:colOff>
          <xdr:row>2</xdr:row>
          <xdr:rowOff>104775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MILIA~1.DIA/AppData/Local/Temp/Planilhas%20Limpeza%203&#170;GRR-CIB-%20CCT%202017%20_Alessandra_rev%20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or Global"/>
      <sheetName val="Quadro Resumo"/>
      <sheetName val="Complemento Serviço Limpeza"/>
      <sheetName val="Cálculo das Áreas"/>
      <sheetName val="Encarregado"/>
      <sheetName val="Servente"/>
    </sheetNames>
    <sheetDataSet>
      <sheetData sheetId="0"/>
      <sheetData sheetId="1"/>
      <sheetData sheetId="2"/>
      <sheetData sheetId="3"/>
      <sheetData sheetId="4">
        <row r="131">
          <cell r="E131">
            <v>3801.24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2"/>
  <sheetViews>
    <sheetView tabSelected="1" zoomScale="115" zoomScaleNormal="115" workbookViewId="0">
      <selection activeCell="F18" sqref="F18"/>
    </sheetView>
  </sheetViews>
  <sheetFormatPr defaultRowHeight="12.75" x14ac:dyDescent="0.2"/>
  <cols>
    <col min="1" max="1" width="5.140625" style="3"/>
    <col min="2" max="2" width="30.7109375" style="3"/>
    <col min="3" max="3" width="6.85546875" style="3"/>
    <col min="4" max="4" width="14.42578125" style="3"/>
    <col min="5" max="5" width="16.85546875" style="3"/>
    <col min="6" max="6" width="18" style="3" bestFit="1" customWidth="1"/>
    <col min="7" max="7" width="8.7109375" style="3"/>
    <col min="8" max="8" width="13.28515625" style="3"/>
    <col min="9" max="9" width="14.28515625" style="3"/>
    <col min="10" max="1025" width="8.7109375" style="3"/>
    <col min="1026" max="16384" width="9.140625" style="3"/>
  </cols>
  <sheetData>
    <row r="1" spans="1:9" ht="18.75" x14ac:dyDescent="0.3">
      <c r="A1" s="2"/>
      <c r="B1" s="2"/>
      <c r="C1" s="2"/>
      <c r="D1" s="2"/>
      <c r="E1" s="2"/>
    </row>
    <row r="2" spans="1:9" ht="18.75" x14ac:dyDescent="0.3">
      <c r="A2" s="2"/>
      <c r="B2" s="2"/>
      <c r="C2" s="2"/>
      <c r="D2" s="2"/>
      <c r="E2" s="2"/>
    </row>
    <row r="3" spans="1:9" ht="12.75" customHeight="1" x14ac:dyDescent="0.2">
      <c r="A3" s="173" t="s">
        <v>193</v>
      </c>
      <c r="B3" s="173"/>
      <c r="C3" s="173"/>
      <c r="D3" s="173"/>
      <c r="E3" s="173"/>
      <c r="F3" s="173"/>
    </row>
    <row r="4" spans="1:9" ht="15.95" customHeight="1" x14ac:dyDescent="0.2">
      <c r="A4" s="173" t="s">
        <v>194</v>
      </c>
      <c r="B4" s="173"/>
      <c r="C4" s="173"/>
      <c r="D4" s="173"/>
      <c r="E4" s="173"/>
      <c r="F4" s="173"/>
    </row>
    <row r="5" spans="1:9" x14ac:dyDescent="0.2">
      <c r="A5" s="173" t="s">
        <v>195</v>
      </c>
      <c r="B5" s="173"/>
      <c r="C5" s="173"/>
      <c r="D5" s="173"/>
      <c r="E5" s="173"/>
      <c r="F5" s="173"/>
    </row>
    <row r="6" spans="1:9" ht="20.100000000000001" customHeight="1" x14ac:dyDescent="0.2">
      <c r="A6" s="178"/>
      <c r="B6" s="178"/>
      <c r="C6" s="178"/>
      <c r="D6" s="178"/>
      <c r="E6" s="178"/>
      <c r="F6" s="178"/>
    </row>
    <row r="7" spans="1:9" ht="20.100000000000001" customHeight="1" x14ac:dyDescent="0.2">
      <c r="A7" s="179" t="s">
        <v>223</v>
      </c>
      <c r="B7" s="179"/>
      <c r="C7" s="179"/>
      <c r="D7" s="179"/>
      <c r="E7" s="179"/>
      <c r="F7" s="179"/>
    </row>
    <row r="8" spans="1:9" ht="20.100000000000001" customHeight="1" x14ac:dyDescent="0.2">
      <c r="A8" s="180" t="s">
        <v>196</v>
      </c>
      <c r="B8" s="180"/>
      <c r="C8" s="180"/>
      <c r="D8" s="180"/>
      <c r="E8" s="180"/>
      <c r="F8" s="180"/>
    </row>
    <row r="9" spans="1:9" ht="20.100000000000001" customHeight="1" x14ac:dyDescent="0.2">
      <c r="A9" s="4"/>
      <c r="B9" s="4"/>
      <c r="C9" s="4"/>
      <c r="D9" s="4"/>
      <c r="E9" s="4"/>
      <c r="F9" s="4"/>
    </row>
    <row r="10" spans="1:9" ht="32.25" customHeight="1" x14ac:dyDescent="0.2">
      <c r="A10" s="181" t="s">
        <v>179</v>
      </c>
      <c r="B10" s="181"/>
      <c r="C10" s="181"/>
      <c r="D10" s="181"/>
      <c r="E10" s="181"/>
      <c r="F10" s="181"/>
    </row>
    <row r="11" spans="1:9" x14ac:dyDescent="0.2">
      <c r="A11" s="5" t="s">
        <v>159</v>
      </c>
      <c r="B11" s="5" t="s">
        <v>180</v>
      </c>
      <c r="C11" s="5" t="s">
        <v>181</v>
      </c>
      <c r="D11" s="5" t="s">
        <v>182</v>
      </c>
      <c r="E11" s="5" t="s">
        <v>183</v>
      </c>
      <c r="F11" s="6" t="s">
        <v>27</v>
      </c>
    </row>
    <row r="12" spans="1:9" ht="12.75" customHeight="1" x14ac:dyDescent="0.2">
      <c r="A12" s="7">
        <v>1</v>
      </c>
      <c r="B12" s="175" t="s">
        <v>184</v>
      </c>
      <c r="C12" s="175"/>
      <c r="D12" s="175"/>
      <c r="E12" s="175"/>
      <c r="F12" s="175"/>
    </row>
    <row r="13" spans="1:9" x14ac:dyDescent="0.2">
      <c r="A13" s="7" t="s">
        <v>185</v>
      </c>
      <c r="B13" s="8" t="s">
        <v>186</v>
      </c>
      <c r="C13" s="7" t="s">
        <v>187</v>
      </c>
      <c r="D13" s="9">
        <f>'Cálculo das Áreas'!C16</f>
        <v>2404.3000000000002</v>
      </c>
      <c r="E13" s="10">
        <f>'Complemento Serviço Limpeza'!B43</f>
        <v>2.65</v>
      </c>
      <c r="F13" s="11">
        <f>'Quadro Resumo'!G12+'Quadro Resumo'!G15</f>
        <v>6371.39</v>
      </c>
      <c r="H13" s="12"/>
      <c r="I13" s="12"/>
    </row>
    <row r="14" spans="1:9" x14ac:dyDescent="0.2">
      <c r="A14" s="7" t="s">
        <v>188</v>
      </c>
      <c r="B14" s="8" t="s">
        <v>189</v>
      </c>
      <c r="C14" s="7" t="s">
        <v>187</v>
      </c>
      <c r="D14" s="9">
        <f>'Cálculo das Áreas'!D16</f>
        <v>217761.15</v>
      </c>
      <c r="E14" s="10">
        <f>'Complemento Serviço Limpeza'!B44</f>
        <v>0.12</v>
      </c>
      <c r="F14" s="11">
        <f>'Quadro Resumo'!G13+'Quadro Resumo'!G16</f>
        <v>25478.06</v>
      </c>
      <c r="H14" s="12"/>
      <c r="I14" s="12"/>
    </row>
    <row r="15" spans="1:9" x14ac:dyDescent="0.2">
      <c r="A15" s="13" t="s">
        <v>190</v>
      </c>
      <c r="B15" s="8" t="s">
        <v>191</v>
      </c>
      <c r="C15" s="7" t="s">
        <v>187</v>
      </c>
      <c r="D15" s="9">
        <f>'Cálculo das Áreas'!E16</f>
        <v>50.33</v>
      </c>
      <c r="E15" s="10">
        <f>'Complemento Serviço Limpeza'!B45</f>
        <v>0.86</v>
      </c>
      <c r="F15" s="11">
        <f>'Quadro Resumo'!G17+'Quadro Resumo'!G14</f>
        <v>43.28</v>
      </c>
      <c r="H15" s="12"/>
      <c r="I15" s="12"/>
    </row>
    <row r="16" spans="1:9" ht="12.75" customHeight="1" x14ac:dyDescent="0.2">
      <c r="A16" s="176" t="s">
        <v>192</v>
      </c>
      <c r="B16" s="176"/>
      <c r="C16" s="176"/>
      <c r="D16" s="177"/>
      <c r="E16" s="14"/>
      <c r="F16" s="15">
        <f>SUM(F13:F15)</f>
        <v>31892.73</v>
      </c>
      <c r="H16" s="12"/>
      <c r="I16" s="12"/>
    </row>
    <row r="17" spans="1:9" ht="15.75" x14ac:dyDescent="0.2">
      <c r="A17" s="174" t="s">
        <v>218</v>
      </c>
      <c r="B17" s="174"/>
      <c r="C17" s="174"/>
      <c r="D17" s="174"/>
      <c r="E17" s="174"/>
      <c r="F17" s="16">
        <f>F16*12</f>
        <v>382712.76</v>
      </c>
      <c r="H17" s="12"/>
      <c r="I17" s="12"/>
    </row>
    <row r="20" spans="1:9" x14ac:dyDescent="0.2">
      <c r="E20" s="17"/>
      <c r="F20" s="17"/>
    </row>
    <row r="21" spans="1:9" x14ac:dyDescent="0.2">
      <c r="E21" s="17"/>
      <c r="F21" s="17"/>
    </row>
    <row r="22" spans="1:9" x14ac:dyDescent="0.2">
      <c r="E22" s="17"/>
      <c r="F22" s="17"/>
    </row>
  </sheetData>
  <mergeCells count="10">
    <mergeCell ref="A3:F3"/>
    <mergeCell ref="A5:F5"/>
    <mergeCell ref="A17:E17"/>
    <mergeCell ref="B12:F12"/>
    <mergeCell ref="A16:D16"/>
    <mergeCell ref="A4:F4"/>
    <mergeCell ref="A6:F6"/>
    <mergeCell ref="A7:F7"/>
    <mergeCell ref="A8:F8"/>
    <mergeCell ref="A10:F10"/>
  </mergeCells>
  <printOptions horizontalCentered="1"/>
  <pageMargins left="0.78740157480314965" right="0.78740157480314965" top="0.78740157480314965" bottom="0.78740157480314965" header="0.51181102362204722" footer="0.59055118110236227"/>
  <pageSetup paperSize="9" scale="90" firstPageNumber="0" orientation="portrait" verticalDpi="597" r:id="rId1"/>
  <headerFooter>
    <oddHeader>&amp;Rfls._____________________
Proc.59530.001669/2017-20
_______________________
3ªGRD/UEP</oddHeader>
    <oddFooter>&amp;LParecer de Custos nº15/2018
Proc.59530.001669/2017-20&amp;C3ªGRD/UEP
CODEVASF&amp;R&amp;P de &amp;N</oddFooter>
  </headerFooter>
  <drawing r:id="rId2"/>
  <legacyDrawing r:id="rId3"/>
  <oleObjects>
    <mc:AlternateContent xmlns:mc="http://schemas.openxmlformats.org/markup-compatibility/2006">
      <mc:Choice Requires="x14">
        <oleObject shapeId="9217" r:id="rId4">
          <objectPr defaultSize="0" autoPict="0" r:id="rId5">
            <anchor moveWithCells="1" sizeWithCells="1">
              <from>
                <xdr:col>0</xdr:col>
                <xdr:colOff>38100</xdr:colOff>
                <xdr:row>0</xdr:row>
                <xdr:rowOff>38100</xdr:rowOff>
              </from>
              <to>
                <xdr:col>1</xdr:col>
                <xdr:colOff>1447800</xdr:colOff>
                <xdr:row>2</xdr:row>
                <xdr:rowOff>28575</xdr:rowOff>
              </to>
            </anchor>
          </objectPr>
        </oleObject>
      </mc:Choice>
      <mc:Fallback>
        <oleObject shapeId="92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8"/>
  <sheetViews>
    <sheetView zoomScale="115" zoomScaleNormal="115" workbookViewId="0">
      <selection activeCell="G18" sqref="A1:G18"/>
    </sheetView>
  </sheetViews>
  <sheetFormatPr defaultRowHeight="12.75" x14ac:dyDescent="0.2"/>
  <cols>
    <col min="1" max="1" width="5.42578125" style="3"/>
    <col min="2" max="2" width="58" style="3"/>
    <col min="3" max="3" width="13" style="3"/>
    <col min="4" max="4" width="8.5703125" style="3"/>
    <col min="5" max="5" width="11.7109375" style="3"/>
    <col min="6" max="6" width="12.28515625" style="3"/>
    <col min="7" max="7" width="15.7109375" style="3"/>
    <col min="8" max="8" width="13.28515625" style="3"/>
    <col min="9" max="1025" width="8.7109375" style="3"/>
    <col min="1026" max="16384" width="9.140625" style="3"/>
  </cols>
  <sheetData>
    <row r="1" spans="1:8" ht="18.75" x14ac:dyDescent="0.3">
      <c r="A1" s="2"/>
      <c r="B1" s="2"/>
      <c r="C1" s="2"/>
      <c r="D1" s="2"/>
      <c r="E1" s="2"/>
    </row>
    <row r="2" spans="1:8" ht="18.75" x14ac:dyDescent="0.3">
      <c r="A2" s="2"/>
      <c r="B2" s="2"/>
      <c r="C2" s="2"/>
      <c r="D2" s="2"/>
      <c r="E2" s="2"/>
    </row>
    <row r="3" spans="1:8" ht="15" customHeight="1" x14ac:dyDescent="0.2">
      <c r="A3" s="173" t="s">
        <v>193</v>
      </c>
      <c r="B3" s="173"/>
      <c r="C3" s="173"/>
      <c r="D3" s="173"/>
      <c r="E3" s="173"/>
      <c r="F3" s="173"/>
      <c r="G3" s="173"/>
    </row>
    <row r="4" spans="1:8" ht="15" customHeight="1" x14ac:dyDescent="0.2">
      <c r="A4" s="173" t="s">
        <v>194</v>
      </c>
      <c r="B4" s="173"/>
      <c r="C4" s="173"/>
      <c r="D4" s="173"/>
      <c r="E4" s="173"/>
      <c r="F4" s="173"/>
      <c r="G4" s="173"/>
    </row>
    <row r="5" spans="1:8" ht="12.75" customHeight="1" x14ac:dyDescent="0.2">
      <c r="A5" s="173" t="s">
        <v>195</v>
      </c>
      <c r="B5" s="173"/>
      <c r="C5" s="173"/>
      <c r="D5" s="173"/>
      <c r="E5" s="173"/>
      <c r="F5" s="173"/>
      <c r="G5" s="173"/>
    </row>
    <row r="6" spans="1:8" ht="15" customHeight="1" x14ac:dyDescent="0.2">
      <c r="A6" s="178"/>
      <c r="B6" s="178"/>
      <c r="C6" s="178"/>
      <c r="D6" s="178"/>
      <c r="E6" s="178"/>
      <c r="F6" s="178"/>
      <c r="G6" s="178"/>
    </row>
    <row r="7" spans="1:8" ht="15" customHeight="1" x14ac:dyDescent="0.2">
      <c r="A7" s="184" t="s">
        <v>197</v>
      </c>
      <c r="B7" s="184"/>
      <c r="C7" s="184"/>
      <c r="D7" s="184"/>
      <c r="E7" s="184"/>
      <c r="F7" s="184"/>
      <c r="G7" s="184"/>
    </row>
    <row r="8" spans="1:8" ht="15" customHeight="1" x14ac:dyDescent="0.2">
      <c r="A8" s="178" t="s">
        <v>158</v>
      </c>
      <c r="B8" s="178"/>
      <c r="C8" s="178"/>
      <c r="D8" s="178"/>
      <c r="E8" s="178"/>
      <c r="F8" s="178"/>
      <c r="G8" s="178"/>
    </row>
    <row r="9" spans="1:8" ht="15" customHeight="1" x14ac:dyDescent="0.2">
      <c r="A9" s="185"/>
      <c r="B9" s="185"/>
      <c r="C9" s="185"/>
      <c r="D9" s="185"/>
      <c r="E9" s="18"/>
      <c r="F9" s="19"/>
      <c r="G9" s="19"/>
    </row>
    <row r="10" spans="1:8" ht="56.25" customHeight="1" x14ac:dyDescent="0.2">
      <c r="A10" s="182" t="s">
        <v>159</v>
      </c>
      <c r="B10" s="20" t="s">
        <v>160</v>
      </c>
      <c r="C10" s="21" t="s">
        <v>161</v>
      </c>
      <c r="D10" s="21" t="s">
        <v>162</v>
      </c>
      <c r="E10" s="21" t="s">
        <v>163</v>
      </c>
      <c r="F10" s="21" t="s">
        <v>164</v>
      </c>
      <c r="G10" s="21" t="s">
        <v>165</v>
      </c>
    </row>
    <row r="11" spans="1:8" ht="28.5" customHeight="1" x14ac:dyDescent="0.2">
      <c r="A11" s="182"/>
      <c r="B11" s="22" t="s">
        <v>166</v>
      </c>
      <c r="C11" s="23" t="s">
        <v>167</v>
      </c>
      <c r="D11" s="23" t="s">
        <v>168</v>
      </c>
      <c r="E11" s="23" t="s">
        <v>169</v>
      </c>
      <c r="F11" s="23" t="s">
        <v>170</v>
      </c>
      <c r="G11" s="24" t="s">
        <v>171</v>
      </c>
    </row>
    <row r="12" spans="1:8" x14ac:dyDescent="0.2">
      <c r="A12" s="25">
        <v>1</v>
      </c>
      <c r="B12" s="8" t="s">
        <v>172</v>
      </c>
      <c r="C12" s="26">
        <f>Encarregado!E131</f>
        <v>3408.24</v>
      </c>
      <c r="D12" s="27"/>
      <c r="E12" s="28">
        <f>'Complemento Serviço Limpeza'!F16</f>
        <v>0.28000000000000003</v>
      </c>
      <c r="F12" s="29">
        <f>Servente!D16</f>
        <v>2404.3000000000002</v>
      </c>
      <c r="G12" s="30">
        <f t="shared" ref="G12:G17" si="0">E12*F12</f>
        <v>673.2</v>
      </c>
      <c r="H12" s="31"/>
    </row>
    <row r="13" spans="1:8" x14ac:dyDescent="0.2">
      <c r="A13" s="25">
        <v>3</v>
      </c>
      <c r="B13" s="8" t="s">
        <v>173</v>
      </c>
      <c r="C13" s="26">
        <f>Encarregado!E131</f>
        <v>3408.24</v>
      </c>
      <c r="D13" s="27"/>
      <c r="E13" s="28">
        <f>'Complemento Serviço Limpeza'!F24</f>
        <v>1.6E-2</v>
      </c>
      <c r="F13" s="29">
        <f>Servente!D17</f>
        <v>217761.15</v>
      </c>
      <c r="G13" s="30">
        <f t="shared" si="0"/>
        <v>3484.18</v>
      </c>
      <c r="H13" s="31"/>
    </row>
    <row r="14" spans="1:8" ht="25.5" x14ac:dyDescent="0.2">
      <c r="A14" s="25">
        <v>4</v>
      </c>
      <c r="B14" s="8" t="s">
        <v>174</v>
      </c>
      <c r="C14" s="26">
        <f>Encarregado!E131</f>
        <v>3408.24</v>
      </c>
      <c r="D14" s="27"/>
      <c r="E14" s="28">
        <f>'Complemento Serviço Limpeza'!G33</f>
        <v>0.307</v>
      </c>
      <c r="F14" s="29">
        <f>Servente!D18</f>
        <v>50.33</v>
      </c>
      <c r="G14" s="30">
        <f t="shared" si="0"/>
        <v>15.45</v>
      </c>
      <c r="H14" s="31"/>
    </row>
    <row r="15" spans="1:8" x14ac:dyDescent="0.2">
      <c r="A15" s="13">
        <v>5</v>
      </c>
      <c r="B15" s="8" t="s">
        <v>175</v>
      </c>
      <c r="C15" s="32">
        <f>Servente!E134</f>
        <v>2848.44</v>
      </c>
      <c r="D15" s="33"/>
      <c r="E15" s="34">
        <f>'Complemento Serviço Limpeza'!F17</f>
        <v>2.37</v>
      </c>
      <c r="F15" s="29">
        <f>Servente!D16</f>
        <v>2404.3000000000002</v>
      </c>
      <c r="G15" s="30">
        <f t="shared" si="0"/>
        <v>5698.19</v>
      </c>
      <c r="H15" s="31"/>
    </row>
    <row r="16" spans="1:8" x14ac:dyDescent="0.2">
      <c r="A16" s="13">
        <v>7</v>
      </c>
      <c r="B16" s="8" t="s">
        <v>176</v>
      </c>
      <c r="C16" s="32">
        <f>Servente!E134</f>
        <v>2848.44</v>
      </c>
      <c r="D16" s="33"/>
      <c r="E16" s="34">
        <f>'Complemento Serviço Limpeza'!F25</f>
        <v>0.10100000000000001</v>
      </c>
      <c r="F16" s="29">
        <f>Servente!D17</f>
        <v>217761.15</v>
      </c>
      <c r="G16" s="30">
        <f t="shared" si="0"/>
        <v>21993.88</v>
      </c>
      <c r="H16" s="31"/>
    </row>
    <row r="17" spans="1:8" ht="25.5" x14ac:dyDescent="0.2">
      <c r="A17" s="13">
        <v>8</v>
      </c>
      <c r="B17" s="8" t="s">
        <v>177</v>
      </c>
      <c r="C17" s="32">
        <f>Servente!E134</f>
        <v>2848.44</v>
      </c>
      <c r="D17" s="33"/>
      <c r="E17" s="34">
        <f>'Complemento Serviço Limpeza'!G35</f>
        <v>0.55300000000000005</v>
      </c>
      <c r="F17" s="29">
        <f>Servente!D18</f>
        <v>50.33</v>
      </c>
      <c r="G17" s="30">
        <f t="shared" si="0"/>
        <v>27.83</v>
      </c>
    </row>
    <row r="18" spans="1:8" ht="30" customHeight="1" x14ac:dyDescent="0.2">
      <c r="A18" s="183" t="s">
        <v>178</v>
      </c>
      <c r="B18" s="183"/>
      <c r="C18" s="183"/>
      <c r="D18" s="183"/>
      <c r="E18" s="183"/>
      <c r="F18" s="183"/>
      <c r="G18" s="35">
        <f>SUM(G12:G17)</f>
        <v>31892.73</v>
      </c>
      <c r="H18" s="31"/>
    </row>
  </sheetData>
  <mergeCells count="9">
    <mergeCell ref="A10:A11"/>
    <mergeCell ref="A18:F18"/>
    <mergeCell ref="A3:G3"/>
    <mergeCell ref="A6:G6"/>
    <mergeCell ref="A7:G7"/>
    <mergeCell ref="A8:G8"/>
    <mergeCell ref="A9:D9"/>
    <mergeCell ref="A4:G4"/>
    <mergeCell ref="A5:G5"/>
  </mergeCells>
  <printOptions horizontalCentered="1"/>
  <pageMargins left="0.78740157480314965" right="0.78740157480314965" top="0.78740157480314965" bottom="0.78740157480314965" header="0.51181102362204722" footer="0.59055118110236227"/>
  <pageSetup paperSize="9" scale="90" firstPageNumber="0" orientation="landscape" verticalDpi="597" r:id="rId1"/>
  <headerFooter>
    <oddFooter>&amp;LParecer de Custos nº15/2018
Proc.59530.001669/2017-20&amp;C3ªGRD/UEP
CODEVASF&amp;Rfls._____________________
Proc.59530.001669/2017-20
_______________________
3ªGRD/UEP
&amp;P de &amp;N</oddFooter>
  </headerFooter>
  <drawing r:id="rId2"/>
  <legacyDrawing r:id="rId3"/>
  <oleObjects>
    <mc:AlternateContent xmlns:mc="http://schemas.openxmlformats.org/markup-compatibility/2006">
      <mc:Choice Requires="x14">
        <oleObject shapeId="8193" r:id="rId4">
          <objectPr defaultSize="0" autoPict="0" r:id="rId5">
            <anchor moveWithCells="1" sizeWithCells="1">
              <from>
                <xdr:col>0</xdr:col>
                <xdr:colOff>38100</xdr:colOff>
                <xdr:row>0</xdr:row>
                <xdr:rowOff>38100</xdr:rowOff>
              </from>
              <to>
                <xdr:col>1</xdr:col>
                <xdr:colOff>1514475</xdr:colOff>
                <xdr:row>2</xdr:row>
                <xdr:rowOff>38100</xdr:rowOff>
              </to>
            </anchor>
          </objectPr>
        </oleObject>
      </mc:Choice>
      <mc:Fallback>
        <oleObject shapeId="819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6"/>
  <sheetViews>
    <sheetView topLeftCell="A31" zoomScale="115" zoomScaleNormal="115" workbookViewId="0">
      <selection activeCell="A57" sqref="A57"/>
    </sheetView>
  </sheetViews>
  <sheetFormatPr defaultRowHeight="12.75" x14ac:dyDescent="0.2"/>
  <cols>
    <col min="1" max="1" width="17.42578125" style="3" customWidth="1"/>
    <col min="2" max="2" width="15" style="3" customWidth="1"/>
    <col min="3" max="3" width="13.5703125" style="3" customWidth="1"/>
    <col min="4" max="4" width="13.42578125" style="3"/>
    <col min="5" max="5" width="10.140625" style="3" customWidth="1"/>
    <col min="6" max="6" width="12.7109375" style="3" customWidth="1"/>
    <col min="7" max="7" width="11.85546875" style="3"/>
    <col min="8" max="8" width="13.42578125" style="3" customWidth="1"/>
    <col min="9" max="9" width="13.7109375" style="3"/>
    <col min="10" max="10" width="10.140625" style="3" bestFit="1" customWidth="1"/>
    <col min="11" max="11" width="9.140625" style="3"/>
    <col min="12" max="12" width="20.140625" style="3"/>
    <col min="13" max="16384" width="9.140625" style="3"/>
  </cols>
  <sheetData>
    <row r="1" spans="1:12" ht="18.75" x14ac:dyDescent="0.3">
      <c r="A1" s="2"/>
      <c r="B1" s="2"/>
      <c r="C1" s="2"/>
      <c r="D1" s="2"/>
      <c r="E1" s="2"/>
      <c r="F1" s="36"/>
      <c r="G1" s="36"/>
    </row>
    <row r="2" spans="1:12" ht="18.75" x14ac:dyDescent="0.3">
      <c r="A2" s="2"/>
      <c r="B2" s="2"/>
      <c r="C2" s="2"/>
      <c r="D2" s="2"/>
      <c r="E2" s="2"/>
      <c r="F2" s="36"/>
      <c r="G2" s="36"/>
    </row>
    <row r="3" spans="1:12" ht="12.75" customHeight="1" x14ac:dyDescent="0.2">
      <c r="A3" s="173" t="s">
        <v>193</v>
      </c>
      <c r="B3" s="173"/>
      <c r="C3" s="173"/>
      <c r="D3" s="173"/>
      <c r="E3" s="173"/>
      <c r="F3" s="173"/>
      <c r="G3" s="173"/>
    </row>
    <row r="4" spans="1:12" ht="12.75" customHeight="1" x14ac:dyDescent="0.2">
      <c r="A4" s="173" t="s">
        <v>194</v>
      </c>
      <c r="B4" s="173"/>
      <c r="C4" s="173"/>
      <c r="D4" s="173"/>
      <c r="E4" s="173"/>
      <c r="F4" s="173"/>
      <c r="G4" s="173"/>
    </row>
    <row r="5" spans="1:12" x14ac:dyDescent="0.2">
      <c r="A5" s="173" t="s">
        <v>195</v>
      </c>
      <c r="B5" s="173"/>
      <c r="C5" s="173"/>
      <c r="D5" s="173"/>
      <c r="E5" s="173"/>
      <c r="F5" s="173"/>
      <c r="G5" s="173"/>
    </row>
    <row r="7" spans="1:12" ht="14.1" customHeight="1" x14ac:dyDescent="0.2">
      <c r="A7" s="184" t="s">
        <v>197</v>
      </c>
      <c r="B7" s="184"/>
      <c r="C7" s="184"/>
      <c r="D7" s="184"/>
      <c r="E7" s="184"/>
      <c r="F7" s="184"/>
      <c r="G7" s="184"/>
      <c r="H7" s="19"/>
      <c r="I7" s="19"/>
      <c r="J7" s="19"/>
    </row>
    <row r="8" spans="1:12" ht="20.100000000000001" customHeight="1" x14ac:dyDescent="0.2">
      <c r="A8" s="178" t="s">
        <v>127</v>
      </c>
      <c r="B8" s="178"/>
      <c r="C8" s="178"/>
      <c r="D8" s="178"/>
      <c r="E8" s="178"/>
      <c r="F8" s="178"/>
      <c r="G8" s="178"/>
      <c r="H8" s="19"/>
      <c r="I8" s="19" t="s">
        <v>220</v>
      </c>
      <c r="J8" s="37">
        <f>2454.63-50.33</f>
        <v>2404.3000000000002</v>
      </c>
      <c r="K8" s="3">
        <f>J8/3</f>
        <v>801.43333333333305</v>
      </c>
      <c r="L8" s="3">
        <f>J8/2</f>
        <v>1202.1500000000001</v>
      </c>
    </row>
    <row r="9" spans="1:12" ht="8.25" customHeight="1" x14ac:dyDescent="0.2">
      <c r="A9" s="38"/>
      <c r="B9" s="38"/>
      <c r="C9" s="38"/>
      <c r="D9" s="38"/>
      <c r="E9" s="38"/>
      <c r="F9" s="38"/>
      <c r="G9" s="38"/>
      <c r="H9" s="39"/>
      <c r="I9" s="39"/>
      <c r="J9" s="40"/>
    </row>
    <row r="10" spans="1:12" ht="18" customHeight="1" x14ac:dyDescent="0.2">
      <c r="A10" s="184" t="s">
        <v>198</v>
      </c>
      <c r="B10" s="184"/>
      <c r="C10" s="184"/>
      <c r="D10" s="184"/>
      <c r="E10" s="184"/>
      <c r="F10" s="184"/>
      <c r="G10" s="184"/>
      <c r="H10" s="19"/>
      <c r="I10" s="19" t="s">
        <v>221</v>
      </c>
      <c r="J10" s="37">
        <v>217761.15</v>
      </c>
      <c r="K10" s="3">
        <f>J10/8</f>
        <v>27220.143749999999</v>
      </c>
    </row>
    <row r="11" spans="1:12" ht="7.5" customHeight="1" x14ac:dyDescent="0.2">
      <c r="A11" s="19"/>
      <c r="B11" s="19"/>
      <c r="C11" s="19"/>
      <c r="D11" s="19"/>
      <c r="E11" s="19"/>
      <c r="F11" s="19"/>
      <c r="G11" s="19"/>
      <c r="H11" s="41"/>
      <c r="I11" s="41"/>
      <c r="J11" s="41"/>
    </row>
    <row r="12" spans="1:12" ht="18" customHeight="1" x14ac:dyDescent="0.2">
      <c r="A12" s="202" t="s">
        <v>209</v>
      </c>
      <c r="B12" s="202"/>
      <c r="C12" s="202"/>
      <c r="D12" s="202"/>
      <c r="E12" s="202"/>
      <c r="F12" s="202"/>
      <c r="G12" s="202"/>
      <c r="H12" s="19"/>
      <c r="I12" s="19" t="s">
        <v>222</v>
      </c>
      <c r="J12" s="19">
        <v>50.33</v>
      </c>
    </row>
    <row r="13" spans="1:12" ht="15.95" customHeight="1" x14ac:dyDescent="0.2">
      <c r="A13" s="203" t="s">
        <v>128</v>
      </c>
      <c r="B13" s="206" t="s">
        <v>129</v>
      </c>
      <c r="C13" s="206"/>
      <c r="D13" s="206" t="s">
        <v>130</v>
      </c>
      <c r="E13" s="206"/>
      <c r="F13" s="206" t="s">
        <v>131</v>
      </c>
      <c r="G13" s="206"/>
      <c r="H13" s="19"/>
      <c r="I13" s="19" t="s">
        <v>214</v>
      </c>
      <c r="J13" s="19"/>
    </row>
    <row r="14" spans="1:12" ht="15.95" customHeight="1" x14ac:dyDescent="0.2">
      <c r="A14" s="203"/>
      <c r="B14" s="210" t="s">
        <v>132</v>
      </c>
      <c r="C14" s="210"/>
      <c r="D14" s="210" t="s">
        <v>133</v>
      </c>
      <c r="E14" s="210"/>
      <c r="F14" s="210" t="s">
        <v>134</v>
      </c>
      <c r="G14" s="210"/>
      <c r="H14" s="42" t="s">
        <v>212</v>
      </c>
      <c r="I14" s="19">
        <v>1</v>
      </c>
      <c r="J14" s="19"/>
    </row>
    <row r="15" spans="1:12" ht="15.95" customHeight="1" x14ac:dyDescent="0.2">
      <c r="A15" s="203"/>
      <c r="B15" s="211" t="s">
        <v>135</v>
      </c>
      <c r="C15" s="211"/>
      <c r="D15" s="211" t="s">
        <v>136</v>
      </c>
      <c r="E15" s="211"/>
      <c r="F15" s="211" t="s">
        <v>137</v>
      </c>
      <c r="G15" s="211"/>
      <c r="H15" s="42" t="s">
        <v>211</v>
      </c>
      <c r="I15" s="19"/>
      <c r="J15" s="19"/>
      <c r="L15" s="161">
        <v>1200</v>
      </c>
    </row>
    <row r="16" spans="1:12" ht="18" customHeight="1" x14ac:dyDescent="0.2">
      <c r="A16" s="43" t="s">
        <v>115</v>
      </c>
      <c r="B16" s="207" t="s">
        <v>226</v>
      </c>
      <c r="C16" s="207"/>
      <c r="D16" s="186">
        <f>Encarregado!E131</f>
        <v>3408.24</v>
      </c>
      <c r="E16" s="186"/>
      <c r="F16" s="44">
        <f>D16*(1/(L16))</f>
        <v>0.28000000000000003</v>
      </c>
      <c r="G16" s="45"/>
      <c r="H16" s="19"/>
      <c r="I16" s="19"/>
      <c r="J16" s="19"/>
      <c r="L16" s="161">
        <f>2405*5</f>
        <v>12025</v>
      </c>
    </row>
    <row r="17" spans="1:13" ht="18" customHeight="1" x14ac:dyDescent="0.2">
      <c r="A17" s="8" t="s">
        <v>111</v>
      </c>
      <c r="B17" s="212" t="s">
        <v>229</v>
      </c>
      <c r="C17" s="212"/>
      <c r="D17" s="186">
        <f>Servente!E134</f>
        <v>2848.44</v>
      </c>
      <c r="E17" s="186"/>
      <c r="F17" s="44">
        <f>D17*(1/L15)</f>
        <v>2.37</v>
      </c>
      <c r="G17" s="45"/>
      <c r="H17" s="19"/>
      <c r="I17" s="46">
        <f>G56</f>
        <v>0</v>
      </c>
      <c r="J17" s="19"/>
      <c r="L17" s="161">
        <v>220</v>
      </c>
    </row>
    <row r="18" spans="1:13" ht="18" customHeight="1" x14ac:dyDescent="0.2">
      <c r="A18" s="209" t="s">
        <v>138</v>
      </c>
      <c r="B18" s="209"/>
      <c r="C18" s="209"/>
      <c r="D18" s="209"/>
      <c r="E18" s="209"/>
      <c r="F18" s="44">
        <f>F16+F17</f>
        <v>2.65</v>
      </c>
      <c r="G18" s="45"/>
      <c r="H18" s="19"/>
      <c r="I18" s="19"/>
      <c r="J18" s="19"/>
      <c r="L18" s="161"/>
    </row>
    <row r="19" spans="1:13" ht="15" customHeight="1" x14ac:dyDescent="0.2">
      <c r="A19" s="19"/>
      <c r="B19" s="19"/>
      <c r="C19" s="19"/>
      <c r="D19" s="19"/>
      <c r="E19" s="19"/>
      <c r="F19" s="19"/>
      <c r="G19" s="19"/>
      <c r="H19" s="19"/>
      <c r="I19" s="19"/>
      <c r="J19" s="19"/>
      <c r="L19" s="161"/>
    </row>
    <row r="20" spans="1:13" ht="18" customHeight="1" x14ac:dyDescent="0.2">
      <c r="A20" s="202" t="s">
        <v>210</v>
      </c>
      <c r="B20" s="202"/>
      <c r="C20" s="202"/>
      <c r="D20" s="202"/>
      <c r="E20" s="202"/>
      <c r="F20" s="202"/>
      <c r="G20" s="202"/>
      <c r="H20" s="19"/>
      <c r="I20" s="19"/>
      <c r="J20" s="19"/>
      <c r="L20" s="161"/>
    </row>
    <row r="21" spans="1:13" x14ac:dyDescent="0.2">
      <c r="A21" s="203" t="s">
        <v>128</v>
      </c>
      <c r="B21" s="206" t="s">
        <v>129</v>
      </c>
      <c r="C21" s="206"/>
      <c r="D21" s="206" t="s">
        <v>130</v>
      </c>
      <c r="E21" s="206"/>
      <c r="F21" s="206" t="s">
        <v>131</v>
      </c>
      <c r="G21" s="206"/>
      <c r="H21" s="19"/>
      <c r="I21" s="19"/>
      <c r="J21" s="19"/>
      <c r="L21" s="161"/>
      <c r="M21" s="3">
        <v>217760</v>
      </c>
    </row>
    <row r="22" spans="1:13" x14ac:dyDescent="0.2">
      <c r="A22" s="203"/>
      <c r="B22" s="210" t="s">
        <v>132</v>
      </c>
      <c r="C22" s="210"/>
      <c r="D22" s="210" t="s">
        <v>133</v>
      </c>
      <c r="E22" s="210"/>
      <c r="F22" s="210" t="s">
        <v>134</v>
      </c>
      <c r="G22" s="210"/>
      <c r="H22" s="19"/>
      <c r="I22" s="19"/>
      <c r="J22" s="19"/>
      <c r="L22" s="161">
        <v>217760</v>
      </c>
      <c r="M22" s="3">
        <f>M21/2</f>
        <v>108880</v>
      </c>
    </row>
    <row r="23" spans="1:13" x14ac:dyDescent="0.2">
      <c r="A23" s="203"/>
      <c r="B23" s="211" t="s">
        <v>135</v>
      </c>
      <c r="C23" s="211"/>
      <c r="D23" s="211" t="s">
        <v>136</v>
      </c>
      <c r="E23" s="211"/>
      <c r="F23" s="210" t="s">
        <v>137</v>
      </c>
      <c r="G23" s="210"/>
      <c r="H23" s="19"/>
      <c r="I23" s="19"/>
      <c r="J23" s="19"/>
      <c r="L23" s="161">
        <v>28250</v>
      </c>
    </row>
    <row r="24" spans="1:13" x14ac:dyDescent="0.2">
      <c r="A24" s="47" t="s">
        <v>115</v>
      </c>
      <c r="B24" s="207" t="s">
        <v>225</v>
      </c>
      <c r="C24" s="207"/>
      <c r="D24" s="208">
        <f>Encarregado!E131</f>
        <v>3408.24</v>
      </c>
      <c r="E24" s="208"/>
      <c r="F24" s="169">
        <f>ROUND((1/(L22))*D24,3)</f>
        <v>1.6E-2</v>
      </c>
      <c r="G24" s="48"/>
      <c r="H24" s="19"/>
      <c r="I24" s="19"/>
      <c r="J24" s="19"/>
      <c r="L24" s="161"/>
    </row>
    <row r="25" spans="1:13" x14ac:dyDescent="0.2">
      <c r="A25" s="49" t="s">
        <v>111</v>
      </c>
      <c r="B25" s="207" t="s">
        <v>228</v>
      </c>
      <c r="C25" s="207"/>
      <c r="D25" s="208">
        <f>Servente!E134</f>
        <v>2848.44</v>
      </c>
      <c r="E25" s="208"/>
      <c r="F25" s="169">
        <f>D25*(1/L23)</f>
        <v>0.10100000000000001</v>
      </c>
      <c r="G25" s="48"/>
      <c r="H25" s="19"/>
      <c r="I25" s="19"/>
      <c r="J25" s="19"/>
      <c r="L25" s="161"/>
    </row>
    <row r="26" spans="1:13" x14ac:dyDescent="0.2">
      <c r="A26" s="183" t="s">
        <v>139</v>
      </c>
      <c r="B26" s="183"/>
      <c r="C26" s="183"/>
      <c r="D26" s="183"/>
      <c r="E26" s="183"/>
      <c r="F26" s="169">
        <f>SUM(F24:F25)</f>
        <v>0.11700000000000001</v>
      </c>
      <c r="G26" s="48"/>
      <c r="H26" s="19"/>
      <c r="I26" s="19"/>
      <c r="J26" s="19"/>
      <c r="L26" s="161"/>
    </row>
    <row r="27" spans="1:13" x14ac:dyDescent="0.2">
      <c r="A27" s="19"/>
      <c r="B27" s="19"/>
      <c r="C27" s="19"/>
      <c r="D27" s="19"/>
      <c r="E27" s="19"/>
      <c r="F27" s="19"/>
      <c r="G27" s="19"/>
      <c r="H27" s="19"/>
      <c r="I27" s="19"/>
      <c r="J27" s="19"/>
      <c r="L27" s="161"/>
    </row>
    <row r="28" spans="1:13" x14ac:dyDescent="0.2">
      <c r="A28" s="202" t="s">
        <v>140</v>
      </c>
      <c r="B28" s="202"/>
      <c r="C28" s="202"/>
      <c r="D28" s="202"/>
      <c r="E28" s="202"/>
      <c r="F28" s="202"/>
      <c r="G28" s="202"/>
      <c r="H28" s="19"/>
      <c r="I28" s="19"/>
      <c r="J28" s="19"/>
      <c r="L28" s="161"/>
    </row>
    <row r="29" spans="1:13" ht="12.75" customHeight="1" x14ac:dyDescent="0.2">
      <c r="A29" s="203" t="s">
        <v>128</v>
      </c>
      <c r="B29" s="204" t="s">
        <v>129</v>
      </c>
      <c r="C29" s="205" t="s">
        <v>141</v>
      </c>
      <c r="D29" s="205" t="s">
        <v>200</v>
      </c>
      <c r="E29" s="206" t="s">
        <v>142</v>
      </c>
      <c r="F29" s="205" t="s">
        <v>130</v>
      </c>
      <c r="G29" s="206" t="s">
        <v>131</v>
      </c>
      <c r="H29" s="19"/>
      <c r="I29" s="19"/>
      <c r="J29" s="19"/>
      <c r="L29" s="161"/>
    </row>
    <row r="30" spans="1:13" x14ac:dyDescent="0.2">
      <c r="A30" s="203"/>
      <c r="B30" s="204"/>
      <c r="C30" s="205"/>
      <c r="D30" s="205"/>
      <c r="E30" s="206"/>
      <c r="F30" s="205"/>
      <c r="G30" s="206"/>
      <c r="H30" s="19"/>
      <c r="I30" s="19"/>
      <c r="J30" s="19"/>
    </row>
    <row r="31" spans="1:13" ht="18.75" customHeight="1" x14ac:dyDescent="0.2">
      <c r="A31" s="203"/>
      <c r="B31" s="50" t="s">
        <v>132</v>
      </c>
      <c r="C31" s="205"/>
      <c r="D31" s="205"/>
      <c r="E31" s="206"/>
      <c r="F31" s="51" t="s">
        <v>133</v>
      </c>
      <c r="G31" s="51" t="s">
        <v>134</v>
      </c>
      <c r="H31" s="19"/>
      <c r="I31" s="19"/>
      <c r="J31" s="19"/>
    </row>
    <row r="32" spans="1:13" x14ac:dyDescent="0.2">
      <c r="A32" s="203"/>
      <c r="B32" s="52" t="s">
        <v>135</v>
      </c>
      <c r="C32" s="53" t="s">
        <v>136</v>
      </c>
      <c r="D32" s="54" t="s">
        <v>143</v>
      </c>
      <c r="E32" s="54" t="s">
        <v>144</v>
      </c>
      <c r="F32" s="54" t="s">
        <v>145</v>
      </c>
      <c r="G32" s="55" t="s">
        <v>146</v>
      </c>
      <c r="H32" s="19"/>
      <c r="I32" s="19"/>
      <c r="J32" s="19"/>
    </row>
    <row r="33" spans="1:12" x14ac:dyDescent="0.2">
      <c r="A33" s="200" t="s">
        <v>115</v>
      </c>
      <c r="B33" s="198" t="s">
        <v>227</v>
      </c>
      <c r="C33" s="189">
        <v>5.0999999999999996</v>
      </c>
      <c r="D33" s="199">
        <f>1/188.76</f>
        <v>5.2979999999999998E-3</v>
      </c>
      <c r="E33" s="201">
        <f>(1/I33)*C33*D33</f>
        <v>9.0099999999999995E-5</v>
      </c>
      <c r="F33" s="196">
        <f>Encarregado!E131</f>
        <v>3408.24</v>
      </c>
      <c r="G33" s="170">
        <f>E33*F33</f>
        <v>0.307</v>
      </c>
      <c r="H33" s="19"/>
      <c r="I33" s="19">
        <v>300</v>
      </c>
      <c r="J33" s="19"/>
    </row>
    <row r="34" spans="1:12" x14ac:dyDescent="0.2">
      <c r="A34" s="200"/>
      <c r="B34" s="198"/>
      <c r="C34" s="189"/>
      <c r="D34" s="199"/>
      <c r="E34" s="201"/>
      <c r="F34" s="196"/>
      <c r="G34" s="171"/>
      <c r="H34" s="19"/>
      <c r="I34" s="19">
        <v>300</v>
      </c>
      <c r="J34" s="19"/>
    </row>
    <row r="35" spans="1:12" ht="12.75" customHeight="1" x14ac:dyDescent="0.2">
      <c r="A35" s="197" t="s">
        <v>111</v>
      </c>
      <c r="B35" s="198" t="s">
        <v>227</v>
      </c>
      <c r="C35" s="189">
        <v>11</v>
      </c>
      <c r="D35" s="199">
        <f>1/188.76</f>
        <v>5.2979999999999998E-3</v>
      </c>
      <c r="E35" s="199">
        <f>(1/I34)*C35*D35</f>
        <v>1.94E-4</v>
      </c>
      <c r="F35" s="196">
        <f>Servente!E134</f>
        <v>2848.44</v>
      </c>
      <c r="G35" s="170">
        <f>E35*F35</f>
        <v>0.55300000000000005</v>
      </c>
      <c r="H35" s="19"/>
      <c r="I35" s="19"/>
      <c r="J35" s="19"/>
    </row>
    <row r="36" spans="1:12" x14ac:dyDescent="0.2">
      <c r="A36" s="197"/>
      <c r="B36" s="198"/>
      <c r="C36" s="189"/>
      <c r="D36" s="199"/>
      <c r="E36" s="199"/>
      <c r="F36" s="196"/>
      <c r="G36" s="171"/>
      <c r="H36" s="19"/>
      <c r="I36" s="19"/>
      <c r="J36" s="19"/>
    </row>
    <row r="37" spans="1:12" x14ac:dyDescent="0.2">
      <c r="A37" s="183" t="s">
        <v>147</v>
      </c>
      <c r="B37" s="183"/>
      <c r="C37" s="183"/>
      <c r="D37" s="183"/>
      <c r="E37" s="183"/>
      <c r="F37" s="183"/>
      <c r="G37" s="172">
        <f>SUM(G33:G35)</f>
        <v>0.86</v>
      </c>
      <c r="H37" s="19"/>
      <c r="I37" s="56"/>
      <c r="J37" s="19"/>
    </row>
    <row r="38" spans="1:12" x14ac:dyDescent="0.2">
      <c r="A38" s="19"/>
      <c r="B38" s="19"/>
      <c r="C38" s="19"/>
      <c r="D38" s="19"/>
      <c r="E38" s="19"/>
      <c r="F38" s="19"/>
      <c r="G38" s="19"/>
      <c r="H38" s="19"/>
      <c r="I38" s="19"/>
      <c r="J38" s="19"/>
    </row>
    <row r="39" spans="1:12" x14ac:dyDescent="0.2">
      <c r="A39" s="184" t="s">
        <v>148</v>
      </c>
      <c r="B39" s="184"/>
      <c r="C39" s="184"/>
      <c r="D39" s="184"/>
      <c r="E39" s="184"/>
      <c r="F39" s="184"/>
      <c r="G39" s="184"/>
      <c r="H39" s="19"/>
      <c r="I39" s="57"/>
      <c r="J39" s="19"/>
    </row>
    <row r="40" spans="1:12" ht="12.75" customHeight="1" x14ac:dyDescent="0.2">
      <c r="A40" s="182" t="s">
        <v>149</v>
      </c>
      <c r="B40" s="181" t="s">
        <v>150</v>
      </c>
      <c r="C40" s="181"/>
      <c r="D40" s="193" t="s">
        <v>151</v>
      </c>
      <c r="E40" s="193"/>
      <c r="F40" s="181" t="s">
        <v>131</v>
      </c>
      <c r="G40" s="181"/>
      <c r="H40" s="41"/>
      <c r="I40" s="41"/>
      <c r="J40" s="58"/>
    </row>
    <row r="41" spans="1:12" x14ac:dyDescent="0.2">
      <c r="A41" s="182"/>
      <c r="B41" s="181"/>
      <c r="C41" s="181"/>
      <c r="D41" s="193"/>
      <c r="E41" s="193"/>
      <c r="F41" s="181"/>
      <c r="G41" s="181"/>
      <c r="H41" s="19"/>
      <c r="I41" s="19"/>
      <c r="J41" s="19"/>
    </row>
    <row r="42" spans="1:12" ht="12.75" customHeight="1" x14ac:dyDescent="0.2">
      <c r="A42" s="182"/>
      <c r="B42" s="194" t="s">
        <v>152</v>
      </c>
      <c r="C42" s="194"/>
      <c r="D42" s="195" t="s">
        <v>153</v>
      </c>
      <c r="E42" s="195"/>
      <c r="F42" s="194" t="s">
        <v>154</v>
      </c>
      <c r="G42" s="194"/>
      <c r="H42" s="19"/>
      <c r="I42" s="19"/>
      <c r="J42" s="19"/>
    </row>
    <row r="43" spans="1:12" ht="25.5" x14ac:dyDescent="0.2">
      <c r="A43" s="59" t="s">
        <v>207</v>
      </c>
      <c r="B43" s="189">
        <f>F18</f>
        <v>2.65</v>
      </c>
      <c r="C43" s="189"/>
      <c r="D43" s="190">
        <f>'Cálculo das Áreas'!C16</f>
        <v>2404.3000000000002</v>
      </c>
      <c r="E43" s="190"/>
      <c r="F43" s="188">
        <f>B43*D43</f>
        <v>6371.4</v>
      </c>
      <c r="G43" s="188"/>
      <c r="H43" s="19"/>
      <c r="I43" s="60"/>
      <c r="J43" s="61"/>
    </row>
    <row r="44" spans="1:12" ht="25.5" x14ac:dyDescent="0.2">
      <c r="A44" s="59" t="s">
        <v>208</v>
      </c>
      <c r="B44" s="192">
        <f>F26</f>
        <v>0.11700000000000001</v>
      </c>
      <c r="C44" s="192"/>
      <c r="D44" s="190">
        <f>'Cálculo das Áreas'!D11</f>
        <v>217761.15</v>
      </c>
      <c r="E44" s="190"/>
      <c r="F44" s="188">
        <f>B44*D44</f>
        <v>25478.05</v>
      </c>
      <c r="G44" s="188"/>
      <c r="H44" s="19"/>
      <c r="I44" s="60"/>
      <c r="J44" s="61"/>
    </row>
    <row r="45" spans="1:12" ht="25.5" x14ac:dyDescent="0.2">
      <c r="A45" s="59" t="s">
        <v>155</v>
      </c>
      <c r="B45" s="189">
        <f>G37</f>
        <v>0.86</v>
      </c>
      <c r="C45" s="189"/>
      <c r="D45" s="190">
        <f>'Cálculo das Áreas'!E16</f>
        <v>50.33</v>
      </c>
      <c r="E45" s="190"/>
      <c r="F45" s="188">
        <f>B45*D45</f>
        <v>43.28</v>
      </c>
      <c r="G45" s="188"/>
      <c r="H45" s="19"/>
      <c r="I45" s="60"/>
      <c r="J45" s="61"/>
    </row>
    <row r="46" spans="1:12" x14ac:dyDescent="0.2">
      <c r="A46" s="47" t="s">
        <v>156</v>
      </c>
      <c r="B46" s="189">
        <v>0</v>
      </c>
      <c r="C46" s="189"/>
      <c r="D46" s="191">
        <v>0</v>
      </c>
      <c r="E46" s="191"/>
      <c r="F46" s="188">
        <f>B46*D46</f>
        <v>0</v>
      </c>
      <c r="G46" s="188"/>
      <c r="H46" s="19"/>
      <c r="I46" s="60"/>
      <c r="J46" s="62"/>
    </row>
    <row r="47" spans="1:12" x14ac:dyDescent="0.2">
      <c r="A47" s="187" t="s">
        <v>157</v>
      </c>
      <c r="B47" s="187"/>
      <c r="C47" s="187"/>
      <c r="D47" s="187"/>
      <c r="E47" s="187"/>
      <c r="F47" s="188">
        <f>F43+F44+F45</f>
        <v>31892.73</v>
      </c>
      <c r="G47" s="188"/>
      <c r="H47" s="19"/>
      <c r="I47" s="1">
        <v>31892.639999999999</v>
      </c>
      <c r="J47" s="62"/>
      <c r="K47" s="186"/>
      <c r="L47" s="186"/>
    </row>
    <row r="49" spans="7:12" x14ac:dyDescent="0.2">
      <c r="L49" s="63"/>
    </row>
    <row r="56" spans="7:12" x14ac:dyDescent="0.2">
      <c r="G56" s="63"/>
    </row>
  </sheetData>
  <mergeCells count="82">
    <mergeCell ref="A5:G5"/>
    <mergeCell ref="A7:G7"/>
    <mergeCell ref="A8:G8"/>
    <mergeCell ref="A10:G10"/>
    <mergeCell ref="A12:G12"/>
    <mergeCell ref="F13:G13"/>
    <mergeCell ref="B14:C14"/>
    <mergeCell ref="D14:E14"/>
    <mergeCell ref="F14:G14"/>
    <mergeCell ref="B15:C15"/>
    <mergeCell ref="D15:E15"/>
    <mergeCell ref="F15:G15"/>
    <mergeCell ref="B16:C16"/>
    <mergeCell ref="D16:E16"/>
    <mergeCell ref="B17:C17"/>
    <mergeCell ref="D17:E17"/>
    <mergeCell ref="A13:A15"/>
    <mergeCell ref="B13:C13"/>
    <mergeCell ref="D13:E13"/>
    <mergeCell ref="B24:C24"/>
    <mergeCell ref="D24:E24"/>
    <mergeCell ref="B25:C25"/>
    <mergeCell ref="D25:E25"/>
    <mergeCell ref="A18:E18"/>
    <mergeCell ref="A20:G20"/>
    <mergeCell ref="A21:A23"/>
    <mergeCell ref="B21:C21"/>
    <mergeCell ref="D21:E21"/>
    <mergeCell ref="F21:G21"/>
    <mergeCell ref="B22:C22"/>
    <mergeCell ref="D22:E22"/>
    <mergeCell ref="F22:G22"/>
    <mergeCell ref="B23:C23"/>
    <mergeCell ref="D23:E23"/>
    <mergeCell ref="F23:G23"/>
    <mergeCell ref="A26:E26"/>
    <mergeCell ref="A28:G28"/>
    <mergeCell ref="A29:A32"/>
    <mergeCell ref="B29:B30"/>
    <mergeCell ref="C29:C31"/>
    <mergeCell ref="D29:D31"/>
    <mergeCell ref="E29:E31"/>
    <mergeCell ref="F29:F30"/>
    <mergeCell ref="G29:G30"/>
    <mergeCell ref="F33:F34"/>
    <mergeCell ref="A35:A36"/>
    <mergeCell ref="B35:B36"/>
    <mergeCell ref="C35:C36"/>
    <mergeCell ref="D35:D36"/>
    <mergeCell ref="E35:E36"/>
    <mergeCell ref="F35:F36"/>
    <mergeCell ref="A33:A34"/>
    <mergeCell ref="B33:B34"/>
    <mergeCell ref="C33:C34"/>
    <mergeCell ref="D33:D34"/>
    <mergeCell ref="E33:E34"/>
    <mergeCell ref="F44:G44"/>
    <mergeCell ref="A37:F37"/>
    <mergeCell ref="A39:G39"/>
    <mergeCell ref="A40:A42"/>
    <mergeCell ref="B40:C41"/>
    <mergeCell ref="D40:E41"/>
    <mergeCell ref="F40:G41"/>
    <mergeCell ref="B42:C42"/>
    <mergeCell ref="D42:E42"/>
    <mergeCell ref="F42:G42"/>
    <mergeCell ref="K47:L47"/>
    <mergeCell ref="A3:G3"/>
    <mergeCell ref="A4:G4"/>
    <mergeCell ref="A47:E47"/>
    <mergeCell ref="F47:G47"/>
    <mergeCell ref="B45:C45"/>
    <mergeCell ref="D45:E45"/>
    <mergeCell ref="F45:G45"/>
    <mergeCell ref="B46:C46"/>
    <mergeCell ref="D46:E46"/>
    <mergeCell ref="F46:G46"/>
    <mergeCell ref="B43:C43"/>
    <mergeCell ref="D43:E43"/>
    <mergeCell ref="F43:G43"/>
    <mergeCell ref="B44:C44"/>
    <mergeCell ref="D44:E44"/>
  </mergeCells>
  <printOptions horizontalCentered="1"/>
  <pageMargins left="0.78740157480314965" right="0.78740157480314965" top="0.78740157480314965" bottom="0.78740157480314965" header="0.51181102362204722" footer="0.59055118110236227"/>
  <pageSetup paperSize="9" scale="90" firstPageNumber="0" orientation="portrait" horizontalDpi="1200" verticalDpi="1200" r:id="rId1"/>
  <headerFooter>
    <oddHeader>&amp;Rfls._____________________
Proc.59530.001669/2017-20
_______________________
3ªGRD/UEP</oddHeader>
    <oddFooter>&amp;LParecer de Custos nº15/2018
Proc.59530.001669/2017-20&amp;C3ªGRD/UEP
CODEVASF&amp;R&amp;P de &amp;N</oddFooter>
  </headerFooter>
  <ignoredErrors>
    <ignoredError sqref="D23 B23 B32:F32 B15:E15" numberStoredAsText="1"/>
  </ignoredErrors>
  <drawing r:id="rId2"/>
  <legacyDrawing r:id="rId3"/>
  <oleObjects>
    <mc:AlternateContent xmlns:mc="http://schemas.openxmlformats.org/markup-compatibility/2006">
      <mc:Choice Requires="x14">
        <oleObject shapeId="7169" r:id="rId4">
          <objectPr defaultSize="0" autoPict="0" r:id="rId5">
            <anchor moveWithCells="1" sizeWithCells="1">
              <from>
                <xdr:col>0</xdr:col>
                <xdr:colOff>38100</xdr:colOff>
                <xdr:row>0</xdr:row>
                <xdr:rowOff>38100</xdr:rowOff>
              </from>
              <to>
                <xdr:col>1</xdr:col>
                <xdr:colOff>666750</xdr:colOff>
                <xdr:row>2</xdr:row>
                <xdr:rowOff>9525</xdr:rowOff>
              </to>
            </anchor>
          </objectPr>
        </oleObject>
      </mc:Choice>
      <mc:Fallback>
        <oleObject shapeId="716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7"/>
  <sheetViews>
    <sheetView zoomScale="115" zoomScaleNormal="115" workbookViewId="0">
      <selection activeCell="K13" sqref="K13"/>
    </sheetView>
  </sheetViews>
  <sheetFormatPr defaultRowHeight="12.75" x14ac:dyDescent="0.2"/>
  <cols>
    <col min="1" max="1" width="6.42578125" style="3"/>
    <col min="2" max="2" width="20.42578125" style="3"/>
    <col min="3" max="4" width="10.7109375" style="3"/>
    <col min="5" max="5" width="13.7109375" style="3"/>
    <col min="6" max="6" width="10.7109375" style="3"/>
    <col min="7" max="10" width="15.7109375" style="3"/>
    <col min="11" max="1025" width="8.7109375" style="3"/>
    <col min="1026" max="16384" width="9.140625" style="3"/>
  </cols>
  <sheetData>
    <row r="1" spans="1:10" ht="18.75" x14ac:dyDescent="0.3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8.75" x14ac:dyDescent="0.3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2.75" customHeight="1" x14ac:dyDescent="0.2">
      <c r="A3" s="173" t="s">
        <v>193</v>
      </c>
      <c r="B3" s="173"/>
      <c r="C3" s="173"/>
      <c r="D3" s="173"/>
      <c r="E3" s="173"/>
      <c r="F3" s="173"/>
      <c r="G3" s="173"/>
      <c r="H3" s="173"/>
      <c r="I3" s="173"/>
      <c r="J3" s="173"/>
    </row>
    <row r="4" spans="1:10" ht="12.75" customHeight="1" x14ac:dyDescent="0.2">
      <c r="A4" s="173" t="s">
        <v>194</v>
      </c>
      <c r="B4" s="173"/>
      <c r="C4" s="173"/>
      <c r="D4" s="173"/>
      <c r="E4" s="173"/>
      <c r="F4" s="173"/>
      <c r="G4" s="173"/>
      <c r="H4" s="173"/>
      <c r="I4" s="173"/>
      <c r="J4" s="173"/>
    </row>
    <row r="5" spans="1:10" ht="12.75" customHeight="1" x14ac:dyDescent="0.2">
      <c r="A5" s="173" t="s">
        <v>195</v>
      </c>
      <c r="B5" s="173"/>
      <c r="C5" s="173"/>
      <c r="D5" s="173"/>
      <c r="E5" s="173"/>
      <c r="F5" s="173"/>
      <c r="G5" s="173"/>
      <c r="H5" s="173"/>
      <c r="I5" s="173"/>
      <c r="J5" s="173"/>
    </row>
    <row r="6" spans="1:10" ht="13.5" thickBot="1" x14ac:dyDescent="0.25"/>
    <row r="7" spans="1:10" ht="12.75" customHeight="1" x14ac:dyDescent="0.2">
      <c r="A7" s="213" t="s">
        <v>117</v>
      </c>
      <c r="B7" s="214"/>
      <c r="C7" s="214"/>
      <c r="D7" s="214"/>
      <c r="E7" s="214"/>
      <c r="F7" s="214"/>
      <c r="G7" s="214"/>
      <c r="H7" s="214"/>
      <c r="I7" s="214"/>
      <c r="J7" s="215"/>
    </row>
    <row r="8" spans="1:10" ht="12.75" customHeight="1" x14ac:dyDescent="0.2">
      <c r="A8" s="64"/>
      <c r="B8" s="65"/>
      <c r="C8" s="216" t="s">
        <v>118</v>
      </c>
      <c r="D8" s="217"/>
      <c r="E8" s="217"/>
      <c r="F8" s="218"/>
      <c r="G8" s="216" t="s">
        <v>119</v>
      </c>
      <c r="H8" s="217"/>
      <c r="I8" s="217"/>
      <c r="J8" s="218"/>
    </row>
    <row r="9" spans="1:10" ht="12.75" customHeight="1" x14ac:dyDescent="0.2">
      <c r="A9" s="66"/>
      <c r="B9" s="67"/>
      <c r="C9" s="68"/>
      <c r="D9" s="68"/>
      <c r="E9" s="68"/>
      <c r="F9" s="68"/>
      <c r="G9" s="69">
        <v>687</v>
      </c>
      <c r="H9" s="69">
        <v>29500</v>
      </c>
      <c r="I9" s="69">
        <f>Servente!I18</f>
        <v>200</v>
      </c>
      <c r="J9" s="66"/>
    </row>
    <row r="10" spans="1:10" x14ac:dyDescent="0.2">
      <c r="A10" s="70" t="s">
        <v>120</v>
      </c>
      <c r="B10" s="71" t="s">
        <v>121</v>
      </c>
      <c r="C10" s="72" t="s">
        <v>122</v>
      </c>
      <c r="D10" s="70" t="s">
        <v>123</v>
      </c>
      <c r="E10" s="70" t="s">
        <v>124</v>
      </c>
      <c r="F10" s="70" t="s">
        <v>64</v>
      </c>
      <c r="G10" s="72" t="s">
        <v>122</v>
      </c>
      <c r="H10" s="70" t="s">
        <v>123</v>
      </c>
      <c r="I10" s="70" t="s">
        <v>124</v>
      </c>
      <c r="J10" s="70" t="s">
        <v>64</v>
      </c>
    </row>
    <row r="11" spans="1:10" ht="20.100000000000001" customHeight="1" x14ac:dyDescent="0.2">
      <c r="A11" s="73">
        <v>1</v>
      </c>
      <c r="B11" s="74"/>
      <c r="C11" s="75">
        <f>Servente!D16</f>
        <v>2404.3000000000002</v>
      </c>
      <c r="D11" s="75">
        <f>Servente!D17</f>
        <v>217761.15</v>
      </c>
      <c r="E11" s="75">
        <f>Servente!D18</f>
        <v>50.33</v>
      </c>
      <c r="F11" s="75">
        <f>SUM(C11:E11)</f>
        <v>220215.78</v>
      </c>
      <c r="G11" s="75">
        <f t="shared" ref="G11:H15" si="0">SUM(C11/G$9)</f>
        <v>3.5</v>
      </c>
      <c r="H11" s="75">
        <f t="shared" si="0"/>
        <v>7.38</v>
      </c>
      <c r="I11" s="75">
        <f>E11/I9</f>
        <v>0.25</v>
      </c>
      <c r="J11" s="75">
        <f>G11+H11+I11</f>
        <v>11.13</v>
      </c>
    </row>
    <row r="12" spans="1:10" ht="20.100000000000001" customHeight="1" x14ac:dyDescent="0.2">
      <c r="A12" s="73">
        <v>2</v>
      </c>
      <c r="B12" s="76"/>
      <c r="C12" s="77"/>
      <c r="D12" s="77"/>
      <c r="E12" s="77"/>
      <c r="F12" s="78">
        <f>SUM(C12:E12)</f>
        <v>0</v>
      </c>
      <c r="G12" s="78">
        <f t="shared" si="0"/>
        <v>0</v>
      </c>
      <c r="H12" s="75">
        <f t="shared" si="0"/>
        <v>0</v>
      </c>
      <c r="I12" s="75">
        <f>SUM(D12/I$9)</f>
        <v>0</v>
      </c>
      <c r="J12" s="75">
        <f>G12+H12+I12</f>
        <v>0</v>
      </c>
    </row>
    <row r="13" spans="1:10" ht="20.100000000000001" customHeight="1" x14ac:dyDescent="0.2">
      <c r="A13" s="73">
        <v>3</v>
      </c>
      <c r="B13" s="76"/>
      <c r="C13" s="77"/>
      <c r="D13" s="77"/>
      <c r="E13" s="77"/>
      <c r="F13" s="78">
        <f>SUM(C13:E13)</f>
        <v>0</v>
      </c>
      <c r="G13" s="78">
        <f t="shared" si="0"/>
        <v>0</v>
      </c>
      <c r="H13" s="75">
        <f t="shared" si="0"/>
        <v>0</v>
      </c>
      <c r="I13" s="75">
        <f>SUM(D13/I$9)</f>
        <v>0</v>
      </c>
      <c r="J13" s="75">
        <f>G13+H13+I13</f>
        <v>0</v>
      </c>
    </row>
    <row r="14" spans="1:10" ht="20.100000000000001" customHeight="1" x14ac:dyDescent="0.2">
      <c r="A14" s="73">
        <v>4</v>
      </c>
      <c r="B14" s="76"/>
      <c r="C14" s="77"/>
      <c r="D14" s="77"/>
      <c r="E14" s="77"/>
      <c r="F14" s="78">
        <f>SUM(C14:E14)</f>
        <v>0</v>
      </c>
      <c r="G14" s="78">
        <f t="shared" si="0"/>
        <v>0</v>
      </c>
      <c r="H14" s="75">
        <f t="shared" si="0"/>
        <v>0</v>
      </c>
      <c r="I14" s="75">
        <f>SUM(D14/I$9)</f>
        <v>0</v>
      </c>
      <c r="J14" s="75">
        <f>G14+H14+I14</f>
        <v>0</v>
      </c>
    </row>
    <row r="15" spans="1:10" ht="20.100000000000001" customHeight="1" x14ac:dyDescent="0.2">
      <c r="A15" s="79">
        <v>5</v>
      </c>
      <c r="B15" s="80"/>
      <c r="C15" s="78"/>
      <c r="D15" s="78"/>
      <c r="E15" s="78"/>
      <c r="F15" s="78">
        <f>SUM(C15:E15)</f>
        <v>0</v>
      </c>
      <c r="G15" s="78">
        <f t="shared" si="0"/>
        <v>0</v>
      </c>
      <c r="H15" s="75">
        <f t="shared" si="0"/>
        <v>0</v>
      </c>
      <c r="I15" s="75">
        <f>SUM(D15/I$9)</f>
        <v>0</v>
      </c>
      <c r="J15" s="75">
        <f>G15+H15+I15</f>
        <v>0</v>
      </c>
    </row>
    <row r="16" spans="1:10" ht="21.75" customHeight="1" x14ac:dyDescent="0.2">
      <c r="A16" s="219" t="s">
        <v>125</v>
      </c>
      <c r="B16" s="219"/>
      <c r="C16" s="81">
        <f t="shared" ref="C16:J16" si="1">SUM(C11:C15)</f>
        <v>2404.3000000000002</v>
      </c>
      <c r="D16" s="81">
        <f t="shared" si="1"/>
        <v>217761.15</v>
      </c>
      <c r="E16" s="81">
        <f t="shared" si="1"/>
        <v>50.33</v>
      </c>
      <c r="F16" s="81">
        <f t="shared" si="1"/>
        <v>220215.78</v>
      </c>
      <c r="G16" s="81">
        <f t="shared" si="1"/>
        <v>3.5</v>
      </c>
      <c r="H16" s="81">
        <f t="shared" si="1"/>
        <v>7.38</v>
      </c>
      <c r="I16" s="81">
        <f t="shared" si="1"/>
        <v>0.25</v>
      </c>
      <c r="J16" s="81">
        <f t="shared" si="1"/>
        <v>11.13</v>
      </c>
    </row>
    <row r="17" spans="1:10" x14ac:dyDescent="0.2">
      <c r="A17" s="82"/>
      <c r="B17" s="83"/>
      <c r="C17" s="84"/>
      <c r="D17" s="84"/>
      <c r="E17" s="84"/>
      <c r="F17" s="84"/>
      <c r="G17" s="84"/>
      <c r="H17" s="84"/>
      <c r="I17" s="84"/>
      <c r="J17" s="84"/>
    </row>
    <row r="18" spans="1:10" x14ac:dyDescent="0.2">
      <c r="A18" s="85" t="s">
        <v>230</v>
      </c>
      <c r="B18" s="86"/>
      <c r="C18" s="86"/>
      <c r="D18" s="86"/>
      <c r="E18" s="87"/>
      <c r="F18" s="88"/>
      <c r="G18" s="88"/>
      <c r="H18" s="88"/>
      <c r="I18" s="88"/>
      <c r="J18" s="89"/>
    </row>
    <row r="19" spans="1:10" x14ac:dyDescent="0.2">
      <c r="A19" s="90" t="s">
        <v>126</v>
      </c>
      <c r="B19" s="91"/>
      <c r="C19" s="91"/>
      <c r="D19" s="92"/>
      <c r="E19" s="92"/>
      <c r="F19" s="92"/>
      <c r="G19" s="93"/>
      <c r="H19" s="93"/>
      <c r="I19" s="93"/>
      <c r="J19" s="94"/>
    </row>
    <row r="20" spans="1:10" x14ac:dyDescent="0.2">
      <c r="A20" s="95"/>
      <c r="B20" s="96"/>
      <c r="C20" s="96"/>
      <c r="D20" s="97"/>
      <c r="E20" s="97"/>
      <c r="F20" s="97"/>
      <c r="G20" s="98"/>
      <c r="H20" s="98"/>
      <c r="I20" s="98"/>
      <c r="J20" s="99"/>
    </row>
    <row r="23" spans="1:10" x14ac:dyDescent="0.2">
      <c r="E23" s="3">
        <f>C11/10</f>
        <v>240.43</v>
      </c>
    </row>
    <row r="24" spans="1:10" x14ac:dyDescent="0.2">
      <c r="E24" s="3">
        <f>Encarregado!E131</f>
        <v>3408.24</v>
      </c>
    </row>
    <row r="25" spans="1:10" x14ac:dyDescent="0.2">
      <c r="E25" s="3">
        <f>Servente!E134</f>
        <v>2848.44</v>
      </c>
      <c r="F25" s="3">
        <f>E25*10</f>
        <v>28484.400000000001</v>
      </c>
    </row>
    <row r="26" spans="1:10" x14ac:dyDescent="0.2">
      <c r="F26" s="3">
        <f>E24+F25</f>
        <v>31892.639999999999</v>
      </c>
      <c r="G26" s="3">
        <f>'Valor Global'!F16</f>
        <v>31892.73</v>
      </c>
    </row>
    <row r="27" spans="1:10" x14ac:dyDescent="0.2">
      <c r="H27" s="3">
        <f>G26-E24</f>
        <v>28484.49</v>
      </c>
      <c r="I27" s="3">
        <f>H27/E25</f>
        <v>10.0000315962422</v>
      </c>
    </row>
  </sheetData>
  <mergeCells count="7">
    <mergeCell ref="A7:J7"/>
    <mergeCell ref="C8:F8"/>
    <mergeCell ref="G8:J8"/>
    <mergeCell ref="A16:B16"/>
    <mergeCell ref="A3:J3"/>
    <mergeCell ref="A4:J4"/>
    <mergeCell ref="A5:J5"/>
  </mergeCells>
  <pageMargins left="0.78740157480314965" right="0.78740157480314965" top="0.78740157480314965" bottom="0.78740157480314965" header="0.51181102362204722" footer="0.59055118110236227"/>
  <pageSetup paperSize="9" scale="90" firstPageNumber="0" orientation="landscape" horizontalDpi="1200" verticalDpi="1200" r:id="rId1"/>
  <headerFooter>
    <oddFooter>&amp;LParecer de Custos nº15/2018
Proc.59530.001669/2017-20&amp;C3ªGRD/UEP
CODEVASF&amp;Rfls._____________________
Proc.59530.001669/2017-20
_______________________
3ªGRD/UEP
&amp;P de &amp;N</oddFooter>
  </headerFooter>
  <drawing r:id="rId2"/>
  <legacyDrawing r:id="rId3"/>
  <oleObjects>
    <mc:AlternateContent xmlns:mc="http://schemas.openxmlformats.org/markup-compatibility/2006">
      <mc:Choice Requires="x14">
        <oleObject shapeId="6146" r:id="rId4">
          <objectPr defaultSize="0" autoPict="0" r:id="rId5">
            <anchor moveWithCells="1" sizeWithCells="1">
              <from>
                <xdr:col>0</xdr:col>
                <xdr:colOff>47625</xdr:colOff>
                <xdr:row>1</xdr:row>
                <xdr:rowOff>9525</xdr:rowOff>
              </from>
              <to>
                <xdr:col>2</xdr:col>
                <xdr:colOff>9525</xdr:colOff>
                <xdr:row>3</xdr:row>
                <xdr:rowOff>152400</xdr:rowOff>
              </to>
            </anchor>
          </objectPr>
        </oleObject>
      </mc:Choice>
      <mc:Fallback>
        <oleObject shapeId="6146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38"/>
  <sheetViews>
    <sheetView showGridLines="0" topLeftCell="A74" zoomScale="115" zoomScaleNormal="115" workbookViewId="0">
      <selection activeCell="E138" sqref="A1:E138"/>
    </sheetView>
  </sheetViews>
  <sheetFormatPr defaultRowHeight="12.75" x14ac:dyDescent="0.2"/>
  <cols>
    <col min="1" max="1" width="4.7109375" style="149"/>
    <col min="2" max="2" width="26.85546875" style="149" customWidth="1"/>
    <col min="3" max="3" width="25.7109375" style="149" customWidth="1"/>
    <col min="4" max="4" width="12.85546875" style="149"/>
    <col min="5" max="5" width="21.7109375" style="155" customWidth="1"/>
    <col min="6" max="7" width="0" style="3" hidden="1"/>
    <col min="8" max="8" width="9.5703125" style="3"/>
    <col min="9" max="9" width="9.28515625" style="3"/>
    <col min="10" max="10" width="10.7109375" style="3"/>
    <col min="11" max="1025" width="8.7109375" style="3"/>
    <col min="1026" max="16384" width="9.140625" style="3"/>
  </cols>
  <sheetData>
    <row r="1" spans="1:5" ht="15" customHeight="1" x14ac:dyDescent="0.3">
      <c r="A1" s="2"/>
      <c r="B1" s="2"/>
      <c r="C1" s="2"/>
      <c r="D1" s="2"/>
      <c r="E1" s="2"/>
    </row>
    <row r="2" spans="1:5" ht="12.75" customHeight="1" x14ac:dyDescent="0.3">
      <c r="A2" s="2"/>
      <c r="B2" s="2"/>
      <c r="C2" s="2"/>
      <c r="D2" s="2"/>
      <c r="E2" s="2"/>
    </row>
    <row r="3" spans="1:5" ht="15" customHeight="1" x14ac:dyDescent="0.2">
      <c r="A3" s="173" t="s">
        <v>193</v>
      </c>
      <c r="B3" s="173"/>
      <c r="C3" s="173"/>
      <c r="D3" s="173"/>
      <c r="E3" s="173"/>
    </row>
    <row r="4" spans="1:5" ht="15" customHeight="1" x14ac:dyDescent="0.2">
      <c r="A4" s="173" t="s">
        <v>194</v>
      </c>
      <c r="B4" s="173"/>
      <c r="C4" s="173"/>
      <c r="D4" s="173"/>
      <c r="E4" s="173"/>
    </row>
    <row r="5" spans="1:5" ht="15" customHeight="1" x14ac:dyDescent="0.2">
      <c r="A5" s="173" t="s">
        <v>195</v>
      </c>
      <c r="B5" s="173"/>
      <c r="C5" s="173"/>
      <c r="D5" s="173"/>
      <c r="E5" s="173"/>
    </row>
    <row r="6" spans="1:5" ht="15" customHeight="1" x14ac:dyDescent="0.3">
      <c r="A6" s="2"/>
      <c r="B6" s="2"/>
      <c r="C6" s="2"/>
      <c r="D6" s="2"/>
      <c r="E6" s="2"/>
    </row>
    <row r="8" spans="1:5" ht="15" customHeight="1" x14ac:dyDescent="0.2">
      <c r="A8" s="7" t="s">
        <v>0</v>
      </c>
      <c r="B8" s="262" t="s">
        <v>2</v>
      </c>
      <c r="C8" s="262"/>
      <c r="D8" s="262"/>
      <c r="E8" s="7" t="s">
        <v>3</v>
      </c>
    </row>
    <row r="9" spans="1:5" ht="15" customHeight="1" x14ac:dyDescent="0.2">
      <c r="A9" s="7" t="s">
        <v>1</v>
      </c>
      <c r="B9" s="225" t="s">
        <v>5</v>
      </c>
      <c r="C9" s="225"/>
      <c r="D9" s="225"/>
      <c r="E9" s="7">
        <v>2018</v>
      </c>
    </row>
    <row r="10" spans="1:5" ht="15" customHeight="1" x14ac:dyDescent="0.2">
      <c r="A10" s="7" t="s">
        <v>4</v>
      </c>
      <c r="B10" s="225" t="s">
        <v>201</v>
      </c>
      <c r="C10" s="225"/>
      <c r="D10" s="225"/>
      <c r="E10" s="7" t="s">
        <v>8</v>
      </c>
    </row>
    <row r="11" spans="1:5" ht="15" customHeight="1" x14ac:dyDescent="0.2">
      <c r="A11" s="100"/>
      <c r="B11" s="101"/>
      <c r="C11" s="101"/>
      <c r="D11" s="101"/>
      <c r="E11" s="100"/>
    </row>
    <row r="12" spans="1:5" ht="15" customHeight="1" x14ac:dyDescent="0.2">
      <c r="A12" s="184"/>
      <c r="B12" s="184"/>
      <c r="C12" s="184"/>
      <c r="D12" s="184"/>
      <c r="E12" s="184"/>
    </row>
    <row r="13" spans="1:5" ht="15" customHeight="1" x14ac:dyDescent="0.2">
      <c r="A13" s="230" t="s">
        <v>9</v>
      </c>
      <c r="B13" s="230"/>
      <c r="C13" s="230"/>
      <c r="D13" s="230"/>
      <c r="E13" s="230"/>
    </row>
    <row r="14" spans="1:5" ht="15" customHeight="1" x14ac:dyDescent="0.2">
      <c r="A14" s="267" t="s">
        <v>10</v>
      </c>
      <c r="B14" s="267"/>
      <c r="C14" s="182" t="s">
        <v>11</v>
      </c>
      <c r="D14" s="182" t="s">
        <v>12</v>
      </c>
      <c r="E14" s="182"/>
    </row>
    <row r="15" spans="1:5" ht="15" customHeight="1" x14ac:dyDescent="0.2">
      <c r="A15" s="267"/>
      <c r="B15" s="267"/>
      <c r="C15" s="182"/>
      <c r="D15" s="182"/>
      <c r="E15" s="182"/>
    </row>
    <row r="16" spans="1:5" ht="15" customHeight="1" x14ac:dyDescent="0.2">
      <c r="A16" s="262" t="s">
        <v>115</v>
      </c>
      <c r="B16" s="262"/>
      <c r="C16" s="102" t="s">
        <v>13</v>
      </c>
      <c r="D16" s="263">
        <v>1</v>
      </c>
      <c r="E16" s="263"/>
    </row>
    <row r="17" spans="1:5" ht="15" customHeight="1" x14ac:dyDescent="0.2">
      <c r="A17" s="101"/>
      <c r="B17" s="101"/>
      <c r="C17" s="100"/>
      <c r="D17" s="103"/>
      <c r="E17" s="103"/>
    </row>
    <row r="18" spans="1:5" s="104" customFormat="1" ht="15" customHeight="1" x14ac:dyDescent="0.2">
      <c r="A18" s="184" t="s">
        <v>14</v>
      </c>
      <c r="B18" s="184"/>
      <c r="C18" s="184"/>
      <c r="D18" s="184"/>
      <c r="E18" s="184"/>
    </row>
    <row r="19" spans="1:5" ht="15" customHeight="1" x14ac:dyDescent="0.2">
      <c r="A19" s="178" t="s">
        <v>15</v>
      </c>
      <c r="B19" s="178"/>
      <c r="C19" s="178"/>
      <c r="D19" s="178"/>
      <c r="E19" s="178"/>
    </row>
    <row r="20" spans="1:5" ht="15" customHeight="1" x14ac:dyDescent="0.2">
      <c r="A20" s="105"/>
      <c r="B20" s="105"/>
      <c r="C20" s="105"/>
      <c r="D20" s="105"/>
      <c r="E20" s="105"/>
    </row>
    <row r="21" spans="1:5" ht="15" customHeight="1" x14ac:dyDescent="0.2">
      <c r="A21" s="264" t="s">
        <v>16</v>
      </c>
      <c r="B21" s="264"/>
      <c r="C21" s="106"/>
      <c r="D21" s="106"/>
      <c r="E21" s="107"/>
    </row>
    <row r="22" spans="1:5" s="108" customFormat="1" ht="39" customHeight="1" x14ac:dyDescent="0.2">
      <c r="A22" s="265" t="str">
        <f>Servente!A24</f>
        <v>Prestação dos serviços de limpeza, conservação, jardinagem e manutenção do CIRPA Bebedouro, com carga horária de 44 (quarenta e quatro) horas semanais, de segunda a sábado.</v>
      </c>
      <c r="B22" s="265"/>
      <c r="C22" s="265"/>
      <c r="D22" s="265"/>
      <c r="E22" s="265"/>
    </row>
    <row r="23" spans="1:5" ht="15" customHeight="1" x14ac:dyDescent="0.2">
      <c r="A23" s="266" t="s">
        <v>17</v>
      </c>
      <c r="B23" s="266"/>
      <c r="C23" s="266"/>
      <c r="D23" s="266"/>
      <c r="E23" s="266"/>
    </row>
    <row r="24" spans="1:5" ht="15" customHeight="1" x14ac:dyDescent="0.2">
      <c r="A24" s="109">
        <v>1</v>
      </c>
      <c r="B24" s="224" t="s">
        <v>18</v>
      </c>
      <c r="C24" s="224"/>
      <c r="D24" s="224" t="s">
        <v>19</v>
      </c>
      <c r="E24" s="110" t="s">
        <v>20</v>
      </c>
    </row>
    <row r="25" spans="1:5" ht="15" customHeight="1" x14ac:dyDescent="0.2">
      <c r="A25" s="109">
        <v>2</v>
      </c>
      <c r="B25" s="224" t="s">
        <v>21</v>
      </c>
      <c r="C25" s="224"/>
      <c r="D25" s="224">
        <v>2012</v>
      </c>
      <c r="E25" s="111">
        <v>1397.12</v>
      </c>
    </row>
    <row r="26" spans="1:5" x14ac:dyDescent="0.2">
      <c r="A26" s="112">
        <v>3</v>
      </c>
      <c r="B26" s="224" t="s">
        <v>22</v>
      </c>
      <c r="C26" s="224"/>
      <c r="D26" s="224"/>
      <c r="E26" s="113" t="s">
        <v>115</v>
      </c>
    </row>
    <row r="27" spans="1:5" ht="15" customHeight="1" x14ac:dyDescent="0.2">
      <c r="A27" s="7">
        <v>4</v>
      </c>
      <c r="B27" s="224" t="s">
        <v>23</v>
      </c>
      <c r="C27" s="224"/>
      <c r="D27" s="224"/>
      <c r="E27" s="114">
        <v>43101</v>
      </c>
    </row>
    <row r="28" spans="1:5" ht="44.25" customHeight="1" x14ac:dyDescent="0.2">
      <c r="A28" s="258" t="s">
        <v>217</v>
      </c>
      <c r="B28" s="259"/>
      <c r="C28" s="259"/>
      <c r="D28" s="259"/>
      <c r="E28" s="259"/>
    </row>
    <row r="29" spans="1:5" ht="15" customHeight="1" x14ac:dyDescent="0.2">
      <c r="A29" s="115"/>
      <c r="B29" s="115"/>
      <c r="C29" s="115"/>
      <c r="D29" s="115"/>
      <c r="E29" s="115"/>
    </row>
    <row r="30" spans="1:5" ht="15" customHeight="1" x14ac:dyDescent="0.2">
      <c r="A30" s="230" t="s">
        <v>25</v>
      </c>
      <c r="B30" s="230"/>
      <c r="C30" s="230"/>
      <c r="D30" s="230"/>
      <c r="E30" s="230"/>
    </row>
    <row r="31" spans="1:5" ht="15" customHeight="1" x14ac:dyDescent="0.2">
      <c r="A31" s="116">
        <v>1</v>
      </c>
      <c r="B31" s="228" t="s">
        <v>26</v>
      </c>
      <c r="C31" s="228"/>
      <c r="D31" s="228"/>
      <c r="E31" s="117" t="s">
        <v>27</v>
      </c>
    </row>
    <row r="32" spans="1:5" ht="15" customHeight="1" x14ac:dyDescent="0.2">
      <c r="A32" s="13" t="s">
        <v>0</v>
      </c>
      <c r="B32" s="118" t="s">
        <v>28</v>
      </c>
      <c r="C32" s="260"/>
      <c r="D32" s="261"/>
      <c r="E32" s="119">
        <f>Servente!E27*1.25</f>
        <v>1219.9000000000001</v>
      </c>
    </row>
    <row r="33" spans="1:5" ht="15" customHeight="1" x14ac:dyDescent="0.2">
      <c r="A33" s="13" t="s">
        <v>1</v>
      </c>
      <c r="B33" s="225" t="s">
        <v>29</v>
      </c>
      <c r="C33" s="225"/>
      <c r="D33" s="225"/>
      <c r="E33" s="119"/>
    </row>
    <row r="34" spans="1:5" ht="15" customHeight="1" x14ac:dyDescent="0.2">
      <c r="A34" s="13" t="s">
        <v>4</v>
      </c>
      <c r="B34" s="225" t="str">
        <f>Servente!B36</f>
        <v>Adicional de Insalubridade (20%) - Nota Técnica (fls. 289/548)</v>
      </c>
      <c r="C34" s="225"/>
      <c r="D34" s="225"/>
      <c r="E34" s="119">
        <f>E32*0.2</f>
        <v>243.98</v>
      </c>
    </row>
    <row r="35" spans="1:5" ht="15" customHeight="1" x14ac:dyDescent="0.2">
      <c r="A35" s="13" t="s">
        <v>6</v>
      </c>
      <c r="B35" s="225" t="s">
        <v>30</v>
      </c>
      <c r="C35" s="225"/>
      <c r="D35" s="225"/>
      <c r="E35" s="119"/>
    </row>
    <row r="36" spans="1:5" ht="15" customHeight="1" x14ac:dyDescent="0.2">
      <c r="A36" s="13" t="s">
        <v>31</v>
      </c>
      <c r="B36" s="225" t="s">
        <v>32</v>
      </c>
      <c r="C36" s="225"/>
      <c r="D36" s="225"/>
      <c r="E36" s="119"/>
    </row>
    <row r="37" spans="1:5" ht="15" customHeight="1" x14ac:dyDescent="0.2">
      <c r="A37" s="13" t="s">
        <v>33</v>
      </c>
      <c r="B37" s="225" t="s">
        <v>34</v>
      </c>
      <c r="C37" s="225"/>
      <c r="D37" s="225"/>
      <c r="E37" s="119"/>
    </row>
    <row r="38" spans="1:5" ht="15" customHeight="1" x14ac:dyDescent="0.2">
      <c r="A38" s="13" t="s">
        <v>35</v>
      </c>
      <c r="B38" s="225" t="s">
        <v>36</v>
      </c>
      <c r="C38" s="225"/>
      <c r="D38" s="225"/>
      <c r="E38" s="119"/>
    </row>
    <row r="39" spans="1:5" ht="15" customHeight="1" x14ac:dyDescent="0.2">
      <c r="A39" s="13" t="s">
        <v>37</v>
      </c>
      <c r="B39" s="225" t="s">
        <v>38</v>
      </c>
      <c r="C39" s="225"/>
      <c r="D39" s="225"/>
      <c r="E39" s="119"/>
    </row>
    <row r="40" spans="1:5" ht="15" customHeight="1" x14ac:dyDescent="0.2">
      <c r="A40" s="182" t="s">
        <v>39</v>
      </c>
      <c r="B40" s="182"/>
      <c r="C40" s="182"/>
      <c r="D40" s="182"/>
      <c r="E40" s="120">
        <f>SUM(E32:E39)</f>
        <v>1463.88</v>
      </c>
    </row>
    <row r="41" spans="1:5" ht="15" customHeight="1" x14ac:dyDescent="0.2">
      <c r="A41" s="257"/>
      <c r="B41" s="257"/>
      <c r="C41" s="257"/>
      <c r="D41" s="257"/>
      <c r="E41" s="257"/>
    </row>
    <row r="42" spans="1:5" ht="15" customHeight="1" x14ac:dyDescent="0.2">
      <c r="A42" s="230" t="s">
        <v>40</v>
      </c>
      <c r="B42" s="230"/>
      <c r="C42" s="230"/>
      <c r="D42" s="230"/>
      <c r="E42" s="230"/>
    </row>
    <row r="43" spans="1:5" ht="15" customHeight="1" x14ac:dyDescent="0.2">
      <c r="A43" s="116">
        <v>2</v>
      </c>
      <c r="B43" s="228" t="s">
        <v>41</v>
      </c>
      <c r="C43" s="228"/>
      <c r="D43" s="228"/>
      <c r="E43" s="117" t="s">
        <v>27</v>
      </c>
    </row>
    <row r="44" spans="1:5" ht="30" customHeight="1" x14ac:dyDescent="0.2">
      <c r="A44" s="13" t="s">
        <v>0</v>
      </c>
      <c r="B44" s="246" t="s">
        <v>112</v>
      </c>
      <c r="C44" s="246"/>
      <c r="D44" s="246"/>
      <c r="E44" s="121"/>
    </row>
    <row r="45" spans="1:5" ht="15" customHeight="1" x14ac:dyDescent="0.2">
      <c r="A45" s="13" t="s">
        <v>1</v>
      </c>
      <c r="B45" s="225" t="s">
        <v>42</v>
      </c>
      <c r="C45" s="225"/>
      <c r="D45" s="225"/>
      <c r="E45" s="122">
        <f>Servente!E47</f>
        <v>255.76</v>
      </c>
    </row>
    <row r="46" spans="1:5" ht="15" customHeight="1" x14ac:dyDescent="0.2">
      <c r="A46" s="13" t="s">
        <v>4</v>
      </c>
      <c r="B46" s="225" t="s">
        <v>43</v>
      </c>
      <c r="C46" s="225"/>
      <c r="D46" s="225"/>
      <c r="E46" s="119">
        <v>40.200000000000003</v>
      </c>
    </row>
    <row r="47" spans="1:5" ht="15" customHeight="1" x14ac:dyDescent="0.2">
      <c r="A47" s="13" t="s">
        <v>6</v>
      </c>
      <c r="B47" s="225" t="s">
        <v>44</v>
      </c>
      <c r="C47" s="225"/>
      <c r="D47" s="225"/>
      <c r="E47" s="119"/>
    </row>
    <row r="48" spans="1:5" ht="15" customHeight="1" x14ac:dyDescent="0.2">
      <c r="A48" s="13" t="s">
        <v>31</v>
      </c>
      <c r="B48" s="225" t="s">
        <v>45</v>
      </c>
      <c r="C48" s="225"/>
      <c r="D48" s="225"/>
      <c r="E48" s="119"/>
    </row>
    <row r="49" spans="1:5" ht="25.5" customHeight="1" x14ac:dyDescent="0.2">
      <c r="A49" s="13" t="s">
        <v>33</v>
      </c>
      <c r="B49" s="225" t="str">
        <f>Servente!B51</f>
        <v>Outros (especificar) - Beneficio de complementação salarial/odontologico - CCT 14ª</v>
      </c>
      <c r="C49" s="225"/>
      <c r="D49" s="225"/>
      <c r="E49" s="119">
        <f>Servente!E51</f>
        <v>10</v>
      </c>
    </row>
    <row r="50" spans="1:5" ht="15" customHeight="1" x14ac:dyDescent="0.2">
      <c r="A50" s="182" t="s">
        <v>46</v>
      </c>
      <c r="B50" s="182"/>
      <c r="C50" s="182"/>
      <c r="D50" s="182"/>
      <c r="E50" s="120">
        <f>SUM(E44:E49)</f>
        <v>305.95999999999998</v>
      </c>
    </row>
    <row r="51" spans="1:5" ht="21.6" customHeight="1" x14ac:dyDescent="0.2">
      <c r="A51" s="253" t="s">
        <v>203</v>
      </c>
      <c r="B51" s="254"/>
      <c r="C51" s="254"/>
      <c r="D51" s="254"/>
      <c r="E51" s="254"/>
    </row>
    <row r="52" spans="1:5" ht="21.6" customHeight="1" x14ac:dyDescent="0.2">
      <c r="A52" s="255" t="s">
        <v>204</v>
      </c>
      <c r="B52" s="256"/>
      <c r="C52" s="256"/>
      <c r="D52" s="256"/>
      <c r="E52" s="256"/>
    </row>
    <row r="53" spans="1:5" ht="15" customHeight="1" x14ac:dyDescent="0.2">
      <c r="A53" s="230" t="s">
        <v>47</v>
      </c>
      <c r="B53" s="230"/>
      <c r="C53" s="230"/>
      <c r="D53" s="230"/>
      <c r="E53" s="230"/>
    </row>
    <row r="54" spans="1:5" ht="15" customHeight="1" x14ac:dyDescent="0.2">
      <c r="A54" s="116">
        <v>3</v>
      </c>
      <c r="B54" s="228" t="s">
        <v>48</v>
      </c>
      <c r="C54" s="228"/>
      <c r="D54" s="228"/>
      <c r="E54" s="117" t="s">
        <v>27</v>
      </c>
    </row>
    <row r="55" spans="1:5" ht="15" customHeight="1" x14ac:dyDescent="0.2">
      <c r="A55" s="13" t="s">
        <v>0</v>
      </c>
      <c r="B55" s="225" t="s">
        <v>49</v>
      </c>
      <c r="C55" s="225"/>
      <c r="D55" s="225"/>
      <c r="E55" s="119">
        <f>Servente!E58</f>
        <v>4.75</v>
      </c>
    </row>
    <row r="56" spans="1:5" ht="15" customHeight="1" x14ac:dyDescent="0.2">
      <c r="A56" s="13" t="s">
        <v>1</v>
      </c>
      <c r="B56" s="251" t="s">
        <v>205</v>
      </c>
      <c r="C56" s="252"/>
      <c r="D56" s="200"/>
      <c r="E56" s="119">
        <f>Servente!E59</f>
        <v>2.58</v>
      </c>
    </row>
    <row r="57" spans="1:5" ht="15" customHeight="1" x14ac:dyDescent="0.2">
      <c r="A57" s="13" t="s">
        <v>4</v>
      </c>
      <c r="B57" s="225" t="s">
        <v>206</v>
      </c>
      <c r="C57" s="225"/>
      <c r="D57" s="225"/>
      <c r="E57" s="119"/>
    </row>
    <row r="58" spans="1:5" ht="15" customHeight="1" x14ac:dyDescent="0.2">
      <c r="A58" s="13" t="s">
        <v>6</v>
      </c>
      <c r="B58" s="225" t="s">
        <v>38</v>
      </c>
      <c r="C58" s="225"/>
      <c r="D58" s="225"/>
      <c r="E58" s="119"/>
    </row>
    <row r="59" spans="1:5" ht="15" customHeight="1" x14ac:dyDescent="0.2">
      <c r="A59" s="226" t="s">
        <v>50</v>
      </c>
      <c r="B59" s="226"/>
      <c r="C59" s="226"/>
      <c r="D59" s="226"/>
      <c r="E59" s="120">
        <f>SUM(E55:E58)</f>
        <v>7.33</v>
      </c>
    </row>
    <row r="60" spans="1:5" ht="15" customHeight="1" x14ac:dyDescent="0.2">
      <c r="A60" s="249" t="s">
        <v>51</v>
      </c>
      <c r="B60" s="249"/>
      <c r="C60" s="249"/>
      <c r="D60" s="249"/>
      <c r="E60" s="249"/>
    </row>
    <row r="61" spans="1:5" ht="15" customHeight="1" x14ac:dyDescent="0.2">
      <c r="A61" s="250"/>
      <c r="B61" s="250"/>
      <c r="C61" s="250"/>
      <c r="D61" s="250"/>
      <c r="E61" s="250"/>
    </row>
    <row r="62" spans="1:5" ht="15" customHeight="1" x14ac:dyDescent="0.2">
      <c r="A62" s="184" t="s">
        <v>52</v>
      </c>
      <c r="B62" s="184"/>
      <c r="C62" s="184"/>
      <c r="D62" s="184"/>
      <c r="E62" s="184"/>
    </row>
    <row r="63" spans="1:5" ht="15" customHeight="1" x14ac:dyDescent="0.2">
      <c r="A63" s="202" t="s">
        <v>53</v>
      </c>
      <c r="B63" s="202"/>
      <c r="C63" s="202"/>
      <c r="D63" s="202"/>
      <c r="E63" s="202"/>
    </row>
    <row r="64" spans="1:5" ht="15" customHeight="1" x14ac:dyDescent="0.2">
      <c r="A64" s="116" t="s">
        <v>54</v>
      </c>
      <c r="B64" s="228" t="s">
        <v>53</v>
      </c>
      <c r="C64" s="228"/>
      <c r="D64" s="117" t="s">
        <v>55</v>
      </c>
      <c r="E64" s="117" t="s">
        <v>27</v>
      </c>
    </row>
    <row r="65" spans="1:5" ht="15" customHeight="1" x14ac:dyDescent="0.2">
      <c r="A65" s="13" t="s">
        <v>0</v>
      </c>
      <c r="B65" s="225" t="s">
        <v>56</v>
      </c>
      <c r="C65" s="225"/>
      <c r="D65" s="123">
        <v>0.2</v>
      </c>
      <c r="E65" s="119">
        <f>D65*E40</f>
        <v>292.77999999999997</v>
      </c>
    </row>
    <row r="66" spans="1:5" ht="15" customHeight="1" x14ac:dyDescent="0.2">
      <c r="A66" s="13" t="s">
        <v>1</v>
      </c>
      <c r="B66" s="225" t="s">
        <v>57</v>
      </c>
      <c r="C66" s="225"/>
      <c r="D66" s="124">
        <v>0.08</v>
      </c>
      <c r="E66" s="119">
        <f>D66*E40</f>
        <v>117.11</v>
      </c>
    </row>
    <row r="67" spans="1:5" ht="30" customHeight="1" x14ac:dyDescent="0.2">
      <c r="A67" s="13" t="s">
        <v>4</v>
      </c>
      <c r="B67" s="225" t="s">
        <v>58</v>
      </c>
      <c r="C67" s="225"/>
      <c r="D67" s="125">
        <v>0.03</v>
      </c>
      <c r="E67" s="119">
        <f>D67*E40</f>
        <v>43.92</v>
      </c>
    </row>
    <row r="68" spans="1:5" ht="15" customHeight="1" x14ac:dyDescent="0.2">
      <c r="A68" s="13" t="s">
        <v>6</v>
      </c>
      <c r="B68" s="225" t="s">
        <v>59</v>
      </c>
      <c r="C68" s="225"/>
      <c r="D68" s="124">
        <v>2.5000000000000001E-2</v>
      </c>
      <c r="E68" s="119">
        <f>D68*E40</f>
        <v>36.6</v>
      </c>
    </row>
    <row r="69" spans="1:5" ht="15" customHeight="1" x14ac:dyDescent="0.2">
      <c r="A69" s="13" t="s">
        <v>31</v>
      </c>
      <c r="B69" s="225" t="s">
        <v>60</v>
      </c>
      <c r="C69" s="225"/>
      <c r="D69" s="124">
        <v>1.4999999999999999E-2</v>
      </c>
      <c r="E69" s="119">
        <f>D69*E40</f>
        <v>21.96</v>
      </c>
    </row>
    <row r="70" spans="1:5" ht="15" customHeight="1" x14ac:dyDescent="0.2">
      <c r="A70" s="13" t="s">
        <v>33</v>
      </c>
      <c r="B70" s="225" t="s">
        <v>61</v>
      </c>
      <c r="C70" s="225"/>
      <c r="D70" s="124">
        <v>0.01</v>
      </c>
      <c r="E70" s="119">
        <f>D70*E40</f>
        <v>14.64</v>
      </c>
    </row>
    <row r="71" spans="1:5" ht="15" customHeight="1" x14ac:dyDescent="0.2">
      <c r="A71" s="13" t="s">
        <v>35</v>
      </c>
      <c r="B71" s="225" t="s">
        <v>62</v>
      </c>
      <c r="C71" s="225"/>
      <c r="D71" s="124">
        <v>6.0000000000000001E-3</v>
      </c>
      <c r="E71" s="119">
        <f>D71*E40</f>
        <v>8.7799999999999994</v>
      </c>
    </row>
    <row r="72" spans="1:5" ht="15" customHeight="1" x14ac:dyDescent="0.2">
      <c r="A72" s="13" t="s">
        <v>37</v>
      </c>
      <c r="B72" s="225" t="s">
        <v>63</v>
      </c>
      <c r="C72" s="225"/>
      <c r="D72" s="124">
        <v>2E-3</v>
      </c>
      <c r="E72" s="119">
        <f>D72*E40</f>
        <v>2.93</v>
      </c>
    </row>
    <row r="73" spans="1:5" ht="15" customHeight="1" x14ac:dyDescent="0.2">
      <c r="A73" s="226" t="s">
        <v>64</v>
      </c>
      <c r="B73" s="226"/>
      <c r="C73" s="226"/>
      <c r="D73" s="126">
        <f>SUM(D65:D72)</f>
        <v>0.36799999999999999</v>
      </c>
      <c r="E73" s="127">
        <f>SUM(E65:E72)</f>
        <v>538.72</v>
      </c>
    </row>
    <row r="74" spans="1:5" ht="30" customHeight="1" x14ac:dyDescent="0.2">
      <c r="A74" s="249" t="s">
        <v>65</v>
      </c>
      <c r="B74" s="249"/>
      <c r="C74" s="249"/>
      <c r="D74" s="249"/>
      <c r="E74" s="249"/>
    </row>
    <row r="75" spans="1:5" ht="15" customHeight="1" x14ac:dyDescent="0.2">
      <c r="A75" s="222" t="s">
        <v>66</v>
      </c>
      <c r="B75" s="222"/>
      <c r="C75" s="222"/>
      <c r="D75" s="222"/>
      <c r="E75" s="222"/>
    </row>
    <row r="76" spans="1:5" ht="15" customHeight="1" x14ac:dyDescent="0.2">
      <c r="A76" s="250"/>
      <c r="B76" s="250"/>
      <c r="C76" s="250"/>
      <c r="D76" s="250"/>
      <c r="E76" s="250"/>
    </row>
    <row r="77" spans="1:5" ht="15" customHeight="1" x14ac:dyDescent="0.2">
      <c r="A77" s="202" t="s">
        <v>67</v>
      </c>
      <c r="B77" s="202"/>
      <c r="C77" s="202"/>
      <c r="D77" s="202"/>
      <c r="E77" s="202"/>
    </row>
    <row r="78" spans="1:5" ht="15" customHeight="1" x14ac:dyDescent="0.2">
      <c r="A78" s="116" t="s">
        <v>1</v>
      </c>
      <c r="B78" s="228" t="s">
        <v>67</v>
      </c>
      <c r="C78" s="228"/>
      <c r="D78" s="117" t="s">
        <v>55</v>
      </c>
      <c r="E78" s="117" t="s">
        <v>27</v>
      </c>
    </row>
    <row r="79" spans="1:5" ht="15" customHeight="1" x14ac:dyDescent="0.2">
      <c r="A79" s="13" t="s">
        <v>0</v>
      </c>
      <c r="B79" s="225" t="s">
        <v>68</v>
      </c>
      <c r="C79" s="225"/>
      <c r="D79" s="123">
        <v>8.3299999999999999E-2</v>
      </c>
      <c r="E79" s="119">
        <f t="shared" ref="E79:E85" si="0">D79*$E$40</f>
        <v>121.94</v>
      </c>
    </row>
    <row r="80" spans="1:5" ht="15" customHeight="1" x14ac:dyDescent="0.2">
      <c r="A80" s="13" t="s">
        <v>1</v>
      </c>
      <c r="B80" s="225" t="s">
        <v>69</v>
      </c>
      <c r="C80" s="225"/>
      <c r="D80" s="124">
        <v>0.1111</v>
      </c>
      <c r="E80" s="119">
        <f t="shared" si="0"/>
        <v>162.63999999999999</v>
      </c>
    </row>
    <row r="81" spans="1:5" ht="15" customHeight="1" x14ac:dyDescent="0.2">
      <c r="A81" s="13" t="s">
        <v>4</v>
      </c>
      <c r="B81" s="225" t="s">
        <v>70</v>
      </c>
      <c r="C81" s="225"/>
      <c r="D81" s="124">
        <v>2.0000000000000001E-4</v>
      </c>
      <c r="E81" s="119">
        <f t="shared" si="0"/>
        <v>0.28999999999999998</v>
      </c>
    </row>
    <row r="82" spans="1:5" ht="15" customHeight="1" x14ac:dyDescent="0.2">
      <c r="A82" s="13" t="s">
        <v>6</v>
      </c>
      <c r="B82" s="225" t="s">
        <v>71</v>
      </c>
      <c r="C82" s="225"/>
      <c r="D82" s="124">
        <v>1.66E-2</v>
      </c>
      <c r="E82" s="119">
        <f t="shared" si="0"/>
        <v>24.3</v>
      </c>
    </row>
    <row r="83" spans="1:5" ht="15" customHeight="1" x14ac:dyDescent="0.2">
      <c r="A83" s="13" t="s">
        <v>31</v>
      </c>
      <c r="B83" s="225" t="s">
        <v>72</v>
      </c>
      <c r="C83" s="225"/>
      <c r="D83" s="124">
        <v>2.7000000000000001E-3</v>
      </c>
      <c r="E83" s="119">
        <f t="shared" si="0"/>
        <v>3.95</v>
      </c>
    </row>
    <row r="84" spans="1:5" ht="15" customHeight="1" x14ac:dyDescent="0.2">
      <c r="A84" s="13" t="s">
        <v>33</v>
      </c>
      <c r="B84" s="225" t="s">
        <v>73</v>
      </c>
      <c r="C84" s="225"/>
      <c r="D84" s="124">
        <v>7.3000000000000001E-3</v>
      </c>
      <c r="E84" s="119">
        <f t="shared" si="0"/>
        <v>10.69</v>
      </c>
    </row>
    <row r="85" spans="1:5" ht="15" customHeight="1" x14ac:dyDescent="0.2">
      <c r="A85" s="13" t="s">
        <v>35</v>
      </c>
      <c r="B85" s="225" t="s">
        <v>74</v>
      </c>
      <c r="C85" s="225"/>
      <c r="D85" s="124">
        <v>4.0000000000000002E-4</v>
      </c>
      <c r="E85" s="119">
        <f t="shared" si="0"/>
        <v>0.59</v>
      </c>
    </row>
    <row r="86" spans="1:5" ht="15" customHeight="1" x14ac:dyDescent="0.2">
      <c r="A86" s="226" t="s">
        <v>64</v>
      </c>
      <c r="B86" s="226"/>
      <c r="C86" s="226"/>
      <c r="D86" s="126">
        <f>SUM(D79:D85)</f>
        <v>0.22159999999999999</v>
      </c>
      <c r="E86" s="127">
        <f>SUM(E79:E85)</f>
        <v>324.39999999999998</v>
      </c>
    </row>
    <row r="87" spans="1:5" ht="15" customHeight="1" x14ac:dyDescent="0.2">
      <c r="A87" s="248"/>
      <c r="B87" s="248"/>
      <c r="C87" s="248"/>
      <c r="D87" s="248"/>
      <c r="E87" s="248"/>
    </row>
    <row r="88" spans="1:5" ht="15" customHeight="1" x14ac:dyDescent="0.2">
      <c r="A88" s="202" t="s">
        <v>75</v>
      </c>
      <c r="B88" s="202"/>
      <c r="C88" s="202"/>
      <c r="D88" s="202"/>
      <c r="E88" s="202"/>
    </row>
    <row r="89" spans="1:5" ht="15" customHeight="1" x14ac:dyDescent="0.2">
      <c r="A89" s="116" t="s">
        <v>4</v>
      </c>
      <c r="B89" s="247" t="s">
        <v>75</v>
      </c>
      <c r="C89" s="247"/>
      <c r="D89" s="117" t="s">
        <v>55</v>
      </c>
      <c r="E89" s="117" t="s">
        <v>27</v>
      </c>
    </row>
    <row r="90" spans="1:5" ht="15" customHeight="1" x14ac:dyDescent="0.2">
      <c r="A90" s="13" t="s">
        <v>0</v>
      </c>
      <c r="B90" s="246" t="s">
        <v>76</v>
      </c>
      <c r="C90" s="246"/>
      <c r="D90" s="128">
        <v>4.0300000000000002E-2</v>
      </c>
      <c r="E90" s="129">
        <f>D90*$E$40</f>
        <v>58.99</v>
      </c>
    </row>
    <row r="91" spans="1:5" ht="15" customHeight="1" x14ac:dyDescent="0.2">
      <c r="A91" s="13" t="s">
        <v>1</v>
      </c>
      <c r="B91" s="246" t="s">
        <v>77</v>
      </c>
      <c r="C91" s="246"/>
      <c r="D91" s="130">
        <v>4.0000000000000001E-3</v>
      </c>
      <c r="E91" s="129">
        <f>D91*$E$40</f>
        <v>5.86</v>
      </c>
    </row>
    <row r="92" spans="1:5" ht="15" customHeight="1" x14ac:dyDescent="0.2">
      <c r="A92" s="13" t="s">
        <v>4</v>
      </c>
      <c r="B92" s="246" t="s">
        <v>78</v>
      </c>
      <c r="C92" s="246"/>
      <c r="D92" s="130">
        <v>2.29E-2</v>
      </c>
      <c r="E92" s="129">
        <f>D92*$E$40</f>
        <v>33.520000000000003</v>
      </c>
    </row>
    <row r="93" spans="1:5" ht="15" customHeight="1" x14ac:dyDescent="0.2">
      <c r="A93" s="226" t="s">
        <v>64</v>
      </c>
      <c r="B93" s="226"/>
      <c r="C93" s="226"/>
      <c r="D93" s="126">
        <f>SUM(D90:D92)</f>
        <v>6.7199999999999996E-2</v>
      </c>
      <c r="E93" s="131">
        <f>SUM(E90:E92)</f>
        <v>98.37</v>
      </c>
    </row>
    <row r="94" spans="1:5" ht="15" customHeight="1" x14ac:dyDescent="0.2">
      <c r="A94" s="132"/>
      <c r="B94" s="132"/>
      <c r="C94" s="132"/>
      <c r="D94" s="132"/>
      <c r="E94" s="132"/>
    </row>
    <row r="95" spans="1:5" ht="15" customHeight="1" x14ac:dyDescent="0.2">
      <c r="A95" s="202" t="s">
        <v>79</v>
      </c>
      <c r="B95" s="202"/>
      <c r="C95" s="202"/>
      <c r="D95" s="202"/>
      <c r="E95" s="202"/>
    </row>
    <row r="96" spans="1:5" ht="15" customHeight="1" x14ac:dyDescent="0.2">
      <c r="A96" s="116" t="s">
        <v>6</v>
      </c>
      <c r="B96" s="247" t="s">
        <v>79</v>
      </c>
      <c r="C96" s="247"/>
      <c r="D96" s="117" t="s">
        <v>55</v>
      </c>
      <c r="E96" s="117" t="s">
        <v>27</v>
      </c>
    </row>
    <row r="97" spans="1:5" ht="15" customHeight="1" x14ac:dyDescent="0.2">
      <c r="A97" s="13" t="s">
        <v>0</v>
      </c>
      <c r="B97" s="224" t="s">
        <v>80</v>
      </c>
      <c r="C97" s="224"/>
      <c r="D97" s="133">
        <v>8.0399999999999999E-2</v>
      </c>
      <c r="E97" s="119">
        <f>D97*E40</f>
        <v>117.7</v>
      </c>
    </row>
    <row r="98" spans="1:5" ht="15" customHeight="1" x14ac:dyDescent="0.2">
      <c r="A98" s="226" t="s">
        <v>64</v>
      </c>
      <c r="B98" s="226"/>
      <c r="C98" s="226"/>
      <c r="D98" s="126">
        <f>SUM(D97:D97)</f>
        <v>8.0399999999999999E-2</v>
      </c>
      <c r="E98" s="127">
        <f>SUM(E97:E97)</f>
        <v>117.7</v>
      </c>
    </row>
    <row r="99" spans="1:5" ht="15" customHeight="1" x14ac:dyDescent="0.2">
      <c r="A99" s="248"/>
      <c r="B99" s="248"/>
      <c r="C99" s="248"/>
      <c r="D99" s="248"/>
      <c r="E99" s="248"/>
    </row>
    <row r="100" spans="1:5" ht="15" customHeight="1" x14ac:dyDescent="0.2">
      <c r="A100" s="230" t="s">
        <v>81</v>
      </c>
      <c r="B100" s="230"/>
      <c r="C100" s="230"/>
      <c r="D100" s="230"/>
      <c r="E100" s="230"/>
    </row>
    <row r="101" spans="1:5" ht="15" customHeight="1" x14ac:dyDescent="0.2">
      <c r="A101" s="116">
        <v>4</v>
      </c>
      <c r="B101" s="223" t="s">
        <v>82</v>
      </c>
      <c r="C101" s="223"/>
      <c r="D101" s="134" t="s">
        <v>55</v>
      </c>
      <c r="E101" s="117" t="s">
        <v>27</v>
      </c>
    </row>
    <row r="102" spans="1:5" ht="15" customHeight="1" x14ac:dyDescent="0.2">
      <c r="A102" s="13" t="s">
        <v>54</v>
      </c>
      <c r="B102" s="225" t="s">
        <v>53</v>
      </c>
      <c r="C102" s="225"/>
      <c r="D102" s="135">
        <f>D73</f>
        <v>0.36799999999999999</v>
      </c>
      <c r="E102" s="119">
        <f>E73</f>
        <v>538.72</v>
      </c>
    </row>
    <row r="103" spans="1:5" ht="15" customHeight="1" x14ac:dyDescent="0.2">
      <c r="A103" s="13" t="s">
        <v>83</v>
      </c>
      <c r="B103" s="225" t="s">
        <v>67</v>
      </c>
      <c r="C103" s="225"/>
      <c r="D103" s="135">
        <f>D86</f>
        <v>0.22159999999999999</v>
      </c>
      <c r="E103" s="119">
        <f>E86</f>
        <v>324.39999999999998</v>
      </c>
    </row>
    <row r="104" spans="1:5" ht="15" customHeight="1" x14ac:dyDescent="0.2">
      <c r="A104" s="13" t="s">
        <v>84</v>
      </c>
      <c r="B104" s="225" t="s">
        <v>75</v>
      </c>
      <c r="C104" s="225"/>
      <c r="D104" s="135">
        <f>D93</f>
        <v>6.7199999999999996E-2</v>
      </c>
      <c r="E104" s="119">
        <f>E93</f>
        <v>98.37</v>
      </c>
    </row>
    <row r="105" spans="1:5" ht="15" customHeight="1" x14ac:dyDescent="0.2">
      <c r="A105" s="13" t="s">
        <v>85</v>
      </c>
      <c r="B105" s="225" t="s">
        <v>79</v>
      </c>
      <c r="C105" s="225"/>
      <c r="D105" s="135">
        <f>D98</f>
        <v>8.0399999999999999E-2</v>
      </c>
      <c r="E105" s="119">
        <f>E98</f>
        <v>117.7</v>
      </c>
    </row>
    <row r="106" spans="1:5" ht="15" customHeight="1" x14ac:dyDescent="0.2">
      <c r="A106" s="13" t="s">
        <v>86</v>
      </c>
      <c r="B106" s="224" t="s">
        <v>38</v>
      </c>
      <c r="C106" s="224"/>
      <c r="D106" s="136" t="s">
        <v>87</v>
      </c>
      <c r="E106" s="119">
        <v>0</v>
      </c>
    </row>
    <row r="107" spans="1:5" ht="15" customHeight="1" x14ac:dyDescent="0.2">
      <c r="A107" s="226" t="s">
        <v>64</v>
      </c>
      <c r="B107" s="226"/>
      <c r="C107" s="226"/>
      <c r="D107" s="126">
        <f>SUM(D102:D106)</f>
        <v>0.73719999999999997</v>
      </c>
      <c r="E107" s="127">
        <f>SUM(E102:E106)</f>
        <v>1079.19</v>
      </c>
    </row>
    <row r="108" spans="1:5" ht="15" customHeight="1" x14ac:dyDescent="0.2">
      <c r="A108" s="229"/>
      <c r="B108" s="229"/>
      <c r="C108" s="229"/>
      <c r="D108" s="229"/>
      <c r="E108" s="229"/>
    </row>
    <row r="109" spans="1:5" ht="15" customHeight="1" x14ac:dyDescent="0.2">
      <c r="A109" s="230" t="s">
        <v>88</v>
      </c>
      <c r="B109" s="230"/>
      <c r="C109" s="230"/>
      <c r="D109" s="230"/>
      <c r="E109" s="230"/>
    </row>
    <row r="110" spans="1:5" ht="15" customHeight="1" x14ac:dyDescent="0.2">
      <c r="A110" s="137">
        <v>5</v>
      </c>
      <c r="B110" s="228" t="s">
        <v>89</v>
      </c>
      <c r="C110" s="228"/>
      <c r="D110" s="138" t="s">
        <v>55</v>
      </c>
      <c r="E110" s="117" t="s">
        <v>27</v>
      </c>
    </row>
    <row r="111" spans="1:5" ht="15" customHeight="1" x14ac:dyDescent="0.2">
      <c r="A111" s="243" t="s">
        <v>0</v>
      </c>
      <c r="B111" s="237" t="s">
        <v>199</v>
      </c>
      <c r="C111" s="238"/>
      <c r="D111" s="234">
        <f>Servente!D114</f>
        <v>0.03</v>
      </c>
      <c r="E111" s="231">
        <f>D111*(E40+E50+E59+E107)</f>
        <v>85.69</v>
      </c>
    </row>
    <row r="112" spans="1:5" ht="15" customHeight="1" x14ac:dyDescent="0.2">
      <c r="A112" s="244"/>
      <c r="B112" s="239"/>
      <c r="C112" s="240"/>
      <c r="D112" s="235"/>
      <c r="E112" s="232"/>
    </row>
    <row r="113" spans="1:7" x14ac:dyDescent="0.2">
      <c r="A113" s="245"/>
      <c r="B113" s="241"/>
      <c r="C113" s="242"/>
      <c r="D113" s="236"/>
      <c r="E113" s="233"/>
    </row>
    <row r="114" spans="1:7" ht="15" customHeight="1" x14ac:dyDescent="0.2">
      <c r="A114" s="13" t="s">
        <v>1</v>
      </c>
      <c r="B114" s="225" t="s">
        <v>90</v>
      </c>
      <c r="C114" s="225"/>
      <c r="D114" s="139">
        <f>Servente!D117</f>
        <v>3.6499999999999998E-2</v>
      </c>
      <c r="E114" s="140">
        <f>E137</f>
        <v>124.4</v>
      </c>
      <c r="F114" s="19"/>
      <c r="G114" s="141"/>
    </row>
    <row r="115" spans="1:7" ht="15" customHeight="1" x14ac:dyDescent="0.2">
      <c r="A115" s="13" t="s">
        <v>4</v>
      </c>
      <c r="B115" s="225" t="s">
        <v>91</v>
      </c>
      <c r="C115" s="225"/>
      <c r="D115" s="139">
        <f>Servente!D118</f>
        <v>0.05</v>
      </c>
      <c r="E115" s="140">
        <f>E138</f>
        <v>170.41</v>
      </c>
      <c r="F115" s="19"/>
      <c r="G115" s="141"/>
    </row>
    <row r="116" spans="1:7" ht="15" customHeight="1" x14ac:dyDescent="0.2">
      <c r="A116" s="13" t="s">
        <v>6</v>
      </c>
      <c r="B116" s="225" t="s">
        <v>92</v>
      </c>
      <c r="C116" s="225"/>
      <c r="D116" s="139">
        <f>Servente!D119</f>
        <v>0.06</v>
      </c>
      <c r="E116" s="140">
        <f>D116*(E40+E50+E59+E107)</f>
        <v>171.38</v>
      </c>
    </row>
    <row r="117" spans="1:7" ht="15" customHeight="1" x14ac:dyDescent="0.2">
      <c r="A117" s="226" t="s">
        <v>64</v>
      </c>
      <c r="B117" s="226"/>
      <c r="C117" s="226"/>
      <c r="D117" s="126">
        <f>SUM(D111:D116)</f>
        <v>0.17649999999999999</v>
      </c>
      <c r="E117" s="142">
        <f>SUM(E111:E116)</f>
        <v>551.88</v>
      </c>
      <c r="F117" s="143">
        <f>SUM(D112:D115)</f>
        <v>8.6499999999999994E-2</v>
      </c>
      <c r="G117" s="141" t="e">
        <f>SUM(E129+#REF!+E116)/(1-F117)</f>
        <v>#REF!</v>
      </c>
    </row>
    <row r="118" spans="1:7" ht="15" customHeight="1" x14ac:dyDescent="0.2">
      <c r="A118" s="221" t="s">
        <v>113</v>
      </c>
      <c r="B118" s="221"/>
      <c r="C118" s="221"/>
      <c r="D118" s="221"/>
      <c r="E118" s="221"/>
      <c r="F118" s="19"/>
      <c r="G118" s="141"/>
    </row>
    <row r="119" spans="1:7" ht="15" customHeight="1" x14ac:dyDescent="0.2">
      <c r="A119" s="222" t="s">
        <v>93</v>
      </c>
      <c r="B119" s="222"/>
      <c r="C119" s="222"/>
      <c r="D119" s="222"/>
      <c r="E119" s="222"/>
      <c r="F119" s="19"/>
      <c r="G119" s="141"/>
    </row>
    <row r="120" spans="1:7" ht="15" customHeight="1" x14ac:dyDescent="0.2">
      <c r="A120" s="144"/>
      <c r="B120" s="144"/>
      <c r="C120" s="144"/>
      <c r="D120" s="144"/>
      <c r="E120" s="144"/>
      <c r="F120" s="19"/>
      <c r="G120" s="141"/>
    </row>
    <row r="121" spans="1:7" ht="15" customHeight="1" x14ac:dyDescent="0.2">
      <c r="A121" s="184" t="s">
        <v>94</v>
      </c>
      <c r="B121" s="184"/>
      <c r="C121" s="184"/>
      <c r="D121" s="184"/>
      <c r="E121" s="184"/>
      <c r="F121" s="19"/>
      <c r="G121" s="141"/>
    </row>
    <row r="122" spans="1:7" ht="15" customHeight="1" x14ac:dyDescent="0.2">
      <c r="A122" s="178" t="s">
        <v>95</v>
      </c>
      <c r="B122" s="178"/>
      <c r="C122" s="178"/>
      <c r="D122" s="178"/>
      <c r="E122" s="178"/>
      <c r="F122" s="19"/>
      <c r="G122" s="141"/>
    </row>
    <row r="123" spans="1:7" ht="15" customHeight="1" x14ac:dyDescent="0.2">
      <c r="A123" s="4"/>
      <c r="B123" s="4"/>
      <c r="C123" s="4"/>
      <c r="D123" s="4"/>
      <c r="E123" s="4"/>
      <c r="F123" s="19"/>
      <c r="G123" s="141"/>
    </row>
    <row r="124" spans="1:7" ht="15" customHeight="1" x14ac:dyDescent="0.2">
      <c r="A124" s="223" t="s">
        <v>96</v>
      </c>
      <c r="B124" s="223"/>
      <c r="C124" s="223"/>
      <c r="D124" s="223"/>
      <c r="E124" s="117" t="s">
        <v>27</v>
      </c>
    </row>
    <row r="125" spans="1:7" ht="15" customHeight="1" x14ac:dyDescent="0.2">
      <c r="A125" s="145" t="s">
        <v>0</v>
      </c>
      <c r="B125" s="224" t="s">
        <v>97</v>
      </c>
      <c r="C125" s="224"/>
      <c r="D125" s="224"/>
      <c r="E125" s="146">
        <f>E40</f>
        <v>1463.88</v>
      </c>
    </row>
    <row r="126" spans="1:7" ht="15" customHeight="1" x14ac:dyDescent="0.2">
      <c r="A126" s="145" t="s">
        <v>1</v>
      </c>
      <c r="B126" s="224" t="s">
        <v>98</v>
      </c>
      <c r="C126" s="224"/>
      <c r="D126" s="224"/>
      <c r="E126" s="146">
        <f>E50</f>
        <v>305.95999999999998</v>
      </c>
    </row>
    <row r="127" spans="1:7" ht="15" customHeight="1" x14ac:dyDescent="0.2">
      <c r="A127" s="145" t="s">
        <v>4</v>
      </c>
      <c r="B127" s="225" t="s">
        <v>99</v>
      </c>
      <c r="C127" s="225"/>
      <c r="D127" s="225"/>
      <c r="E127" s="146">
        <f>E59</f>
        <v>7.33</v>
      </c>
    </row>
    <row r="128" spans="1:7" ht="15" customHeight="1" x14ac:dyDescent="0.2">
      <c r="A128" s="145" t="s">
        <v>6</v>
      </c>
      <c r="B128" s="224" t="s">
        <v>100</v>
      </c>
      <c r="C128" s="224"/>
      <c r="D128" s="224"/>
      <c r="E128" s="146">
        <f>E107</f>
        <v>1079.19</v>
      </c>
    </row>
    <row r="129" spans="1:5" ht="15" customHeight="1" x14ac:dyDescent="0.2">
      <c r="A129" s="226" t="s">
        <v>101</v>
      </c>
      <c r="B129" s="226"/>
      <c r="C129" s="226"/>
      <c r="D129" s="226"/>
      <c r="E129" s="147">
        <f>SUM(E125:E128)</f>
        <v>2856.36</v>
      </c>
    </row>
    <row r="130" spans="1:5" ht="15" customHeight="1" x14ac:dyDescent="0.2">
      <c r="A130" s="145" t="s">
        <v>31</v>
      </c>
      <c r="B130" s="224" t="s">
        <v>102</v>
      </c>
      <c r="C130" s="224"/>
      <c r="D130" s="224"/>
      <c r="E130" s="140">
        <f>E117</f>
        <v>551.88</v>
      </c>
    </row>
    <row r="131" spans="1:5" ht="15" customHeight="1" x14ac:dyDescent="0.2">
      <c r="A131" s="226" t="s">
        <v>116</v>
      </c>
      <c r="B131" s="226"/>
      <c r="C131" s="226"/>
      <c r="D131" s="226"/>
      <c r="E131" s="148">
        <f>E129+E130</f>
        <v>3408.24</v>
      </c>
    </row>
    <row r="132" spans="1:5" ht="15" customHeight="1" x14ac:dyDescent="0.2">
      <c r="B132" s="3"/>
      <c r="C132" s="3"/>
      <c r="D132" s="3"/>
      <c r="E132" s="150"/>
    </row>
    <row r="133" spans="1:5" ht="15" customHeight="1" x14ac:dyDescent="0.2">
      <c r="B133" s="3"/>
      <c r="C133" s="3"/>
      <c r="D133" s="3"/>
      <c r="E133" s="3"/>
    </row>
    <row r="134" spans="1:5" ht="15" customHeight="1" x14ac:dyDescent="0.2">
      <c r="B134" s="227" t="s">
        <v>216</v>
      </c>
      <c r="C134" s="227"/>
      <c r="D134" s="227"/>
      <c r="E134" s="151">
        <f>E40+E50+E59+E107+E111+E112+E113+E116</f>
        <v>3113.43</v>
      </c>
    </row>
    <row r="135" spans="1:5" ht="15" customHeight="1" x14ac:dyDescent="0.2">
      <c r="B135" s="227" t="s">
        <v>103</v>
      </c>
      <c r="C135" s="227"/>
      <c r="D135" s="227"/>
      <c r="E135" s="152">
        <f>E134/(1-0.0865)</f>
        <v>3408.24</v>
      </c>
    </row>
    <row r="136" spans="1:5" ht="15" customHeight="1" x14ac:dyDescent="0.2">
      <c r="B136" s="227" t="s">
        <v>104</v>
      </c>
      <c r="C136" s="227"/>
      <c r="D136" s="227"/>
      <c r="E136" s="152">
        <f>E135-E134</f>
        <v>294.81</v>
      </c>
    </row>
    <row r="137" spans="1:5" ht="15" customHeight="1" x14ac:dyDescent="0.2">
      <c r="B137" s="220" t="s">
        <v>105</v>
      </c>
      <c r="C137" s="220"/>
      <c r="D137" s="220"/>
      <c r="E137" s="153">
        <f>(3.65/8.65)*E136</f>
        <v>124.4</v>
      </c>
    </row>
    <row r="138" spans="1:5" ht="15" customHeight="1" x14ac:dyDescent="0.2">
      <c r="B138" s="220" t="s">
        <v>106</v>
      </c>
      <c r="C138" s="220"/>
      <c r="D138" s="220"/>
      <c r="E138" s="154">
        <f>(5/8.65)*E136</f>
        <v>170.41</v>
      </c>
    </row>
  </sheetData>
  <mergeCells count="128">
    <mergeCell ref="B8:D8"/>
    <mergeCell ref="B9:D9"/>
    <mergeCell ref="B10:D10"/>
    <mergeCell ref="A12:E12"/>
    <mergeCell ref="A13:E13"/>
    <mergeCell ref="A14:B15"/>
    <mergeCell ref="C14:C15"/>
    <mergeCell ref="D14:E15"/>
    <mergeCell ref="A3:E3"/>
    <mergeCell ref="A5:E5"/>
    <mergeCell ref="A4:E4"/>
    <mergeCell ref="A16:B16"/>
    <mergeCell ref="D16:E16"/>
    <mergeCell ref="A18:E18"/>
    <mergeCell ref="A19:E19"/>
    <mergeCell ref="A21:B21"/>
    <mergeCell ref="A22:E22"/>
    <mergeCell ref="A23:E23"/>
    <mergeCell ref="B24:D24"/>
    <mergeCell ref="B25:D25"/>
    <mergeCell ref="B26:D26"/>
    <mergeCell ref="B27:D27"/>
    <mergeCell ref="A28:E28"/>
    <mergeCell ref="A30:E30"/>
    <mergeCell ref="B31:D31"/>
    <mergeCell ref="B33:D33"/>
    <mergeCell ref="B34:D34"/>
    <mergeCell ref="B35:D35"/>
    <mergeCell ref="C32:D32"/>
    <mergeCell ref="B36:D36"/>
    <mergeCell ref="B37:D37"/>
    <mergeCell ref="B38:D38"/>
    <mergeCell ref="B39:D39"/>
    <mergeCell ref="A40:D40"/>
    <mergeCell ref="A41:E41"/>
    <mergeCell ref="A42:E42"/>
    <mergeCell ref="B43:D43"/>
    <mergeCell ref="B44:D44"/>
    <mergeCell ref="B45:D45"/>
    <mergeCell ref="B46:D46"/>
    <mergeCell ref="B47:D47"/>
    <mergeCell ref="B48:D48"/>
    <mergeCell ref="B49:D49"/>
    <mergeCell ref="A50:D50"/>
    <mergeCell ref="A51:E51"/>
    <mergeCell ref="A53:E53"/>
    <mergeCell ref="B54:D54"/>
    <mergeCell ref="A52:E52"/>
    <mergeCell ref="B55:D55"/>
    <mergeCell ref="B56:D56"/>
    <mergeCell ref="B57:D57"/>
    <mergeCell ref="B58:D58"/>
    <mergeCell ref="A59:D59"/>
    <mergeCell ref="A60:E60"/>
    <mergeCell ref="A61:E61"/>
    <mergeCell ref="A62:E62"/>
    <mergeCell ref="A63:E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A73:C73"/>
    <mergeCell ref="A74:E74"/>
    <mergeCell ref="A75:E75"/>
    <mergeCell ref="A76:E76"/>
    <mergeCell ref="A77:E77"/>
    <mergeCell ref="B78:C78"/>
    <mergeCell ref="B79:C79"/>
    <mergeCell ref="B80:C80"/>
    <mergeCell ref="B81:C81"/>
    <mergeCell ref="B82:C82"/>
    <mergeCell ref="B83:C83"/>
    <mergeCell ref="B84:C84"/>
    <mergeCell ref="B85:C85"/>
    <mergeCell ref="A86:C86"/>
    <mergeCell ref="A87:E87"/>
    <mergeCell ref="A88:E88"/>
    <mergeCell ref="B89:C89"/>
    <mergeCell ref="B90:C90"/>
    <mergeCell ref="B91:C91"/>
    <mergeCell ref="B92:C92"/>
    <mergeCell ref="A93:C93"/>
    <mergeCell ref="A95:E95"/>
    <mergeCell ref="B96:C96"/>
    <mergeCell ref="B97:C97"/>
    <mergeCell ref="A98:C98"/>
    <mergeCell ref="A99:E99"/>
    <mergeCell ref="A100:E100"/>
    <mergeCell ref="B110:C110"/>
    <mergeCell ref="B114:C114"/>
    <mergeCell ref="B115:C115"/>
    <mergeCell ref="B116:C116"/>
    <mergeCell ref="A117:C117"/>
    <mergeCell ref="A129:D129"/>
    <mergeCell ref="B101:C101"/>
    <mergeCell ref="B102:C102"/>
    <mergeCell ref="B103:C103"/>
    <mergeCell ref="B104:C104"/>
    <mergeCell ref="B105:C105"/>
    <mergeCell ref="B106:C106"/>
    <mergeCell ref="A107:C107"/>
    <mergeCell ref="A108:E108"/>
    <mergeCell ref="A109:E109"/>
    <mergeCell ref="E111:E113"/>
    <mergeCell ref="D111:D113"/>
    <mergeCell ref="B111:C113"/>
    <mergeCell ref="A111:A113"/>
    <mergeCell ref="B137:D137"/>
    <mergeCell ref="B138:D138"/>
    <mergeCell ref="A118:E118"/>
    <mergeCell ref="A119:E119"/>
    <mergeCell ref="A121:E121"/>
    <mergeCell ref="A122:E122"/>
    <mergeCell ref="A124:D124"/>
    <mergeCell ref="B125:D125"/>
    <mergeCell ref="B126:D126"/>
    <mergeCell ref="B127:D127"/>
    <mergeCell ref="B128:D128"/>
    <mergeCell ref="B130:D130"/>
    <mergeCell ref="A131:D131"/>
    <mergeCell ref="B134:D134"/>
    <mergeCell ref="B135:D135"/>
    <mergeCell ref="B136:D136"/>
  </mergeCells>
  <printOptions horizontalCentered="1"/>
  <pageMargins left="0.78740157480314965" right="0.78740157480314965" top="0.78740157480314965" bottom="0.78740157480314965" header="0.51181102362204722" footer="0.59055118110236227"/>
  <pageSetup paperSize="9" scale="90" firstPageNumber="0" orientation="portrait" verticalDpi="597" r:id="rId1"/>
  <headerFooter>
    <oddHeader>&amp;Rfls._____________________
Proc.59530.001669/2017-20
_______________________
3ªGRD/UEP</oddHeader>
    <oddFooter>&amp;LParecer de Custos nº15/2018
Proc.59530.001669/2017-20&amp;C3ªGRD/UEP
CODEVASF&amp;R&amp;P de &amp;N</oddFooter>
  </headerFooter>
  <rowBreaks count="3" manualBreakCount="3">
    <brk id="17" max="16383" man="1"/>
    <brk id="61" max="16383" man="1"/>
    <brk id="99" max="16383" man="1"/>
  </rowBreaks>
  <drawing r:id="rId2"/>
  <legacyDrawing r:id="rId3"/>
  <oleObjects>
    <mc:AlternateContent xmlns:mc="http://schemas.openxmlformats.org/markup-compatibility/2006">
      <mc:Choice Requires="x14">
        <oleObject shapeId="3074" r:id="rId4">
          <objectPr defaultSize="0" autoPict="0" r:id="rId5">
            <anchor moveWithCells="1" sizeWithCells="1">
              <from>
                <xdr:col>0</xdr:col>
                <xdr:colOff>38100</xdr:colOff>
                <xdr:row>0</xdr:row>
                <xdr:rowOff>38100</xdr:rowOff>
              </from>
              <to>
                <xdr:col>1</xdr:col>
                <xdr:colOff>1438275</xdr:colOff>
                <xdr:row>2</xdr:row>
                <xdr:rowOff>171450</xdr:rowOff>
              </to>
            </anchor>
          </objectPr>
        </oleObject>
      </mc:Choice>
      <mc:Fallback>
        <oleObject shapeId="3074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40"/>
  <sheetViews>
    <sheetView showGridLines="0" topLeftCell="A125" zoomScaleNormal="100" workbookViewId="0">
      <selection activeCell="B157" sqref="B157"/>
    </sheetView>
  </sheetViews>
  <sheetFormatPr defaultRowHeight="12.75" x14ac:dyDescent="0.2"/>
  <cols>
    <col min="1" max="1" width="4.7109375" style="149"/>
    <col min="2" max="2" width="26.85546875" style="149" customWidth="1"/>
    <col min="3" max="3" width="25.7109375" style="149" customWidth="1"/>
    <col min="4" max="4" width="12.85546875" style="149" customWidth="1"/>
    <col min="5" max="5" width="21.7109375" style="155" customWidth="1"/>
    <col min="6" max="7" width="0" style="3" hidden="1"/>
    <col min="8" max="8" width="9.5703125" style="3"/>
    <col min="9" max="9" width="9.140625" style="3" bestFit="1"/>
    <col min="10" max="14" width="8.7109375" style="3"/>
    <col min="15" max="15" width="10.28515625" style="3" customWidth="1"/>
    <col min="16" max="16" width="14.42578125" style="3" customWidth="1"/>
    <col min="17" max="17" width="12.7109375" style="3" customWidth="1"/>
    <col min="18" max="18" width="8.7109375" style="3"/>
    <col min="19" max="19" width="12" style="36" customWidth="1"/>
    <col min="20" max="20" width="11.5703125" style="3" customWidth="1"/>
    <col min="21" max="21" width="14.42578125" style="3" customWidth="1"/>
    <col min="22" max="22" width="10.7109375" style="3" customWidth="1"/>
    <col min="23" max="1020" width="8.7109375" style="3"/>
    <col min="1021" max="16384" width="9.140625" style="3"/>
  </cols>
  <sheetData>
    <row r="1" spans="1:22" ht="15" customHeight="1" x14ac:dyDescent="0.3">
      <c r="A1" s="2"/>
      <c r="B1" s="2"/>
      <c r="C1" s="2"/>
      <c r="D1" s="2"/>
      <c r="E1" s="2"/>
    </row>
    <row r="2" spans="1:22" ht="15" customHeight="1" x14ac:dyDescent="0.3">
      <c r="A2" s="2"/>
      <c r="B2" s="2"/>
      <c r="C2" s="2"/>
      <c r="D2" s="2"/>
      <c r="E2" s="2"/>
    </row>
    <row r="3" spans="1:22" ht="15" customHeight="1" x14ac:dyDescent="0.2">
      <c r="A3" s="173" t="s">
        <v>193</v>
      </c>
      <c r="B3" s="173"/>
      <c r="C3" s="173"/>
      <c r="D3" s="173"/>
      <c r="E3" s="173"/>
    </row>
    <row r="4" spans="1:22" ht="15" customHeight="1" x14ac:dyDescent="0.2">
      <c r="A4" s="173" t="s">
        <v>194</v>
      </c>
      <c r="B4" s="173"/>
      <c r="C4" s="173"/>
      <c r="D4" s="173"/>
      <c r="E4" s="173"/>
    </row>
    <row r="5" spans="1:22" ht="15" customHeight="1" x14ac:dyDescent="0.2">
      <c r="A5" s="173" t="s">
        <v>195</v>
      </c>
      <c r="B5" s="173"/>
      <c r="C5" s="173"/>
      <c r="D5" s="173"/>
      <c r="E5" s="173"/>
    </row>
    <row r="6" spans="1:22" ht="15" customHeight="1" x14ac:dyDescent="0.2">
      <c r="A6" s="184"/>
      <c r="B6" s="184"/>
      <c r="C6" s="184"/>
      <c r="D6" s="184"/>
      <c r="E6" s="184"/>
    </row>
    <row r="8" spans="1:22" ht="15" customHeight="1" x14ac:dyDescent="0.2">
      <c r="A8" s="7" t="s">
        <v>0</v>
      </c>
      <c r="B8" s="262" t="s">
        <v>2</v>
      </c>
      <c r="C8" s="262"/>
      <c r="D8" s="262"/>
      <c r="E8" s="7" t="s">
        <v>3</v>
      </c>
    </row>
    <row r="9" spans="1:22" ht="15" customHeight="1" x14ac:dyDescent="0.2">
      <c r="A9" s="7" t="s">
        <v>1</v>
      </c>
      <c r="B9" s="225" t="s">
        <v>5</v>
      </c>
      <c r="C9" s="225"/>
      <c r="D9" s="225"/>
      <c r="E9" s="7">
        <v>2018</v>
      </c>
    </row>
    <row r="10" spans="1:22" ht="15" customHeight="1" x14ac:dyDescent="0.2">
      <c r="A10" s="7" t="s">
        <v>4</v>
      </c>
      <c r="B10" s="225" t="s">
        <v>7</v>
      </c>
      <c r="C10" s="225"/>
      <c r="D10" s="225"/>
      <c r="E10" s="7" t="s">
        <v>8</v>
      </c>
    </row>
    <row r="11" spans="1:22" ht="15" customHeight="1" x14ac:dyDescent="0.2">
      <c r="A11" s="100"/>
      <c r="B11" s="101"/>
      <c r="C11" s="101"/>
      <c r="D11" s="101"/>
      <c r="E11" s="100"/>
    </row>
    <row r="12" spans="1:22" ht="15" customHeight="1" x14ac:dyDescent="0.2">
      <c r="A12" s="275"/>
      <c r="B12" s="275"/>
      <c r="C12" s="275"/>
      <c r="D12" s="275"/>
      <c r="E12" s="275"/>
      <c r="S12" s="156">
        <f>E134</f>
        <v>2848.44</v>
      </c>
      <c r="U12" s="3">
        <f>[1]Encarregado!E131</f>
        <v>3801.24</v>
      </c>
    </row>
    <row r="13" spans="1:22" ht="15" customHeight="1" x14ac:dyDescent="0.2">
      <c r="A13" s="184" t="s">
        <v>9</v>
      </c>
      <c r="B13" s="184"/>
      <c r="C13" s="184"/>
      <c r="D13" s="184"/>
      <c r="E13" s="184"/>
      <c r="S13" s="268" t="s">
        <v>211</v>
      </c>
      <c r="T13" s="268"/>
      <c r="U13" s="268" t="s">
        <v>212</v>
      </c>
      <c r="V13" s="268"/>
    </row>
    <row r="14" spans="1:22" ht="15" customHeight="1" x14ac:dyDescent="0.2">
      <c r="A14" s="267" t="s">
        <v>10</v>
      </c>
      <c r="B14" s="267"/>
      <c r="C14" s="182" t="s">
        <v>11</v>
      </c>
      <c r="D14" s="182" t="s">
        <v>12</v>
      </c>
      <c r="E14" s="182"/>
      <c r="S14" s="36" t="s">
        <v>213</v>
      </c>
      <c r="T14" s="3" t="s">
        <v>214</v>
      </c>
      <c r="U14" s="3" t="s">
        <v>213</v>
      </c>
      <c r="V14" s="3" t="s">
        <v>214</v>
      </c>
    </row>
    <row r="15" spans="1:22" ht="21" customHeight="1" x14ac:dyDescent="0.2">
      <c r="A15" s="267"/>
      <c r="B15" s="267"/>
      <c r="C15" s="182"/>
      <c r="D15" s="182"/>
      <c r="E15" s="182"/>
      <c r="O15" s="3" t="s">
        <v>215</v>
      </c>
      <c r="P15" s="157">
        <f>D16+D17+D18</f>
        <v>220215.78</v>
      </c>
      <c r="Q15" s="157">
        <f>D16</f>
        <v>2404.3000000000002</v>
      </c>
      <c r="R15" s="158">
        <f>Q15/$P$15</f>
        <v>1.09E-2</v>
      </c>
      <c r="S15" s="159">
        <f>(R15*$E$134)/10</f>
        <v>3.1</v>
      </c>
      <c r="T15" s="63">
        <f>S15/R15</f>
        <v>284.39999999999998</v>
      </c>
      <c r="U15" s="63">
        <f>(R15*[1]Encarregado!$E$131)</f>
        <v>41.43</v>
      </c>
      <c r="V15" s="63">
        <f>$U$12/U15</f>
        <v>91.75</v>
      </c>
    </row>
    <row r="16" spans="1:22" ht="15" customHeight="1" x14ac:dyDescent="0.2">
      <c r="A16" s="160" t="s">
        <v>107</v>
      </c>
      <c r="B16" s="160"/>
      <c r="C16" s="102" t="s">
        <v>108</v>
      </c>
      <c r="D16" s="271">
        <v>2404.3000000000002</v>
      </c>
      <c r="E16" s="272"/>
      <c r="I16" s="161">
        <f>D16/3</f>
        <v>801.43</v>
      </c>
      <c r="K16" s="3">
        <f>801</f>
        <v>801</v>
      </c>
      <c r="L16" s="3">
        <f>D16/K16</f>
        <v>3.0016229712858902</v>
      </c>
      <c r="Q16" s="157">
        <f>D17</f>
        <v>217761.15</v>
      </c>
      <c r="R16" s="158">
        <f>Q16/$P$15</f>
        <v>0.9889</v>
      </c>
      <c r="S16" s="159">
        <f>(R16*$E$134)/10</f>
        <v>281.68</v>
      </c>
      <c r="T16" s="63">
        <f>$S$12/S16</f>
        <v>10.11</v>
      </c>
      <c r="U16" s="63">
        <f>(R16*U12)</f>
        <v>3759.05</v>
      </c>
      <c r="V16" s="63">
        <f>$U$12/U16</f>
        <v>1.01</v>
      </c>
    </row>
    <row r="17" spans="1:22" ht="15" customHeight="1" x14ac:dyDescent="0.2">
      <c r="A17" s="273" t="s">
        <v>109</v>
      </c>
      <c r="B17" s="273"/>
      <c r="C17" s="102" t="s">
        <v>108</v>
      </c>
      <c r="D17" s="271">
        <v>217761.15</v>
      </c>
      <c r="E17" s="272"/>
      <c r="I17" s="161">
        <f>D17/7</f>
        <v>31108.74</v>
      </c>
      <c r="K17" s="3">
        <v>31110</v>
      </c>
      <c r="L17" s="3">
        <f>D17/K17</f>
        <v>6.9997155255544801</v>
      </c>
      <c r="Q17" s="157">
        <f>D18</f>
        <v>50.33</v>
      </c>
      <c r="R17" s="158">
        <f>Q17/$P$15</f>
        <v>2.0000000000000001E-4</v>
      </c>
      <c r="S17" s="159">
        <f>(R17*$E$134)/10</f>
        <v>0.06</v>
      </c>
      <c r="T17" s="63">
        <f>$S$12/S17</f>
        <v>47474</v>
      </c>
      <c r="U17" s="63">
        <f>(R17*[1]Encarregado!$E$131)</f>
        <v>0.76</v>
      </c>
      <c r="V17" s="63">
        <f>$U$12/U17</f>
        <v>5001.63</v>
      </c>
    </row>
    <row r="18" spans="1:22" ht="15" customHeight="1" x14ac:dyDescent="0.2">
      <c r="A18" s="273" t="s">
        <v>110</v>
      </c>
      <c r="B18" s="273"/>
      <c r="C18" s="102" t="s">
        <v>108</v>
      </c>
      <c r="D18" s="271">
        <v>50.33</v>
      </c>
      <c r="E18" s="272"/>
      <c r="I18" s="161">
        <f>200/1</f>
        <v>200</v>
      </c>
      <c r="K18" s="3">
        <f>1/200</f>
        <v>5.0000000000000001E-3</v>
      </c>
      <c r="L18" s="3">
        <f>1/200</f>
        <v>5.0000000000000001E-3</v>
      </c>
      <c r="S18" s="159">
        <f>(R18*$E$134)/10</f>
        <v>0</v>
      </c>
      <c r="T18" s="63"/>
    </row>
    <row r="19" spans="1:22" s="104" customFormat="1" ht="15" customHeight="1" x14ac:dyDescent="0.2">
      <c r="A19" s="101"/>
      <c r="B19" s="101"/>
      <c r="C19" s="100"/>
      <c r="D19" s="103"/>
      <c r="E19" s="103"/>
      <c r="L19" s="104">
        <f>SUM(L16:L18)</f>
        <v>10.006338496840399</v>
      </c>
      <c r="S19" s="162"/>
    </row>
    <row r="20" spans="1:22" ht="15" customHeight="1" x14ac:dyDescent="0.2">
      <c r="A20" s="184" t="s">
        <v>14</v>
      </c>
      <c r="B20" s="184"/>
      <c r="C20" s="184"/>
      <c r="D20" s="184"/>
      <c r="E20" s="184"/>
    </row>
    <row r="21" spans="1:22" ht="15" customHeight="1" x14ac:dyDescent="0.2">
      <c r="A21" s="178" t="s">
        <v>15</v>
      </c>
      <c r="B21" s="178"/>
      <c r="C21" s="178"/>
      <c r="D21" s="178"/>
      <c r="E21" s="178"/>
    </row>
    <row r="22" spans="1:22" ht="15" customHeight="1" x14ac:dyDescent="0.2">
      <c r="A22" s="105"/>
      <c r="B22" s="105"/>
      <c r="C22" s="105"/>
      <c r="D22" s="105"/>
      <c r="E22" s="105"/>
      <c r="L22" s="3">
        <f>D17/7</f>
        <v>31108.7357142857</v>
      </c>
      <c r="Q22" s="3">
        <f>S12*10</f>
        <v>28484.400000000001</v>
      </c>
    </row>
    <row r="23" spans="1:22" s="108" customFormat="1" ht="35.1" customHeight="1" x14ac:dyDescent="0.2">
      <c r="A23" s="264" t="s">
        <v>16</v>
      </c>
      <c r="B23" s="264"/>
      <c r="C23" s="106"/>
      <c r="D23" s="106"/>
      <c r="E23" s="107"/>
      <c r="Q23" s="108">
        <f>U12</f>
        <v>3801.24</v>
      </c>
    </row>
    <row r="24" spans="1:22" ht="40.5" customHeight="1" x14ac:dyDescent="0.2">
      <c r="A24" s="274" t="s">
        <v>202</v>
      </c>
      <c r="B24" s="274"/>
      <c r="C24" s="274"/>
      <c r="D24" s="274"/>
      <c r="E24" s="274"/>
      <c r="Q24" s="3">
        <f>ROUND((Q23+Q22),2)</f>
        <v>32285.64</v>
      </c>
      <c r="S24" s="163">
        <f>ROUND(($Q$24*R15),2)</f>
        <v>351.91</v>
      </c>
    </row>
    <row r="25" spans="1:22" ht="15" customHeight="1" x14ac:dyDescent="0.2">
      <c r="A25" s="266" t="s">
        <v>17</v>
      </c>
      <c r="B25" s="266"/>
      <c r="C25" s="266"/>
      <c r="D25" s="266"/>
      <c r="E25" s="266"/>
      <c r="S25" s="163">
        <f>ROUND(($Q$24*R16),2)</f>
        <v>31927.27</v>
      </c>
    </row>
    <row r="26" spans="1:22" ht="15" customHeight="1" x14ac:dyDescent="0.2">
      <c r="A26" s="109">
        <v>1</v>
      </c>
      <c r="B26" s="224" t="s">
        <v>18</v>
      </c>
      <c r="C26" s="224"/>
      <c r="D26" s="224" t="s">
        <v>19</v>
      </c>
      <c r="E26" s="110" t="s">
        <v>20</v>
      </c>
      <c r="K26" s="3">
        <f>1/200</f>
        <v>5.0000000000000001E-3</v>
      </c>
      <c r="S26" s="163">
        <f>ROUND(($Q$24*R17),2)</f>
        <v>6.46</v>
      </c>
    </row>
    <row r="27" spans="1:22" ht="17.25" customHeight="1" x14ac:dyDescent="0.2">
      <c r="A27" s="109">
        <v>2</v>
      </c>
      <c r="B27" s="224" t="s">
        <v>21</v>
      </c>
      <c r="C27" s="224"/>
      <c r="D27" s="224">
        <v>2012</v>
      </c>
      <c r="E27" s="111">
        <v>975.92</v>
      </c>
    </row>
    <row r="28" spans="1:22" ht="23.85" customHeight="1" x14ac:dyDescent="0.2">
      <c r="A28" s="112">
        <v>3</v>
      </c>
      <c r="B28" s="224" t="s">
        <v>22</v>
      </c>
      <c r="C28" s="224"/>
      <c r="D28" s="224"/>
      <c r="E28" s="113" t="s">
        <v>111</v>
      </c>
    </row>
    <row r="29" spans="1:22" ht="18.600000000000001" customHeight="1" x14ac:dyDescent="0.2">
      <c r="A29" s="7">
        <v>4</v>
      </c>
      <c r="B29" s="224" t="s">
        <v>23</v>
      </c>
      <c r="C29" s="224"/>
      <c r="D29" s="224"/>
      <c r="E29" s="114">
        <v>43101</v>
      </c>
    </row>
    <row r="30" spans="1:22" ht="29.1" customHeight="1" x14ac:dyDescent="0.2">
      <c r="A30" s="270" t="s">
        <v>24</v>
      </c>
      <c r="B30" s="270"/>
      <c r="C30" s="270"/>
      <c r="D30" s="270"/>
      <c r="E30" s="270"/>
    </row>
    <row r="31" spans="1:22" ht="7.5" customHeight="1" x14ac:dyDescent="0.2">
      <c r="A31" s="115"/>
      <c r="B31" s="115"/>
      <c r="C31" s="115"/>
      <c r="D31" s="115"/>
      <c r="E31" s="115"/>
    </row>
    <row r="32" spans="1:22" ht="11.85" customHeight="1" x14ac:dyDescent="0.2">
      <c r="A32" s="184" t="s">
        <v>25</v>
      </c>
      <c r="B32" s="184"/>
      <c r="C32" s="184"/>
      <c r="D32" s="184"/>
      <c r="E32" s="184"/>
    </row>
    <row r="33" spans="1:5" ht="15" customHeight="1" x14ac:dyDescent="0.2">
      <c r="A33" s="116">
        <v>1</v>
      </c>
      <c r="B33" s="228" t="s">
        <v>26</v>
      </c>
      <c r="C33" s="228"/>
      <c r="D33" s="228"/>
      <c r="E33" s="117" t="s">
        <v>27</v>
      </c>
    </row>
    <row r="34" spans="1:5" ht="15" customHeight="1" x14ac:dyDescent="0.2">
      <c r="A34" s="13" t="s">
        <v>0</v>
      </c>
      <c r="B34" s="225" t="s">
        <v>28</v>
      </c>
      <c r="C34" s="225"/>
      <c r="D34" s="225"/>
      <c r="E34" s="119">
        <f>E27</f>
        <v>975.92</v>
      </c>
    </row>
    <row r="35" spans="1:5" ht="15" customHeight="1" x14ac:dyDescent="0.2">
      <c r="A35" s="13" t="s">
        <v>1</v>
      </c>
      <c r="B35" s="225" t="s">
        <v>29</v>
      </c>
      <c r="C35" s="225"/>
      <c r="D35" s="225"/>
      <c r="E35" s="119"/>
    </row>
    <row r="36" spans="1:5" ht="15" customHeight="1" x14ac:dyDescent="0.2">
      <c r="A36" s="13" t="s">
        <v>4</v>
      </c>
      <c r="B36" s="269" t="s">
        <v>224</v>
      </c>
      <c r="C36" s="269"/>
      <c r="D36" s="269"/>
      <c r="E36" s="119">
        <f>E34*0.2</f>
        <v>195.18</v>
      </c>
    </row>
    <row r="37" spans="1:5" ht="15" customHeight="1" x14ac:dyDescent="0.2">
      <c r="A37" s="13" t="s">
        <v>6</v>
      </c>
      <c r="B37" s="225" t="s">
        <v>30</v>
      </c>
      <c r="C37" s="225"/>
      <c r="D37" s="225"/>
      <c r="E37" s="119"/>
    </row>
    <row r="38" spans="1:5" ht="15" customHeight="1" x14ac:dyDescent="0.2">
      <c r="A38" s="13" t="s">
        <v>31</v>
      </c>
      <c r="B38" s="225" t="s">
        <v>32</v>
      </c>
      <c r="C38" s="225"/>
      <c r="D38" s="225"/>
      <c r="E38" s="119"/>
    </row>
    <row r="39" spans="1:5" ht="15" customHeight="1" x14ac:dyDescent="0.2">
      <c r="A39" s="13" t="s">
        <v>33</v>
      </c>
      <c r="B39" s="225" t="s">
        <v>34</v>
      </c>
      <c r="C39" s="225"/>
      <c r="D39" s="225"/>
      <c r="E39" s="119"/>
    </row>
    <row r="40" spans="1:5" ht="15" customHeight="1" x14ac:dyDescent="0.2">
      <c r="A40" s="13" t="s">
        <v>35</v>
      </c>
      <c r="B40" s="225" t="s">
        <v>36</v>
      </c>
      <c r="C40" s="225"/>
      <c r="D40" s="225"/>
      <c r="E40" s="119"/>
    </row>
    <row r="41" spans="1:5" ht="15" customHeight="1" x14ac:dyDescent="0.2">
      <c r="A41" s="13" t="s">
        <v>37</v>
      </c>
      <c r="B41" s="225" t="s">
        <v>38</v>
      </c>
      <c r="C41" s="225"/>
      <c r="D41" s="225"/>
      <c r="E41" s="119"/>
    </row>
    <row r="42" spans="1:5" ht="15" customHeight="1" x14ac:dyDescent="0.2">
      <c r="A42" s="182" t="s">
        <v>39</v>
      </c>
      <c r="B42" s="182"/>
      <c r="C42" s="182"/>
      <c r="D42" s="182"/>
      <c r="E42" s="120">
        <f>SUM(E34:E41)</f>
        <v>1171.0999999999999</v>
      </c>
    </row>
    <row r="43" spans="1:5" ht="7.5" customHeight="1" x14ac:dyDescent="0.2">
      <c r="A43" s="257"/>
      <c r="B43" s="257"/>
      <c r="C43" s="257"/>
      <c r="D43" s="257"/>
      <c r="E43" s="257"/>
    </row>
    <row r="44" spans="1:5" ht="15" customHeight="1" x14ac:dyDescent="0.2">
      <c r="A44" s="184" t="s">
        <v>40</v>
      </c>
      <c r="B44" s="184"/>
      <c r="C44" s="184"/>
      <c r="D44" s="184"/>
      <c r="E44" s="184"/>
    </row>
    <row r="45" spans="1:5" ht="30" customHeight="1" x14ac:dyDescent="0.2">
      <c r="A45" s="116">
        <v>2</v>
      </c>
      <c r="B45" s="228" t="s">
        <v>41</v>
      </c>
      <c r="C45" s="228"/>
      <c r="D45" s="228"/>
      <c r="E45" s="117" t="s">
        <v>27</v>
      </c>
    </row>
    <row r="46" spans="1:5" ht="30" customHeight="1" x14ac:dyDescent="0.2">
      <c r="A46" s="13" t="s">
        <v>0</v>
      </c>
      <c r="B46" s="246" t="s">
        <v>112</v>
      </c>
      <c r="C46" s="246"/>
      <c r="D46" s="246"/>
      <c r="E46" s="121"/>
    </row>
    <row r="47" spans="1:5" ht="15" customHeight="1" x14ac:dyDescent="0.2">
      <c r="A47" s="13" t="s">
        <v>1</v>
      </c>
      <c r="B47" s="225" t="s">
        <v>42</v>
      </c>
      <c r="C47" s="225"/>
      <c r="D47" s="225"/>
      <c r="E47" s="122">
        <f>(7.08*22)+100</f>
        <v>255.76</v>
      </c>
    </row>
    <row r="48" spans="1:5" ht="15" customHeight="1" x14ac:dyDescent="0.2">
      <c r="A48" s="13" t="s">
        <v>4</v>
      </c>
      <c r="B48" s="225" t="s">
        <v>43</v>
      </c>
      <c r="C48" s="225"/>
      <c r="D48" s="225"/>
      <c r="E48" s="119">
        <v>40.200000000000003</v>
      </c>
    </row>
    <row r="49" spans="1:5" ht="15" customHeight="1" x14ac:dyDescent="0.2">
      <c r="A49" s="13" t="s">
        <v>6</v>
      </c>
      <c r="B49" s="225" t="s">
        <v>44</v>
      </c>
      <c r="C49" s="225"/>
      <c r="D49" s="225"/>
      <c r="E49" s="119"/>
    </row>
    <row r="50" spans="1:5" ht="15" customHeight="1" x14ac:dyDescent="0.2">
      <c r="A50" s="13" t="s">
        <v>31</v>
      </c>
      <c r="B50" s="225" t="s">
        <v>45</v>
      </c>
      <c r="C50" s="225"/>
      <c r="D50" s="225"/>
      <c r="E50" s="119"/>
    </row>
    <row r="51" spans="1:5" ht="21.75" customHeight="1" x14ac:dyDescent="0.2">
      <c r="A51" s="13" t="s">
        <v>33</v>
      </c>
      <c r="B51" s="225" t="s">
        <v>219</v>
      </c>
      <c r="C51" s="225"/>
      <c r="D51" s="225"/>
      <c r="E51" s="119">
        <v>10</v>
      </c>
    </row>
    <row r="52" spans="1:5" ht="15" customHeight="1" x14ac:dyDescent="0.2">
      <c r="A52" s="182" t="s">
        <v>46</v>
      </c>
      <c r="B52" s="182"/>
      <c r="C52" s="182"/>
      <c r="D52" s="182"/>
      <c r="E52" s="120">
        <f>SUM(E46:E51)</f>
        <v>305.95999999999998</v>
      </c>
    </row>
    <row r="53" spans="1:5" ht="26.1" customHeight="1" x14ac:dyDescent="0.2">
      <c r="A53" s="253" t="s">
        <v>203</v>
      </c>
      <c r="B53" s="254"/>
      <c r="C53" s="254"/>
      <c r="D53" s="254"/>
      <c r="E53" s="254"/>
    </row>
    <row r="54" spans="1:5" ht="26.1" customHeight="1" x14ac:dyDescent="0.2">
      <c r="A54" s="255" t="s">
        <v>204</v>
      </c>
      <c r="B54" s="256"/>
      <c r="C54" s="256"/>
      <c r="D54" s="256"/>
      <c r="E54" s="256"/>
    </row>
    <row r="55" spans="1:5" x14ac:dyDescent="0.2">
      <c r="A55" s="164"/>
      <c r="B55" s="165"/>
      <c r="C55" s="165"/>
      <c r="D55" s="165"/>
      <c r="E55" s="165"/>
    </row>
    <row r="56" spans="1:5" ht="15" customHeight="1" x14ac:dyDescent="0.2">
      <c r="A56" s="184" t="s">
        <v>47</v>
      </c>
      <c r="B56" s="184"/>
      <c r="C56" s="184"/>
      <c r="D56" s="184"/>
      <c r="E56" s="184"/>
    </row>
    <row r="57" spans="1:5" ht="15" customHeight="1" x14ac:dyDescent="0.2">
      <c r="A57" s="116">
        <v>3</v>
      </c>
      <c r="B57" s="228" t="s">
        <v>48</v>
      </c>
      <c r="C57" s="228"/>
      <c r="D57" s="228"/>
      <c r="E57" s="117" t="s">
        <v>27</v>
      </c>
    </row>
    <row r="58" spans="1:5" ht="15" customHeight="1" x14ac:dyDescent="0.2">
      <c r="A58" s="13" t="s">
        <v>0</v>
      </c>
      <c r="B58" s="225" t="s">
        <v>49</v>
      </c>
      <c r="C58" s="225"/>
      <c r="D58" s="225"/>
      <c r="E58" s="119">
        <f>57/12</f>
        <v>4.75</v>
      </c>
    </row>
    <row r="59" spans="1:5" ht="15" customHeight="1" x14ac:dyDescent="0.2">
      <c r="A59" s="13" t="s">
        <v>1</v>
      </c>
      <c r="B59" s="251" t="s">
        <v>205</v>
      </c>
      <c r="C59" s="252"/>
      <c r="D59" s="200"/>
      <c r="E59" s="119">
        <f>31/12</f>
        <v>2.58</v>
      </c>
    </row>
    <row r="60" spans="1:5" ht="15" customHeight="1" x14ac:dyDescent="0.2">
      <c r="A60" s="13" t="s">
        <v>4</v>
      </c>
      <c r="B60" s="225" t="s">
        <v>206</v>
      </c>
      <c r="C60" s="225"/>
      <c r="D60" s="225"/>
      <c r="E60" s="119">
        <v>39.47</v>
      </c>
    </row>
    <row r="61" spans="1:5" ht="15" customHeight="1" x14ac:dyDescent="0.2">
      <c r="A61" s="13" t="s">
        <v>6</v>
      </c>
      <c r="B61" s="225" t="s">
        <v>38</v>
      </c>
      <c r="C61" s="225"/>
      <c r="D61" s="225"/>
      <c r="E61" s="119"/>
    </row>
    <row r="62" spans="1:5" ht="15" customHeight="1" x14ac:dyDescent="0.2">
      <c r="A62" s="226" t="s">
        <v>50</v>
      </c>
      <c r="B62" s="226"/>
      <c r="C62" s="226"/>
      <c r="D62" s="226"/>
      <c r="E62" s="120">
        <f>SUM(E58:E61)</f>
        <v>46.8</v>
      </c>
    </row>
    <row r="63" spans="1:5" ht="15" customHeight="1" x14ac:dyDescent="0.2">
      <c r="A63" s="249"/>
      <c r="B63" s="249"/>
      <c r="C63" s="249"/>
      <c r="D63" s="249"/>
      <c r="E63" s="249"/>
    </row>
    <row r="64" spans="1:5" ht="15" customHeight="1" x14ac:dyDescent="0.2">
      <c r="A64" s="250"/>
      <c r="B64" s="250"/>
      <c r="C64" s="250"/>
      <c r="D64" s="250"/>
      <c r="E64" s="250"/>
    </row>
    <row r="65" spans="1:5" ht="15" customHeight="1" x14ac:dyDescent="0.2">
      <c r="A65" s="184" t="s">
        <v>52</v>
      </c>
      <c r="B65" s="184"/>
      <c r="C65" s="184"/>
      <c r="D65" s="184"/>
      <c r="E65" s="184"/>
    </row>
    <row r="66" spans="1:5" ht="15" customHeight="1" x14ac:dyDescent="0.2">
      <c r="A66" s="185" t="s">
        <v>53</v>
      </c>
      <c r="B66" s="185"/>
      <c r="C66" s="185"/>
      <c r="D66" s="185"/>
      <c r="E66" s="185"/>
    </row>
    <row r="67" spans="1:5" ht="15" customHeight="1" x14ac:dyDescent="0.2">
      <c r="A67" s="116" t="s">
        <v>54</v>
      </c>
      <c r="B67" s="228" t="s">
        <v>53</v>
      </c>
      <c r="C67" s="228"/>
      <c r="D67" s="117" t="s">
        <v>55</v>
      </c>
      <c r="E67" s="117" t="s">
        <v>27</v>
      </c>
    </row>
    <row r="68" spans="1:5" ht="15" customHeight="1" x14ac:dyDescent="0.2">
      <c r="A68" s="13" t="s">
        <v>0</v>
      </c>
      <c r="B68" s="225" t="s">
        <v>56</v>
      </c>
      <c r="C68" s="225"/>
      <c r="D68" s="123">
        <v>0.2</v>
      </c>
      <c r="E68" s="119">
        <f>D68*E42</f>
        <v>234.22</v>
      </c>
    </row>
    <row r="69" spans="1:5" ht="15" customHeight="1" x14ac:dyDescent="0.2">
      <c r="A69" s="13" t="s">
        <v>1</v>
      </c>
      <c r="B69" s="225" t="s">
        <v>57</v>
      </c>
      <c r="C69" s="225"/>
      <c r="D69" s="124">
        <v>0.08</v>
      </c>
      <c r="E69" s="119">
        <f>D69*E42</f>
        <v>93.69</v>
      </c>
    </row>
    <row r="70" spans="1:5" ht="30" customHeight="1" x14ac:dyDescent="0.2">
      <c r="A70" s="13" t="s">
        <v>4</v>
      </c>
      <c r="B70" s="225" t="s">
        <v>58</v>
      </c>
      <c r="C70" s="225"/>
      <c r="D70" s="125">
        <v>0.03</v>
      </c>
      <c r="E70" s="119">
        <f>D70*E42</f>
        <v>35.130000000000003</v>
      </c>
    </row>
    <row r="71" spans="1:5" ht="15" customHeight="1" x14ac:dyDescent="0.2">
      <c r="A71" s="13" t="s">
        <v>6</v>
      </c>
      <c r="B71" s="225" t="s">
        <v>59</v>
      </c>
      <c r="C71" s="225"/>
      <c r="D71" s="124">
        <v>2.5000000000000001E-2</v>
      </c>
      <c r="E71" s="119">
        <f>D71*E42</f>
        <v>29.28</v>
      </c>
    </row>
    <row r="72" spans="1:5" ht="15" customHeight="1" x14ac:dyDescent="0.2">
      <c r="A72" s="13" t="s">
        <v>31</v>
      </c>
      <c r="B72" s="225" t="s">
        <v>60</v>
      </c>
      <c r="C72" s="225"/>
      <c r="D72" s="124">
        <v>1.4999999999999999E-2</v>
      </c>
      <c r="E72" s="119">
        <f>D72*E42</f>
        <v>17.57</v>
      </c>
    </row>
    <row r="73" spans="1:5" ht="15" customHeight="1" x14ac:dyDescent="0.2">
      <c r="A73" s="13" t="s">
        <v>33</v>
      </c>
      <c r="B73" s="225" t="s">
        <v>61</v>
      </c>
      <c r="C73" s="225"/>
      <c r="D73" s="124">
        <v>0.01</v>
      </c>
      <c r="E73" s="119">
        <f>D73*E42</f>
        <v>11.71</v>
      </c>
    </row>
    <row r="74" spans="1:5" ht="15" customHeight="1" x14ac:dyDescent="0.2">
      <c r="A74" s="13" t="s">
        <v>35</v>
      </c>
      <c r="B74" s="225" t="s">
        <v>62</v>
      </c>
      <c r="C74" s="225"/>
      <c r="D74" s="124">
        <v>6.0000000000000001E-3</v>
      </c>
      <c r="E74" s="119">
        <f>D74*E42</f>
        <v>7.03</v>
      </c>
    </row>
    <row r="75" spans="1:5" ht="15" customHeight="1" x14ac:dyDescent="0.2">
      <c r="A75" s="13" t="s">
        <v>37</v>
      </c>
      <c r="B75" s="225" t="s">
        <v>63</v>
      </c>
      <c r="C75" s="225"/>
      <c r="D75" s="124">
        <v>2E-3</v>
      </c>
      <c r="E75" s="119">
        <f>D75*E42</f>
        <v>2.34</v>
      </c>
    </row>
    <row r="76" spans="1:5" ht="30" customHeight="1" x14ac:dyDescent="0.2">
      <c r="A76" s="226" t="s">
        <v>64</v>
      </c>
      <c r="B76" s="226"/>
      <c r="C76" s="226"/>
      <c r="D76" s="126">
        <f>SUM(D68:D75)</f>
        <v>0.36799999999999999</v>
      </c>
      <c r="E76" s="127">
        <f>SUM(E68:E75)</f>
        <v>430.97</v>
      </c>
    </row>
    <row r="77" spans="1:5" ht="30" customHeight="1" x14ac:dyDescent="0.2">
      <c r="A77" s="249" t="s">
        <v>65</v>
      </c>
      <c r="B77" s="249"/>
      <c r="C77" s="249"/>
      <c r="D77" s="249"/>
      <c r="E77" s="249"/>
    </row>
    <row r="78" spans="1:5" ht="15" customHeight="1" x14ac:dyDescent="0.2">
      <c r="A78" s="222" t="s">
        <v>66</v>
      </c>
      <c r="B78" s="222"/>
      <c r="C78" s="222"/>
      <c r="D78" s="222"/>
      <c r="E78" s="222"/>
    </row>
    <row r="79" spans="1:5" ht="15" customHeight="1" x14ac:dyDescent="0.2">
      <c r="A79" s="250"/>
      <c r="B79" s="250"/>
      <c r="C79" s="250"/>
      <c r="D79" s="250"/>
      <c r="E79" s="250"/>
    </row>
    <row r="80" spans="1:5" ht="15" customHeight="1" x14ac:dyDescent="0.2">
      <c r="A80" s="185" t="s">
        <v>67</v>
      </c>
      <c r="B80" s="185"/>
      <c r="C80" s="185"/>
      <c r="D80" s="185"/>
      <c r="E80" s="185"/>
    </row>
    <row r="81" spans="1:8" ht="15" customHeight="1" x14ac:dyDescent="0.2">
      <c r="A81" s="116" t="s">
        <v>1</v>
      </c>
      <c r="B81" s="228" t="s">
        <v>67</v>
      </c>
      <c r="C81" s="228"/>
      <c r="D81" s="117" t="s">
        <v>55</v>
      </c>
      <c r="E81" s="117" t="s">
        <v>27</v>
      </c>
    </row>
    <row r="82" spans="1:8" ht="15" customHeight="1" x14ac:dyDescent="0.2">
      <c r="A82" s="13" t="s">
        <v>0</v>
      </c>
      <c r="B82" s="225" t="s">
        <v>68</v>
      </c>
      <c r="C82" s="225"/>
      <c r="D82" s="123">
        <f>1/12</f>
        <v>8.3299999999999999E-2</v>
      </c>
      <c r="E82" s="119">
        <f t="shared" ref="E82:E88" si="0">D82*$E$42</f>
        <v>97.55</v>
      </c>
    </row>
    <row r="83" spans="1:8" ht="15" customHeight="1" x14ac:dyDescent="0.2">
      <c r="A83" s="13" t="s">
        <v>1</v>
      </c>
      <c r="B83" s="225" t="s">
        <v>69</v>
      </c>
      <c r="C83" s="225"/>
      <c r="D83" s="124">
        <v>0.1111</v>
      </c>
      <c r="E83" s="119">
        <f t="shared" si="0"/>
        <v>130.11000000000001</v>
      </c>
      <c r="H83" s="166"/>
    </row>
    <row r="84" spans="1:8" ht="15" customHeight="1" x14ac:dyDescent="0.2">
      <c r="A84" s="13" t="s">
        <v>4</v>
      </c>
      <c r="B84" s="225" t="s">
        <v>70</v>
      </c>
      <c r="C84" s="225"/>
      <c r="D84" s="124">
        <v>2.0000000000000001E-4</v>
      </c>
      <c r="E84" s="119">
        <f t="shared" si="0"/>
        <v>0.23</v>
      </c>
    </row>
    <row r="85" spans="1:8" ht="15" customHeight="1" x14ac:dyDescent="0.2">
      <c r="A85" s="13" t="s">
        <v>6</v>
      </c>
      <c r="B85" s="225" t="s">
        <v>71</v>
      </c>
      <c r="C85" s="225"/>
      <c r="D85" s="124">
        <v>1.66E-2</v>
      </c>
      <c r="E85" s="119">
        <f t="shared" si="0"/>
        <v>19.440000000000001</v>
      </c>
    </row>
    <row r="86" spans="1:8" ht="15" customHeight="1" x14ac:dyDescent="0.2">
      <c r="A86" s="13" t="s">
        <v>31</v>
      </c>
      <c r="B86" s="225" t="s">
        <v>72</v>
      </c>
      <c r="C86" s="225"/>
      <c r="D86" s="124">
        <v>2.7000000000000001E-3</v>
      </c>
      <c r="E86" s="119">
        <f t="shared" si="0"/>
        <v>3.16</v>
      </c>
    </row>
    <row r="87" spans="1:8" ht="15" customHeight="1" x14ac:dyDescent="0.2">
      <c r="A87" s="13" t="s">
        <v>33</v>
      </c>
      <c r="B87" s="225" t="s">
        <v>73</v>
      </c>
      <c r="C87" s="225"/>
      <c r="D87" s="124">
        <v>7.3000000000000001E-3</v>
      </c>
      <c r="E87" s="119">
        <f t="shared" si="0"/>
        <v>8.5500000000000007</v>
      </c>
    </row>
    <row r="88" spans="1:8" ht="15" customHeight="1" x14ac:dyDescent="0.2">
      <c r="A88" s="13" t="s">
        <v>35</v>
      </c>
      <c r="B88" s="225" t="s">
        <v>74</v>
      </c>
      <c r="C88" s="225"/>
      <c r="D88" s="124">
        <v>4.0000000000000002E-4</v>
      </c>
      <c r="E88" s="119">
        <f t="shared" si="0"/>
        <v>0.47</v>
      </c>
    </row>
    <row r="89" spans="1:8" ht="15" customHeight="1" x14ac:dyDescent="0.2">
      <c r="A89" s="226" t="s">
        <v>64</v>
      </c>
      <c r="B89" s="226"/>
      <c r="C89" s="226"/>
      <c r="D89" s="126">
        <f>SUM(D82:D88)</f>
        <v>0.22159999999999999</v>
      </c>
      <c r="E89" s="127">
        <f>SUM(E82:E88)</f>
        <v>259.51</v>
      </c>
    </row>
    <row r="90" spans="1:8" ht="15" customHeight="1" x14ac:dyDescent="0.2">
      <c r="A90" s="248"/>
      <c r="B90" s="248"/>
      <c r="C90" s="248"/>
      <c r="D90" s="248"/>
      <c r="E90" s="248"/>
    </row>
    <row r="91" spans="1:8" ht="15" customHeight="1" x14ac:dyDescent="0.2">
      <c r="A91" s="185" t="s">
        <v>75</v>
      </c>
      <c r="B91" s="185"/>
      <c r="C91" s="185"/>
      <c r="D91" s="185"/>
      <c r="E91" s="185"/>
    </row>
    <row r="92" spans="1:8" ht="15" customHeight="1" x14ac:dyDescent="0.2">
      <c r="A92" s="116" t="s">
        <v>4</v>
      </c>
      <c r="B92" s="247" t="s">
        <v>75</v>
      </c>
      <c r="C92" s="247"/>
      <c r="D92" s="117" t="s">
        <v>55</v>
      </c>
      <c r="E92" s="117" t="s">
        <v>27</v>
      </c>
    </row>
    <row r="93" spans="1:8" ht="15" customHeight="1" x14ac:dyDescent="0.2">
      <c r="A93" s="13" t="s">
        <v>0</v>
      </c>
      <c r="B93" s="246" t="s">
        <v>76</v>
      </c>
      <c r="C93" s="246"/>
      <c r="D93" s="128">
        <v>4.0300000000000002E-2</v>
      </c>
      <c r="E93" s="129">
        <f>D93*$E$42</f>
        <v>47.2</v>
      </c>
    </row>
    <row r="94" spans="1:8" ht="15" customHeight="1" x14ac:dyDescent="0.2">
      <c r="A94" s="13" t="s">
        <v>1</v>
      </c>
      <c r="B94" s="246" t="s">
        <v>77</v>
      </c>
      <c r="C94" s="246"/>
      <c r="D94" s="130">
        <v>4.0000000000000001E-3</v>
      </c>
      <c r="E94" s="129">
        <f>D94*$E$42</f>
        <v>4.68</v>
      </c>
    </row>
    <row r="95" spans="1:8" ht="15" customHeight="1" x14ac:dyDescent="0.2">
      <c r="A95" s="13" t="s">
        <v>4</v>
      </c>
      <c r="B95" s="246" t="s">
        <v>78</v>
      </c>
      <c r="C95" s="246"/>
      <c r="D95" s="130">
        <v>2.29E-2</v>
      </c>
      <c r="E95" s="129">
        <f>D95*$E$42</f>
        <v>26.82</v>
      </c>
    </row>
    <row r="96" spans="1:8" ht="15" customHeight="1" x14ac:dyDescent="0.2">
      <c r="A96" s="226" t="s">
        <v>64</v>
      </c>
      <c r="B96" s="226"/>
      <c r="C96" s="226"/>
      <c r="D96" s="126">
        <f>SUM(D93:D95)</f>
        <v>6.7199999999999996E-2</v>
      </c>
      <c r="E96" s="131">
        <f>SUM(E93:E95)</f>
        <v>78.7</v>
      </c>
    </row>
    <row r="97" spans="1:5" ht="15" customHeight="1" x14ac:dyDescent="0.2">
      <c r="A97" s="132"/>
      <c r="B97" s="132"/>
      <c r="C97" s="132"/>
      <c r="D97" s="132"/>
      <c r="E97" s="132"/>
    </row>
    <row r="98" spans="1:5" ht="15" customHeight="1" x14ac:dyDescent="0.2">
      <c r="A98" s="185" t="s">
        <v>79</v>
      </c>
      <c r="B98" s="185"/>
      <c r="C98" s="185"/>
      <c r="D98" s="185"/>
      <c r="E98" s="185"/>
    </row>
    <row r="99" spans="1:5" ht="15" customHeight="1" x14ac:dyDescent="0.2">
      <c r="A99" s="116" t="s">
        <v>6</v>
      </c>
      <c r="B99" s="247" t="s">
        <v>79</v>
      </c>
      <c r="C99" s="247"/>
      <c r="D99" s="117" t="s">
        <v>55</v>
      </c>
      <c r="E99" s="117" t="s">
        <v>27</v>
      </c>
    </row>
    <row r="100" spans="1:5" ht="15" customHeight="1" x14ac:dyDescent="0.2">
      <c r="A100" s="13" t="s">
        <v>0</v>
      </c>
      <c r="B100" s="224" t="s">
        <v>80</v>
      </c>
      <c r="C100" s="224"/>
      <c r="D100" s="167">
        <v>8.0399999999999999E-2</v>
      </c>
      <c r="E100" s="119">
        <f>D100*E42</f>
        <v>94.16</v>
      </c>
    </row>
    <row r="101" spans="1:5" ht="15" customHeight="1" x14ac:dyDescent="0.2">
      <c r="A101" s="226" t="s">
        <v>64</v>
      </c>
      <c r="B101" s="226"/>
      <c r="C101" s="226"/>
      <c r="D101" s="126">
        <f>SUM(D100:D100)</f>
        <v>8.0399999999999999E-2</v>
      </c>
      <c r="E101" s="127">
        <f>SUM(E100:E100)</f>
        <v>94.16</v>
      </c>
    </row>
    <row r="102" spans="1:5" ht="15" customHeight="1" x14ac:dyDescent="0.2">
      <c r="A102" s="248"/>
      <c r="B102" s="248"/>
      <c r="C102" s="248"/>
      <c r="D102" s="248"/>
      <c r="E102" s="248"/>
    </row>
    <row r="103" spans="1:5" ht="15" customHeight="1" x14ac:dyDescent="0.2">
      <c r="A103" s="230" t="s">
        <v>81</v>
      </c>
      <c r="B103" s="230"/>
      <c r="C103" s="230"/>
      <c r="D103" s="230"/>
      <c r="E103" s="230"/>
    </row>
    <row r="104" spans="1:5" ht="15" customHeight="1" x14ac:dyDescent="0.2">
      <c r="A104" s="116">
        <v>4</v>
      </c>
      <c r="B104" s="223" t="s">
        <v>82</v>
      </c>
      <c r="C104" s="223"/>
      <c r="D104" s="134" t="s">
        <v>55</v>
      </c>
      <c r="E104" s="117" t="s">
        <v>27</v>
      </c>
    </row>
    <row r="105" spans="1:5" ht="15" customHeight="1" x14ac:dyDescent="0.2">
      <c r="A105" s="13" t="s">
        <v>54</v>
      </c>
      <c r="B105" s="225" t="s">
        <v>53</v>
      </c>
      <c r="C105" s="225"/>
      <c r="D105" s="128">
        <f>D76</f>
        <v>0.36799999999999999</v>
      </c>
      <c r="E105" s="119">
        <f>E76</f>
        <v>430.97</v>
      </c>
    </row>
    <row r="106" spans="1:5" ht="15" customHeight="1" x14ac:dyDescent="0.2">
      <c r="A106" s="13" t="s">
        <v>83</v>
      </c>
      <c r="B106" s="225" t="s">
        <v>67</v>
      </c>
      <c r="C106" s="225"/>
      <c r="D106" s="128">
        <f>D89</f>
        <v>0.22159999999999999</v>
      </c>
      <c r="E106" s="119">
        <f>E89</f>
        <v>259.51</v>
      </c>
    </row>
    <row r="107" spans="1:5" ht="15" customHeight="1" x14ac:dyDescent="0.2">
      <c r="A107" s="13" t="s">
        <v>84</v>
      </c>
      <c r="B107" s="225" t="s">
        <v>75</v>
      </c>
      <c r="C107" s="225"/>
      <c r="D107" s="128">
        <f>D96</f>
        <v>6.7199999999999996E-2</v>
      </c>
      <c r="E107" s="119">
        <f>E96</f>
        <v>78.7</v>
      </c>
    </row>
    <row r="108" spans="1:5" ht="15" customHeight="1" x14ac:dyDescent="0.2">
      <c r="A108" s="13" t="s">
        <v>85</v>
      </c>
      <c r="B108" s="225" t="s">
        <v>79</v>
      </c>
      <c r="C108" s="225"/>
      <c r="D108" s="128">
        <f>D101</f>
        <v>8.0399999999999999E-2</v>
      </c>
      <c r="E108" s="119">
        <f>E101</f>
        <v>94.16</v>
      </c>
    </row>
    <row r="109" spans="1:5" ht="15" customHeight="1" x14ac:dyDescent="0.2">
      <c r="A109" s="13" t="s">
        <v>86</v>
      </c>
      <c r="B109" s="224" t="s">
        <v>38</v>
      </c>
      <c r="C109" s="224"/>
      <c r="D109" s="168" t="s">
        <v>87</v>
      </c>
      <c r="E109" s="119">
        <v>0</v>
      </c>
    </row>
    <row r="110" spans="1:5" ht="15" customHeight="1" x14ac:dyDescent="0.2">
      <c r="A110" s="226" t="s">
        <v>64</v>
      </c>
      <c r="B110" s="226"/>
      <c r="C110" s="226"/>
      <c r="D110" s="126">
        <f>SUM(D105:D109)</f>
        <v>0.73719999999999997</v>
      </c>
      <c r="E110" s="127">
        <f>SUM(E105:E109)</f>
        <v>863.34</v>
      </c>
    </row>
    <row r="111" spans="1:5" ht="15" customHeight="1" x14ac:dyDescent="0.2">
      <c r="A111" s="229"/>
      <c r="B111" s="229"/>
      <c r="C111" s="229"/>
      <c r="D111" s="229"/>
      <c r="E111" s="229"/>
    </row>
    <row r="112" spans="1:5" ht="15" customHeight="1" x14ac:dyDescent="0.2">
      <c r="A112" s="230" t="s">
        <v>88</v>
      </c>
      <c r="B112" s="230"/>
      <c r="C112" s="230"/>
      <c r="D112" s="230"/>
      <c r="E112" s="230"/>
    </row>
    <row r="113" spans="1:7" ht="15" customHeight="1" x14ac:dyDescent="0.2">
      <c r="A113" s="137">
        <v>5</v>
      </c>
      <c r="B113" s="228" t="s">
        <v>89</v>
      </c>
      <c r="C113" s="228"/>
      <c r="D113" s="138" t="s">
        <v>55</v>
      </c>
      <c r="E113" s="117" t="s">
        <v>27</v>
      </c>
    </row>
    <row r="114" spans="1:7" ht="15" customHeight="1" x14ac:dyDescent="0.2">
      <c r="A114" s="243" t="s">
        <v>0</v>
      </c>
      <c r="B114" s="237" t="s">
        <v>199</v>
      </c>
      <c r="C114" s="238"/>
      <c r="D114" s="234">
        <v>0.03</v>
      </c>
      <c r="E114" s="231">
        <f>D114*(E42+E52+E62+E110)</f>
        <v>71.62</v>
      </c>
    </row>
    <row r="115" spans="1:7" ht="15" customHeight="1" x14ac:dyDescent="0.2">
      <c r="A115" s="244"/>
      <c r="B115" s="239"/>
      <c r="C115" s="240"/>
      <c r="D115" s="235"/>
      <c r="E115" s="232"/>
    </row>
    <row r="116" spans="1:7" ht="15" customHeight="1" x14ac:dyDescent="0.2">
      <c r="A116" s="245"/>
      <c r="B116" s="241"/>
      <c r="C116" s="242"/>
      <c r="D116" s="236"/>
      <c r="E116" s="233"/>
      <c r="F116" s="19"/>
      <c r="G116" s="141"/>
    </row>
    <row r="117" spans="1:7" ht="15" customHeight="1" x14ac:dyDescent="0.2">
      <c r="A117" s="13" t="s">
        <v>1</v>
      </c>
      <c r="B117" s="225" t="s">
        <v>90</v>
      </c>
      <c r="C117" s="225"/>
      <c r="D117" s="139">
        <v>3.6499999999999998E-2</v>
      </c>
      <c r="E117" s="140">
        <f>E139</f>
        <v>103.97</v>
      </c>
      <c r="F117" s="19"/>
      <c r="G117" s="141"/>
    </row>
    <row r="118" spans="1:7" ht="15" customHeight="1" x14ac:dyDescent="0.2">
      <c r="A118" s="13" t="s">
        <v>4</v>
      </c>
      <c r="B118" s="225" t="s">
        <v>91</v>
      </c>
      <c r="C118" s="225"/>
      <c r="D118" s="139">
        <v>0.05</v>
      </c>
      <c r="E118" s="140">
        <f>E140</f>
        <v>142.41999999999999</v>
      </c>
    </row>
    <row r="119" spans="1:7" ht="15" customHeight="1" x14ac:dyDescent="0.2">
      <c r="A119" s="13" t="s">
        <v>6</v>
      </c>
      <c r="B119" s="225" t="s">
        <v>92</v>
      </c>
      <c r="C119" s="225"/>
      <c r="D119" s="139">
        <v>0.06</v>
      </c>
      <c r="E119" s="140">
        <f>D119*(E42+E52+E62+E110)</f>
        <v>143.22999999999999</v>
      </c>
      <c r="F119" s="143">
        <f>SUM(D115:D118)</f>
        <v>8.6499999999999994E-2</v>
      </c>
      <c r="G119" s="141" t="e">
        <f>SUM(E132+#REF!+E119)/(1-F119)</f>
        <v>#REF!</v>
      </c>
    </row>
    <row r="120" spans="1:7" ht="15" customHeight="1" x14ac:dyDescent="0.2">
      <c r="A120" s="226" t="s">
        <v>64</v>
      </c>
      <c r="B120" s="226"/>
      <c r="C120" s="226"/>
      <c r="D120" s="126">
        <f>SUM(D114:D119)</f>
        <v>0.17649999999999999</v>
      </c>
      <c r="E120" s="142">
        <f>SUM(E114:E119)</f>
        <v>461.24</v>
      </c>
      <c r="F120" s="19"/>
      <c r="G120" s="141"/>
    </row>
    <row r="121" spans="1:7" ht="15" customHeight="1" x14ac:dyDescent="0.2">
      <c r="A121" s="221" t="s">
        <v>113</v>
      </c>
      <c r="B121" s="221"/>
      <c r="C121" s="221"/>
      <c r="D121" s="221"/>
      <c r="E121" s="221"/>
      <c r="F121" s="19"/>
      <c r="G121" s="141"/>
    </row>
    <row r="122" spans="1:7" ht="15" customHeight="1" x14ac:dyDescent="0.2">
      <c r="A122" s="222" t="s">
        <v>93</v>
      </c>
      <c r="B122" s="222"/>
      <c r="C122" s="222"/>
      <c r="D122" s="222"/>
      <c r="E122" s="222"/>
      <c r="F122" s="19"/>
      <c r="G122" s="141"/>
    </row>
    <row r="123" spans="1:7" ht="10.35" customHeight="1" x14ac:dyDescent="0.2">
      <c r="A123" s="144"/>
      <c r="B123" s="144"/>
      <c r="C123" s="144"/>
      <c r="D123" s="144"/>
      <c r="E123" s="144"/>
      <c r="F123" s="19"/>
      <c r="G123" s="141"/>
    </row>
    <row r="124" spans="1:7" ht="15" customHeight="1" x14ac:dyDescent="0.2">
      <c r="A124" s="184" t="s">
        <v>94</v>
      </c>
      <c r="B124" s="184"/>
      <c r="C124" s="184"/>
      <c r="D124" s="184"/>
      <c r="E124" s="184"/>
      <c r="F124" s="19"/>
      <c r="G124" s="141"/>
    </row>
    <row r="125" spans="1:7" ht="15" customHeight="1" x14ac:dyDescent="0.2">
      <c r="A125" s="178" t="s">
        <v>95</v>
      </c>
      <c r="B125" s="178"/>
      <c r="C125" s="178"/>
      <c r="D125" s="178"/>
      <c r="E125" s="178"/>
    </row>
    <row r="126" spans="1:7" ht="8.25" customHeight="1" x14ac:dyDescent="0.2">
      <c r="A126" s="4"/>
      <c r="B126" s="4"/>
      <c r="C126" s="4"/>
      <c r="D126" s="4"/>
      <c r="E126" s="4"/>
    </row>
    <row r="127" spans="1:7" ht="15" customHeight="1" x14ac:dyDescent="0.2">
      <c r="A127" s="223" t="s">
        <v>96</v>
      </c>
      <c r="B127" s="223"/>
      <c r="C127" s="223"/>
      <c r="D127" s="223"/>
      <c r="E127" s="117" t="s">
        <v>27</v>
      </c>
    </row>
    <row r="128" spans="1:7" ht="15" customHeight="1" x14ac:dyDescent="0.2">
      <c r="A128" s="145" t="s">
        <v>0</v>
      </c>
      <c r="B128" s="224" t="s">
        <v>97</v>
      </c>
      <c r="C128" s="224"/>
      <c r="D128" s="224"/>
      <c r="E128" s="146">
        <f>E42</f>
        <v>1171.0999999999999</v>
      </c>
    </row>
    <row r="129" spans="1:5" ht="15" customHeight="1" x14ac:dyDescent="0.2">
      <c r="A129" s="145" t="s">
        <v>1</v>
      </c>
      <c r="B129" s="224" t="s">
        <v>98</v>
      </c>
      <c r="C129" s="224"/>
      <c r="D129" s="224"/>
      <c r="E129" s="146">
        <f>E52</f>
        <v>305.95999999999998</v>
      </c>
    </row>
    <row r="130" spans="1:5" ht="15" customHeight="1" x14ac:dyDescent="0.2">
      <c r="A130" s="145" t="s">
        <v>4</v>
      </c>
      <c r="B130" s="225" t="s">
        <v>99</v>
      </c>
      <c r="C130" s="225"/>
      <c r="D130" s="225"/>
      <c r="E130" s="146">
        <f>E62</f>
        <v>46.8</v>
      </c>
    </row>
    <row r="131" spans="1:5" ht="15" customHeight="1" x14ac:dyDescent="0.2">
      <c r="A131" s="145" t="s">
        <v>6</v>
      </c>
      <c r="B131" s="224" t="s">
        <v>100</v>
      </c>
      <c r="C131" s="224"/>
      <c r="D131" s="224"/>
      <c r="E131" s="146">
        <f>E110</f>
        <v>863.34</v>
      </c>
    </row>
    <row r="132" spans="1:5" ht="15" customHeight="1" x14ac:dyDescent="0.2">
      <c r="A132" s="226" t="s">
        <v>101</v>
      </c>
      <c r="B132" s="226"/>
      <c r="C132" s="226"/>
      <c r="D132" s="226"/>
      <c r="E132" s="147">
        <f>SUM(E128:E131)</f>
        <v>2387.1999999999998</v>
      </c>
    </row>
    <row r="133" spans="1:5" ht="15" customHeight="1" x14ac:dyDescent="0.2">
      <c r="A133" s="145" t="s">
        <v>31</v>
      </c>
      <c r="B133" s="224" t="s">
        <v>102</v>
      </c>
      <c r="C133" s="224"/>
      <c r="D133" s="224"/>
      <c r="E133" s="140">
        <f>E120</f>
        <v>461.24</v>
      </c>
    </row>
    <row r="134" spans="1:5" ht="15" customHeight="1" x14ac:dyDescent="0.2">
      <c r="A134" s="226" t="s">
        <v>114</v>
      </c>
      <c r="B134" s="226"/>
      <c r="C134" s="226"/>
      <c r="D134" s="226"/>
      <c r="E134" s="148">
        <f>E132+E133</f>
        <v>2848.44</v>
      </c>
    </row>
    <row r="135" spans="1:5" ht="15" customHeight="1" x14ac:dyDescent="0.2">
      <c r="B135" s="3"/>
      <c r="C135" s="3"/>
      <c r="D135" s="3"/>
      <c r="E135" s="150"/>
    </row>
    <row r="136" spans="1:5" ht="15" customHeight="1" x14ac:dyDescent="0.2">
      <c r="B136" s="227" t="s">
        <v>216</v>
      </c>
      <c r="C136" s="227"/>
      <c r="D136" s="227"/>
      <c r="E136" s="151">
        <f>E42+E52+E62+E110+E114+E115+E116+E119</f>
        <v>2602.0500000000002</v>
      </c>
    </row>
    <row r="137" spans="1:5" ht="15" customHeight="1" x14ac:dyDescent="0.2">
      <c r="B137" s="227" t="s">
        <v>103</v>
      </c>
      <c r="C137" s="227"/>
      <c r="D137" s="227"/>
      <c r="E137" s="152">
        <f>E136/(1-0.0865)</f>
        <v>2848.44</v>
      </c>
    </row>
    <row r="138" spans="1:5" ht="15" customHeight="1" x14ac:dyDescent="0.2">
      <c r="B138" s="227" t="s">
        <v>104</v>
      </c>
      <c r="C138" s="227"/>
      <c r="D138" s="227"/>
      <c r="E138" s="152">
        <f>E137-E136</f>
        <v>246.39</v>
      </c>
    </row>
    <row r="139" spans="1:5" ht="15" customHeight="1" x14ac:dyDescent="0.2">
      <c r="B139" s="220" t="s">
        <v>105</v>
      </c>
      <c r="C139" s="220"/>
      <c r="D139" s="220"/>
      <c r="E139" s="153">
        <f>(3.65/8.65)*E138</f>
        <v>103.97</v>
      </c>
    </row>
    <row r="140" spans="1:5" ht="15" customHeight="1" x14ac:dyDescent="0.2">
      <c r="B140" s="220" t="s">
        <v>106</v>
      </c>
      <c r="C140" s="220"/>
      <c r="D140" s="220"/>
      <c r="E140" s="154">
        <f>(5/8.65)*E138</f>
        <v>142.41999999999999</v>
      </c>
    </row>
  </sheetData>
  <mergeCells count="134">
    <mergeCell ref="B8:D8"/>
    <mergeCell ref="B9:D9"/>
    <mergeCell ref="B10:D10"/>
    <mergeCell ref="A12:E12"/>
    <mergeCell ref="A13:E13"/>
    <mergeCell ref="A14:B15"/>
    <mergeCell ref="C14:C15"/>
    <mergeCell ref="D14:E15"/>
    <mergeCell ref="A3:E3"/>
    <mergeCell ref="A5:E5"/>
    <mergeCell ref="A6:E6"/>
    <mergeCell ref="A4:E4"/>
    <mergeCell ref="D16:E16"/>
    <mergeCell ref="A17:B17"/>
    <mergeCell ref="D17:E17"/>
    <mergeCell ref="A18:B18"/>
    <mergeCell ref="D18:E18"/>
    <mergeCell ref="A20:E20"/>
    <mergeCell ref="A21:E21"/>
    <mergeCell ref="A23:B23"/>
    <mergeCell ref="A24:E24"/>
    <mergeCell ref="A25:E25"/>
    <mergeCell ref="B26:D26"/>
    <mergeCell ref="B27:D27"/>
    <mergeCell ref="B28:D28"/>
    <mergeCell ref="B29:D29"/>
    <mergeCell ref="A30:E30"/>
    <mergeCell ref="A32:E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A42:D42"/>
    <mergeCell ref="A43:E43"/>
    <mergeCell ref="A53:E53"/>
    <mergeCell ref="A56:E56"/>
    <mergeCell ref="B57:D57"/>
    <mergeCell ref="B58:D58"/>
    <mergeCell ref="B59:D59"/>
    <mergeCell ref="B60:D60"/>
    <mergeCell ref="B61:D61"/>
    <mergeCell ref="A62:D62"/>
    <mergeCell ref="A44:E44"/>
    <mergeCell ref="B45:D45"/>
    <mergeCell ref="B46:D46"/>
    <mergeCell ref="B47:D47"/>
    <mergeCell ref="B48:D48"/>
    <mergeCell ref="B49:D49"/>
    <mergeCell ref="B50:D50"/>
    <mergeCell ref="B51:D51"/>
    <mergeCell ref="A52:D52"/>
    <mergeCell ref="A54:E54"/>
    <mergeCell ref="A63:E63"/>
    <mergeCell ref="A64:E64"/>
    <mergeCell ref="A65:E65"/>
    <mergeCell ref="A66:E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A76:C76"/>
    <mergeCell ref="A77:E77"/>
    <mergeCell ref="A78:E78"/>
    <mergeCell ref="A79:E79"/>
    <mergeCell ref="A80:E80"/>
    <mergeCell ref="B81:C81"/>
    <mergeCell ref="B82:C82"/>
    <mergeCell ref="B83:C83"/>
    <mergeCell ref="B84:C84"/>
    <mergeCell ref="B85:C85"/>
    <mergeCell ref="B86:C86"/>
    <mergeCell ref="B87:C87"/>
    <mergeCell ref="B88:C88"/>
    <mergeCell ref="A89:C89"/>
    <mergeCell ref="B108:C108"/>
    <mergeCell ref="B109:C109"/>
    <mergeCell ref="A110:C110"/>
    <mergeCell ref="A111:E111"/>
    <mergeCell ref="A90:E90"/>
    <mergeCell ref="A91:E91"/>
    <mergeCell ref="B92:C92"/>
    <mergeCell ref="B93:C93"/>
    <mergeCell ref="B94:C94"/>
    <mergeCell ref="B95:C95"/>
    <mergeCell ref="A96:C96"/>
    <mergeCell ref="A98:E98"/>
    <mergeCell ref="B99:C99"/>
    <mergeCell ref="A127:D127"/>
    <mergeCell ref="B128:D128"/>
    <mergeCell ref="B139:D139"/>
    <mergeCell ref="B140:D140"/>
    <mergeCell ref="B129:D129"/>
    <mergeCell ref="B130:D130"/>
    <mergeCell ref="B131:D131"/>
    <mergeCell ref="A132:D132"/>
    <mergeCell ref="B133:D133"/>
    <mergeCell ref="A134:D134"/>
    <mergeCell ref="B136:D136"/>
    <mergeCell ref="B137:D137"/>
    <mergeCell ref="B138:D138"/>
    <mergeCell ref="S13:T13"/>
    <mergeCell ref="U13:V13"/>
    <mergeCell ref="B118:C118"/>
    <mergeCell ref="B119:C119"/>
    <mergeCell ref="A120:C120"/>
    <mergeCell ref="A121:E121"/>
    <mergeCell ref="A122:E122"/>
    <mergeCell ref="A124:E124"/>
    <mergeCell ref="A125:E125"/>
    <mergeCell ref="A112:E112"/>
    <mergeCell ref="B113:C113"/>
    <mergeCell ref="B117:C117"/>
    <mergeCell ref="A114:A116"/>
    <mergeCell ref="B114:C116"/>
    <mergeCell ref="D114:D116"/>
    <mergeCell ref="E114:E116"/>
    <mergeCell ref="B100:C100"/>
    <mergeCell ref="A101:C101"/>
    <mergeCell ref="A102:E102"/>
    <mergeCell ref="A103:E103"/>
    <mergeCell ref="B104:C104"/>
    <mergeCell ref="B105:C105"/>
    <mergeCell ref="B106:C106"/>
    <mergeCell ref="B107:C107"/>
  </mergeCells>
  <printOptions horizontalCentered="1"/>
  <pageMargins left="0.78740157480314965" right="0.78740157480314965" top="0.78740157480314965" bottom="0.78740157480314965" header="0.51181102362204722" footer="0.59055118110236227"/>
  <pageSetup paperSize="9" scale="90" firstPageNumber="0" orientation="portrait" verticalDpi="597" r:id="rId1"/>
  <headerFooter>
    <oddHeader>&amp;Rfls._____________________
Proc.59530.001669/2017-20
_______________________
3ªGRD/UEP</oddHeader>
    <oddFooter>&amp;LParecer de Custos nº15/2018
Proc.59530.001669/2017-20&amp;C3ªGRD/UEP
CODEVASF&amp;R&amp;P de &amp;N</oddFooter>
  </headerFooter>
  <rowBreaks count="3" manualBreakCount="3">
    <brk id="19" max="16383" man="1"/>
    <brk id="64" max="16383" man="1"/>
    <brk id="102" max="16383" man="1"/>
  </rowBreaks>
  <drawing r:id="rId2"/>
  <legacyDrawing r:id="rId3"/>
  <oleObjects>
    <mc:AlternateContent xmlns:mc="http://schemas.openxmlformats.org/markup-compatibility/2006">
      <mc:Choice Requires="x14">
        <oleObject shapeId="2049" r:id="rId4">
          <objectPr defaultSize="0" autoPict="0" r:id="rId5">
            <anchor moveWithCells="1" sizeWithCells="1">
              <from>
                <xdr:col>0</xdr:col>
                <xdr:colOff>38100</xdr:colOff>
                <xdr:row>0</xdr:row>
                <xdr:rowOff>38100</xdr:rowOff>
              </from>
              <to>
                <xdr:col>1</xdr:col>
                <xdr:colOff>1495425</xdr:colOff>
                <xdr:row>2</xdr:row>
                <xdr:rowOff>104775</xdr:rowOff>
              </to>
            </anchor>
          </objectPr>
        </oleObject>
      </mc:Choice>
      <mc:Fallback>
        <oleObject shapeId="204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2956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10</vt:i4>
      </vt:variant>
    </vt:vector>
  </HeadingPairs>
  <TitlesOfParts>
    <vt:vector size="16" baseType="lpstr">
      <vt:lpstr>Valor Global</vt:lpstr>
      <vt:lpstr>Quadro Resumo</vt:lpstr>
      <vt:lpstr>Complemento Serviço Limpeza</vt:lpstr>
      <vt:lpstr>Cálculo das Áreas</vt:lpstr>
      <vt:lpstr>Encarregado</vt:lpstr>
      <vt:lpstr>Servente</vt:lpstr>
      <vt:lpstr>'Cálculo das Áreas'!Area_de_impressao</vt:lpstr>
      <vt:lpstr>'Complemento Serviço Limpeza'!Area_de_impressao</vt:lpstr>
      <vt:lpstr>Encarregado!Area_de_impressao</vt:lpstr>
      <vt:lpstr>'Quadro Resumo'!Area_de_impressao</vt:lpstr>
      <vt:lpstr>Servente!Area_de_impressao</vt:lpstr>
      <vt:lpstr>'Valor Global'!Area_de_impressao</vt:lpstr>
      <vt:lpstr>Encarregado!Print_Area_0</vt:lpstr>
      <vt:lpstr>Servente!Print_Area_0</vt:lpstr>
      <vt:lpstr>Encarregado!Print_Area_0_0</vt:lpstr>
      <vt:lpstr>Servente!Print_Area_0_0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Manoel</dc:creator>
  <cp:lastModifiedBy>Marcelo Roberto dos Santos Barbalho</cp:lastModifiedBy>
  <cp:revision>5</cp:revision>
  <cp:lastPrinted>2018-05-07T15:16:28Z</cp:lastPrinted>
  <dcterms:created xsi:type="dcterms:W3CDTF">2011-09-20T13:05:13Z</dcterms:created>
  <dcterms:modified xsi:type="dcterms:W3CDTF">2018-05-22T12:23:16Z</dcterms:modified>
  <dc:language>pt-BR</dc:language>
</cp:coreProperties>
</file>