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720" windowWidth="15480" windowHeight="7470" tabRatio="689"/>
  </bookViews>
  <sheets>
    <sheet name="Planilha Orçamentária" sheetId="10" r:id="rId1"/>
    <sheet name="CPU POÇOS" sheetId="2" r:id="rId2"/>
    <sheet name="INSUMOS" sheetId="5" r:id="rId3"/>
    <sheet name="BDI" sheetId="11" r:id="rId4"/>
    <sheet name="Veículo Fiscalização" sheetId="12" r:id="rId5"/>
    <sheet name="Veiculo" sheetId="13" r:id="rId6"/>
  </sheets>
  <externalReferences>
    <externalReference r:id="rId7"/>
    <externalReference r:id="rId8"/>
    <externalReference r:id="rId9"/>
  </externalReferences>
  <definedNames>
    <definedName name="_aga14" localSheetId="3">[1]Insumos!#REF!</definedName>
    <definedName name="_aga14" localSheetId="0">[1]Insumos!#REF!</definedName>
    <definedName name="_aga14" localSheetId="5">[1]Insumos!#REF!</definedName>
    <definedName name="_aga14" localSheetId="4">[1]Insumos!#REF!</definedName>
    <definedName name="_aga14">[1]Insumos!#REF!</definedName>
    <definedName name="_aga16" localSheetId="3">[1]Insumos!#REF!</definedName>
    <definedName name="_aga16" localSheetId="0">[1]Insumos!#REF!</definedName>
    <definedName name="_aga16" localSheetId="5">[1]Insumos!#REF!</definedName>
    <definedName name="_aga16" localSheetId="4">[1]Insumos!#REF!</definedName>
    <definedName name="_aga16">[1]Insumos!#REF!</definedName>
    <definedName name="_asc321" localSheetId="0">[1]Insumos!#REF!</definedName>
    <definedName name="_asc321" localSheetId="5">[1]Insumos!#REF!</definedName>
    <definedName name="_asc321" localSheetId="4">[1]Insumos!#REF!</definedName>
    <definedName name="_asc321">[1]Insumos!#REF!</definedName>
    <definedName name="_bur3220" localSheetId="0">[1]Insumos!#REF!</definedName>
    <definedName name="_bur3220" localSheetId="5">[1]Insumos!#REF!</definedName>
    <definedName name="_bur3220" localSheetId="4">[1]Insumos!#REF!</definedName>
    <definedName name="_bur3220">[1]Insumos!#REF!</definedName>
    <definedName name="_cap20" localSheetId="0">[1]Insumos!#REF!</definedName>
    <definedName name="_cap20" localSheetId="5">[1]Insumos!#REF!</definedName>
    <definedName name="_cap20" localSheetId="4">[1]Insumos!#REF!</definedName>
    <definedName name="_cap20">[1]Insumos!#REF!</definedName>
    <definedName name="_ccr12" localSheetId="0">[1]Insumos!#REF!</definedName>
    <definedName name="_ccr12" localSheetId="5">[1]Insumos!#REF!</definedName>
    <definedName name="_ccr12" localSheetId="4">[1]Insumos!#REF!</definedName>
    <definedName name="_ccr12">[1]Insumos!#REF!</definedName>
    <definedName name="_cva32" localSheetId="0">[1]Insumos!#REF!</definedName>
    <definedName name="_cva32" localSheetId="5">[1]Insumos!#REF!</definedName>
    <definedName name="_cva32" localSheetId="4">[1]Insumos!#REF!</definedName>
    <definedName name="_cva32">[1]Insumos!#REF!</definedName>
    <definedName name="_cva50" localSheetId="0">[1]Insumos!#REF!</definedName>
    <definedName name="_cva50" localSheetId="5">[1]Insumos!#REF!</definedName>
    <definedName name="_cva50" localSheetId="4">[1]Insumos!#REF!</definedName>
    <definedName name="_cva50">[1]Insumos!#REF!</definedName>
    <definedName name="_cva60" localSheetId="0">[1]Insumos!#REF!</definedName>
    <definedName name="_cva60" localSheetId="5">[1]Insumos!#REF!</definedName>
    <definedName name="_cva60" localSheetId="4">[1]Insumos!#REF!</definedName>
    <definedName name="_cva60">[1]Insumos!#REF!</definedName>
    <definedName name="_cve45100" localSheetId="0">[1]Insumos!#REF!</definedName>
    <definedName name="_cve45100" localSheetId="5">[1]Insumos!#REF!</definedName>
    <definedName name="_cve45100" localSheetId="4">[1]Insumos!#REF!</definedName>
    <definedName name="_cve45100">[1]Insumos!#REF!</definedName>
    <definedName name="_cve90100" localSheetId="0">[1]Insumos!#REF!</definedName>
    <definedName name="_cve90100" localSheetId="5">[1]Insumos!#REF!</definedName>
    <definedName name="_cve90100" localSheetId="4">[1]Insumos!#REF!</definedName>
    <definedName name="_cve90100">[1]Insumos!#REF!</definedName>
    <definedName name="_cve9040" localSheetId="0">[1]Insumos!#REF!</definedName>
    <definedName name="_cve9040" localSheetId="5">[1]Insumos!#REF!</definedName>
    <definedName name="_cve9040" localSheetId="4">[1]Insumos!#REF!</definedName>
    <definedName name="_cve9040">[1]Insumos!#REF!</definedName>
    <definedName name="_djm10" localSheetId="0">[1]Insumos!#REF!</definedName>
    <definedName name="_djm10" localSheetId="5">[1]Insumos!#REF!</definedName>
    <definedName name="_djm10" localSheetId="4">[1]Insumos!#REF!</definedName>
    <definedName name="_djm10">[1]Insumos!#REF!</definedName>
    <definedName name="_djm15" localSheetId="0">[1]Insumos!#REF!</definedName>
    <definedName name="_djm15" localSheetId="5">[1]Insumos!#REF!</definedName>
    <definedName name="_djm15" localSheetId="4">[1]Insumos!#REF!</definedName>
    <definedName name="_djm15">[1]Insumos!#REF!</definedName>
    <definedName name="_epl2" localSheetId="0">[1]Insumos!#REF!</definedName>
    <definedName name="_epl2" localSheetId="5">[1]Insumos!#REF!</definedName>
    <definedName name="_epl2" localSheetId="4">[1]Insumos!#REF!</definedName>
    <definedName name="_epl2">[1]Insumos!#REF!</definedName>
    <definedName name="_epl5" localSheetId="0">[1]Insumos!#REF!</definedName>
    <definedName name="_epl5" localSheetId="5">[1]Insumos!#REF!</definedName>
    <definedName name="_epl5" localSheetId="4">[1]Insumos!#REF!</definedName>
    <definedName name="_epl5">[1]Insumos!#REF!</definedName>
    <definedName name="_est15" localSheetId="0">[1]Insumos!#REF!</definedName>
    <definedName name="_est15" localSheetId="5">[1]Insumos!#REF!</definedName>
    <definedName name="_est15" localSheetId="4">[1]Insumos!#REF!</definedName>
    <definedName name="_est15">[1]Insumos!#REF!</definedName>
    <definedName name="_fil1" localSheetId="0">[1]Insumos!#REF!</definedName>
    <definedName name="_fil1" localSheetId="5">[1]Insumos!#REF!</definedName>
    <definedName name="_fil1" localSheetId="4">[1]Insumos!#REF!</definedName>
    <definedName name="_fil1">[1]Insumos!#REF!</definedName>
    <definedName name="_fil2" localSheetId="0">[1]Insumos!#REF!</definedName>
    <definedName name="_fil2" localSheetId="5">[1]Insumos!#REF!</definedName>
    <definedName name="_fil2" localSheetId="4">[1]Insumos!#REF!</definedName>
    <definedName name="_fil2">[1]Insumos!#REF!</definedName>
    <definedName name="_xlnm._FilterDatabase" localSheetId="2" hidden="1">INSUMOS!$A$10:$G$108</definedName>
    <definedName name="_fio12" localSheetId="0">[1]Insumos!#REF!</definedName>
    <definedName name="_fio12" localSheetId="5">[1]Insumos!#REF!</definedName>
    <definedName name="_fio12" localSheetId="4">[1]Insumos!#REF!</definedName>
    <definedName name="_fio12">[1]Insumos!#REF!</definedName>
    <definedName name="_fis5" localSheetId="0">[1]Insumos!#REF!</definedName>
    <definedName name="_fis5" localSheetId="5">[1]Insumos!#REF!</definedName>
    <definedName name="_fis5" localSheetId="4">[1]Insumos!#REF!</definedName>
    <definedName name="_fis5">[1]Insumos!#REF!</definedName>
    <definedName name="_flf50" localSheetId="0">[1]Insumos!#REF!</definedName>
    <definedName name="_flf50">[1]Insumos!#REF!</definedName>
    <definedName name="_flf60" localSheetId="0">[1]Insumos!#REF!</definedName>
    <definedName name="_flf60">[1]Insumos!#REF!</definedName>
    <definedName name="_fpd12" localSheetId="0">[1]Insumos!#REF!</definedName>
    <definedName name="_fpd12">[1]Insumos!#REF!</definedName>
    <definedName name="_fvr10" localSheetId="0">[1]Insumos!#REF!</definedName>
    <definedName name="_fvr10">[1]Insumos!#REF!</definedName>
    <definedName name="_itu1" localSheetId="0">[1]Insumos!#REF!</definedName>
    <definedName name="_itu1">[1]Insumos!#REF!</definedName>
    <definedName name="_jla20" localSheetId="0">[1]Insumos!#REF!</definedName>
    <definedName name="_jla20">[1]Insumos!#REF!</definedName>
    <definedName name="_jla32" localSheetId="0">[1]Insumos!#REF!</definedName>
    <definedName name="_jla32">[1]Insumos!#REF!</definedName>
    <definedName name="_lpi100" localSheetId="0">[1]Insumos!#REF!</definedName>
    <definedName name="_lpi100">[1]Insumos!#REF!</definedName>
    <definedName name="_lvg10060" localSheetId="0">[1]Insumos!#REF!</definedName>
    <definedName name="_lvg10060">[1]Insumos!#REF!</definedName>
    <definedName name="_lvp32" localSheetId="0">[1]Insumos!#REF!</definedName>
    <definedName name="_lvp32">[1]Insumos!#REF!</definedName>
    <definedName name="_lxa1">#REF!</definedName>
    <definedName name="_man50" localSheetId="0">[1]Insumos!#REF!</definedName>
    <definedName name="_man50">[1]Insumos!#REF!</definedName>
    <definedName name="_ope1" localSheetId="0">[1]Insumos!#REF!</definedName>
    <definedName name="_ope1">[1]Insumos!#REF!</definedName>
    <definedName name="_ope2" localSheetId="0">[1]Insumos!#REF!</definedName>
    <definedName name="_ope2">[1]Insumos!#REF!</definedName>
    <definedName name="_ope3" localSheetId="0">[1]Insumos!#REF!</definedName>
    <definedName name="_ope3">[1]Insumos!#REF!</definedName>
    <definedName name="_pne1" localSheetId="0">[1]Insumos!#REF!</definedName>
    <definedName name="_pne1">[1]Insumos!#REF!</definedName>
    <definedName name="_pne2" localSheetId="0">[1]Insumos!#REF!</definedName>
    <definedName name="_pne2">[1]Insumos!#REF!</definedName>
    <definedName name="_prg1515" localSheetId="0">[1]Insumos!#REF!</definedName>
    <definedName name="_prg1515">[1]Insumos!#REF!</definedName>
    <definedName name="_prg1827" localSheetId="0">[1]Insumos!#REF!</definedName>
    <definedName name="_prg1827">[1]Insumos!#REF!</definedName>
    <definedName name="_ptc7">#REF!</definedName>
    <definedName name="_ptm6" localSheetId="0">[1]Insumos!#REF!</definedName>
    <definedName name="_ptm6">[1]Insumos!#REF!</definedName>
    <definedName name="_qdm3" localSheetId="0">[1]Insumos!#REF!</definedName>
    <definedName name="_qdm3">[1]Insumos!#REF!</definedName>
    <definedName name="_rcm10" localSheetId="0">[1]Insumos!#REF!</definedName>
    <definedName name="_rcm10">[1]Insumos!#REF!</definedName>
    <definedName name="_rcm15" localSheetId="0">[1]Insumos!#REF!</definedName>
    <definedName name="_rcm15">[1]Insumos!#REF!</definedName>
    <definedName name="_rcm20" localSheetId="0">[1]Insumos!#REF!</definedName>
    <definedName name="_rcm20">[1]Insumos!#REF!</definedName>
    <definedName name="_rcm5" localSheetId="0">[1]Insumos!#REF!</definedName>
    <definedName name="_rcm5">[1]Insumos!#REF!</definedName>
    <definedName name="_res10" localSheetId="0">[1]Insumos!#REF!</definedName>
    <definedName name="_res10">[1]Insumos!#REF!</definedName>
    <definedName name="_res15" localSheetId="0">[1]Insumos!#REF!</definedName>
    <definedName name="_res15">[1]Insumos!#REF!</definedName>
    <definedName name="_res5" localSheetId="0">[1]Insumos!#REF!</definedName>
    <definedName name="_res5">[1]Insumos!#REF!</definedName>
    <definedName name="_rge32" localSheetId="0">[1]Insumos!#REF!</definedName>
    <definedName name="_rge32">[1]Insumos!#REF!</definedName>
    <definedName name="_rgf60" localSheetId="0">[1]Insumos!#REF!</definedName>
    <definedName name="_rgf60">[1]Insumos!#REF!</definedName>
    <definedName name="_rgp1" localSheetId="0">[1]Insumos!#REF!</definedName>
    <definedName name="_rgp1">[1]Insumos!#REF!</definedName>
    <definedName name="_tap100" localSheetId="0">[1]Insumos!#REF!</definedName>
    <definedName name="_tap100">[1]Insumos!#REF!</definedName>
    <definedName name="_tb112" localSheetId="0">[1]Insumos!#REF!</definedName>
    <definedName name="_tb112">[1]Insumos!#REF!</definedName>
    <definedName name="_tb16" localSheetId="0">[1]Insumos!#REF!</definedName>
    <definedName name="_tb16">[1]Insumos!#REF!</definedName>
    <definedName name="_tb19" localSheetId="0">[1]Insumos!#REF!</definedName>
    <definedName name="_tb19">[1]Insumos!#REF!</definedName>
    <definedName name="_tba20" localSheetId="0">[1]Insumos!#REF!</definedName>
    <definedName name="_tba20">[1]Insumos!#REF!</definedName>
    <definedName name="_tba32" localSheetId="0">[1]Insumos!#REF!</definedName>
    <definedName name="_tba32">[1]Insumos!#REF!</definedName>
    <definedName name="_tba50" localSheetId="0">[1]Insumos!#REF!</definedName>
    <definedName name="_tba50">[1]Insumos!#REF!</definedName>
    <definedName name="_tba60" localSheetId="0">[1]Insumos!#REF!</definedName>
    <definedName name="_tba60">[1]Insumos!#REF!</definedName>
    <definedName name="_tbe100" localSheetId="0">[1]Insumos!#REF!</definedName>
    <definedName name="_tbe100">[1]Insumos!#REF!</definedName>
    <definedName name="_tbe40" localSheetId="0">[1]Insumos!#REF!</definedName>
    <definedName name="_tbe40">[1]Insumos!#REF!</definedName>
    <definedName name="_tbe50" localSheetId="0">[1]Insumos!#REF!</definedName>
    <definedName name="_tbe50">[1]Insumos!#REF!</definedName>
    <definedName name="_tca80" localSheetId="0">[1]Insumos!#REF!</definedName>
    <definedName name="_tca80">[1]Insumos!#REF!</definedName>
    <definedName name="_tea32" localSheetId="0">[1]Insumos!#REF!</definedName>
    <definedName name="_tea32">[1]Insumos!#REF!</definedName>
    <definedName name="_tea4560" localSheetId="0">[1]Insumos!#REF!</definedName>
    <definedName name="_tea4560">[1]Insumos!#REF!</definedName>
    <definedName name="_tee100" localSheetId="0">[1]Insumos!#REF!</definedName>
    <definedName name="_tee100">[1]Insumos!#REF!</definedName>
    <definedName name="_ter10050" localSheetId="0">[1]Insumos!#REF!</definedName>
    <definedName name="_ter10050">[1]Insumos!#REF!</definedName>
    <definedName name="_tfg50" localSheetId="0">[1]Insumos!#REF!</definedName>
    <definedName name="_tfg50">[1]Insumos!#REF!</definedName>
    <definedName name="_tlf6" localSheetId="0">[1]Insumos!#REF!</definedName>
    <definedName name="_tlf6">[1]Insumos!#REF!</definedName>
    <definedName name="_tub10012" localSheetId="0">[1]Insumos!#REF!</definedName>
    <definedName name="_tub10012">[1]Insumos!#REF!</definedName>
    <definedName name="_tub10015" localSheetId="0">[1]Insumos!#REF!</definedName>
    <definedName name="_tub10015">[1]Insumos!#REF!</definedName>
    <definedName name="_tub10020" localSheetId="0">[1]Insumos!#REF!</definedName>
    <definedName name="_tub10020">[1]Insumos!#REF!</definedName>
    <definedName name="_tub15012" localSheetId="0">[1]Insumos!#REF!</definedName>
    <definedName name="_tub15012">[1]Insumos!#REF!</definedName>
    <definedName name="_tub4012" localSheetId="0">[1]Insumos!#REF!</definedName>
    <definedName name="_tub4012">[1]Insumos!#REF!</definedName>
    <definedName name="_tub4015" localSheetId="0">[1]Insumos!#REF!</definedName>
    <definedName name="_tub4015">[1]Insumos!#REF!</definedName>
    <definedName name="_tub4020" localSheetId="0">[1]Insumos!#REF!</definedName>
    <definedName name="_tub4020">[1]Insumos!#REF!</definedName>
    <definedName name="_tub5012" localSheetId="0">[1]Insumos!#REF!</definedName>
    <definedName name="_tub5012">[1]Insumos!#REF!</definedName>
    <definedName name="_tub5015" localSheetId="0">[1]Insumos!#REF!</definedName>
    <definedName name="_tub5015">[1]Insumos!#REF!</definedName>
    <definedName name="_tub5020" localSheetId="0">[1]Insumos!#REF!</definedName>
    <definedName name="_tub5020">[1]Insumos!#REF!</definedName>
    <definedName name="_tub7512" localSheetId="0">[1]Insumos!#REF!</definedName>
    <definedName name="_tub7512">[1]Insumos!#REF!</definedName>
    <definedName name="_tub7515" localSheetId="0">[1]Insumos!#REF!</definedName>
    <definedName name="_tub7515">[1]Insumos!#REF!</definedName>
    <definedName name="_tub7520" localSheetId="0">[1]Insumos!#REF!</definedName>
    <definedName name="_tub7520">[1]Insumos!#REF!</definedName>
    <definedName name="acl" localSheetId="0">[1]Insumos!#REF!</definedName>
    <definedName name="acl">[1]Insumos!#REF!</definedName>
    <definedName name="aço" localSheetId="0">[1]Insumos!#REF!</definedName>
    <definedName name="aço">[1]Insumos!#REF!</definedName>
    <definedName name="ade" localSheetId="0">[1]Insumos!#REF!</definedName>
    <definedName name="ade">[1]Insumos!#REF!</definedName>
    <definedName name="adtimp" localSheetId="0">[1]Insumos!#REF!</definedName>
    <definedName name="adtimp">[1]Insumos!#REF!</definedName>
    <definedName name="afi" localSheetId="0">[1]Insumos!#REF!</definedName>
    <definedName name="afi">[1]Insumos!#REF!</definedName>
    <definedName name="afp" localSheetId="0">[1]Insumos!#REF!</definedName>
    <definedName name="afp">[1]Insumos!#REF!</definedName>
    <definedName name="agr" localSheetId="0">[1]Insumos!#REF!</definedName>
    <definedName name="agr">[1]Insumos!#REF!</definedName>
    <definedName name="amc" localSheetId="0">[1]Insumos!#REF!</definedName>
    <definedName name="amc">[1]Insumos!#REF!</definedName>
    <definedName name="amd" localSheetId="0">[1]Insumos!#REF!</definedName>
    <definedName name="amd">[1]Insumos!#REF!</definedName>
    <definedName name="ame" localSheetId="0">[1]Insumos!#REF!</definedName>
    <definedName name="ame">[1]Insumos!#REF!</definedName>
    <definedName name="amm" localSheetId="0">[1]Insumos!#REF!</definedName>
    <definedName name="amm">[1]Insumos!#REF!</definedName>
    <definedName name="anb" localSheetId="0">[1]Insumos!#REF!</definedName>
    <definedName name="anb">[1]Insumos!#REF!</definedName>
    <definedName name="apc">#REF!</definedName>
    <definedName name="apmfs" localSheetId="0">[1]Insumos!#REF!</definedName>
    <definedName name="apmfs">[1]Insumos!#REF!</definedName>
    <definedName name="are" localSheetId="0">[1]Insumos!#REF!</definedName>
    <definedName name="are">[1]Insumos!#REF!</definedName>
    <definedName name="_xlnm.Print_Area" localSheetId="1">'CPU POÇOS'!$B$1:$I$1107</definedName>
    <definedName name="_xlnm.Print_Area" localSheetId="2">INSUMOS!$B$2:$F$127</definedName>
    <definedName name="_xlnm.Print_Area" localSheetId="0">'Planilha Orçamentária'!$A$2:$H$73</definedName>
    <definedName name="_xlnm.Print_Area" localSheetId="5">Veiculo!$A$1:$E$56</definedName>
    <definedName name="_xlnm.Print_Area" localSheetId="4">'Veículo Fiscalização'!$A$1:$D$46</definedName>
    <definedName name="B320I" localSheetId="5">#REF!</definedName>
    <definedName name="B320I" localSheetId="4">#REF!</definedName>
    <definedName name="B320I">#REF!</definedName>
    <definedName name="B320P" localSheetId="5">#REF!</definedName>
    <definedName name="B320P" localSheetId="4">#REF!</definedName>
    <definedName name="B320P">#REF!</definedName>
    <definedName name="B500I" localSheetId="5">#REF!</definedName>
    <definedName name="B500I" localSheetId="4">#REF!</definedName>
    <definedName name="B500I">#REF!</definedName>
    <definedName name="B500P">#REF!</definedName>
    <definedName name="bcc10.10" localSheetId="0">[1]Insumos!#REF!</definedName>
    <definedName name="bcc10.10">[1]Insumos!#REF!</definedName>
    <definedName name="bcc10.20" localSheetId="0">[1]Insumos!#REF!</definedName>
    <definedName name="bcc10.20">[1]Insumos!#REF!</definedName>
    <definedName name="bcc4.5" localSheetId="0">[1]Insumos!#REF!</definedName>
    <definedName name="bcc4.5">[1]Insumos!#REF!</definedName>
    <definedName name="bcc5.10" localSheetId="0">[1]Insumos!#REF!</definedName>
    <definedName name="bcc5.10">[1]Insumos!#REF!</definedName>
    <definedName name="bcc5.15" localSheetId="0">[1]Insumos!#REF!</definedName>
    <definedName name="bcc5.15">[1]Insumos!#REF!</definedName>
    <definedName name="bcc5.20" localSheetId="0">[1]Insumos!#REF!</definedName>
    <definedName name="bcc5.20">[1]Insumos!#REF!</definedName>
    <definedName name="bcc5.5" localSheetId="0">[1]Insumos!#REF!</definedName>
    <definedName name="bcc5.5">[1]Insumos!#REF!</definedName>
    <definedName name="bcc6.10" localSheetId="0">[1]Insumos!#REF!</definedName>
    <definedName name="bcc6.10">[1]Insumos!#REF!</definedName>
    <definedName name="bcc6.15" localSheetId="0">[1]Insumos!#REF!</definedName>
    <definedName name="bcc6.15">[1]Insumos!#REF!</definedName>
    <definedName name="bcc6.20" localSheetId="0">[1]Insumos!#REF!</definedName>
    <definedName name="bcc6.20">[1]Insumos!#REF!</definedName>
    <definedName name="bcc6.5" localSheetId="0">[1]Insumos!#REF!</definedName>
    <definedName name="bcc6.5">[1]Insumos!#REF!</definedName>
    <definedName name="bcc8.10" localSheetId="0">[1]Insumos!#REF!</definedName>
    <definedName name="bcc8.10">[1]Insumos!#REF!</definedName>
    <definedName name="bcc8.15" localSheetId="0">[1]Insumos!#REF!</definedName>
    <definedName name="bcc8.15">[1]Insumos!#REF!</definedName>
    <definedName name="bcc8.20" localSheetId="0">[1]Insumos!#REF!</definedName>
    <definedName name="bcc8.20">[1]Insumos!#REF!</definedName>
    <definedName name="bcc8.5" localSheetId="0">[1]Insumos!#REF!</definedName>
    <definedName name="bcc8.5">[1]Insumos!#REF!</definedName>
    <definedName name="bcf" localSheetId="0">[1]Insumos!#REF!</definedName>
    <definedName name="bcf">[1]Insumos!#REF!</definedName>
    <definedName name="bcp" localSheetId="0">[1]Insumos!#REF!</definedName>
    <definedName name="bcp">[1]Insumos!#REF!</definedName>
    <definedName name="BDIE">[2]Insumos!$D$5</definedName>
    <definedName name="bet">[1]Insumos!$D$81</definedName>
    <definedName name="bomp2" localSheetId="0">[1]Insumos!#REF!</definedName>
    <definedName name="bomp2">[1]Insumos!#REF!</definedName>
    <definedName name="BPF">#REF!</definedName>
    <definedName name="CA15I">#REF!</definedName>
    <definedName name="CA15P">#REF!</definedName>
    <definedName name="CA25I">#REF!</definedName>
    <definedName name="CA25P">#REF!</definedName>
    <definedName name="caba1_0">#REF!</definedName>
    <definedName name="caba4">#REF!</definedName>
    <definedName name="cal" localSheetId="0">[1]Insumos!#REF!</definedName>
    <definedName name="cal">[1]Insumos!#REF!</definedName>
    <definedName name="calpi" localSheetId="0">[1]Insumos!#REF!</definedName>
    <definedName name="calpi">[1]Insumos!#REF!</definedName>
    <definedName name="camp" localSheetId="0">[1]Insumos!#REF!</definedName>
    <definedName name="camp">[1]Insumos!#REF!</definedName>
    <definedName name="CB10I">#REF!</definedName>
    <definedName name="CB10P">#REF!</definedName>
    <definedName name="CB4I">#REF!</definedName>
    <definedName name="CB4P">#REF!</definedName>
    <definedName name="CB6.5I">#REF!</definedName>
    <definedName name="CB6.5P">#REF!</definedName>
    <definedName name="CB6I">#REF!</definedName>
    <definedName name="CB6P">#REF!</definedName>
    <definedName name="cbas" localSheetId="0">[1]Insumos!#REF!</definedName>
    <definedName name="cbas">[1]Insumos!#REF!</definedName>
    <definedName name="ccp" localSheetId="0">[1]Insumos!#REF!</definedName>
    <definedName name="ccp">[1]Insumos!#REF!</definedName>
    <definedName name="cds" localSheetId="0">[1]Insumos!#REF!</definedName>
    <definedName name="cds">[1]Insumos!#REF!</definedName>
    <definedName name="cec20x20" localSheetId="0">[1]Insumos!#REF!</definedName>
    <definedName name="cec20x20">[1]Insumos!#REF!</definedName>
    <definedName name="cer1_2" localSheetId="0">[1]Insumos!#REF!</definedName>
    <definedName name="cer1_2">[1]Insumos!#REF!</definedName>
    <definedName name="chaf" localSheetId="0">[1]Insumos!#REF!</definedName>
    <definedName name="chaf">[1]Insumos!#REF!</definedName>
    <definedName name="cib" localSheetId="0">[1]Insumos!#REF!</definedName>
    <definedName name="cib">[1]Insumos!#REF!</definedName>
    <definedName name="cim" localSheetId="0">[1]Insumos!#REF!</definedName>
    <definedName name="cim">[1]Insumos!#REF!</definedName>
    <definedName name="cim_5">#REF!</definedName>
    <definedName name="clp" localSheetId="0">[1]Insumos!#REF!</definedName>
    <definedName name="clp">[1]Insumos!#REF!</definedName>
    <definedName name="clr1_2" localSheetId="0">[1]Insumos!#REF!</definedName>
    <definedName name="clr1_2">[1]Insumos!#REF!</definedName>
    <definedName name="CM9I">#REF!</definedName>
    <definedName name="CM9P">#REF!</definedName>
    <definedName name="comp" localSheetId="0">[1]Insumos!#REF!</definedName>
    <definedName name="comp">[1]Insumos!#REF!</definedName>
    <definedName name="CPA">#REF!</definedName>
    <definedName name="CPAF">#REF!</definedName>
    <definedName name="ctfa4" localSheetId="0">[1]Insumos!#REF!</definedName>
    <definedName name="ctfa4">[1]Insumos!#REF!</definedName>
    <definedName name="ctpvc" localSheetId="0">[1]Insumos!#REF!</definedName>
    <definedName name="ctpvc">[1]Insumos!#REF!</definedName>
    <definedName name="cumeeira" localSheetId="0">[1]Insumos!#REF!</definedName>
    <definedName name="cumeeira">[1]Insumos!#REF!</definedName>
    <definedName name="cumeira" localSheetId="0">[1]Insumos!#REF!</definedName>
    <definedName name="cumeira">[1]Insumos!#REF!</definedName>
    <definedName name="cxp4x2" localSheetId="0">[1]Insumos!#REF!</definedName>
    <definedName name="cxp4x2">[1]Insumos!#REF!</definedName>
    <definedName name="D6I">#REF!</definedName>
    <definedName name="D6P">#REF!</definedName>
    <definedName name="D8I">#REF!</definedName>
    <definedName name="D8P">#REF!</definedName>
    <definedName name="DAT">NA()</definedName>
    <definedName name="desm" localSheetId="0">[1]Insumos!#REF!</definedName>
    <definedName name="desm">[1]Insumos!#REF!</definedName>
    <definedName name="DIE">#REF!</definedName>
    <definedName name="DIF">#REF!</definedName>
    <definedName name="DIF_2">#REF!</definedName>
    <definedName name="DKM">#REF!</definedName>
    <definedName name="E" localSheetId="0">[1]Insumos!#REF!</definedName>
    <definedName name="E">[1]Insumos!#REF!</definedName>
    <definedName name="ecm" localSheetId="0">[1]Insumos!#REF!</definedName>
    <definedName name="ecm">[1]Insumos!#REF!</definedName>
    <definedName name="ele" localSheetId="0">[1]Insumos!#REF!</definedName>
    <definedName name="ele">[1]Insumos!#REF!</definedName>
    <definedName name="elr1_2" localSheetId="0">[1]Insumos!#REF!</definedName>
    <definedName name="elr1_2">[1]Insumos!#REF!</definedName>
    <definedName name="elv50x40" localSheetId="0">[1]Insumos!#REF!</definedName>
    <definedName name="elv50x40">[1]Insumos!#REF!</definedName>
    <definedName name="ENC_5">#REF!</definedName>
    <definedName name="ENE">#REF!</definedName>
    <definedName name="epm2.5" localSheetId="0">[1]Insumos!#REF!</definedName>
    <definedName name="epm2.5">[1]Insumos!#REF!</definedName>
    <definedName name="esm" localSheetId="0">[1]Insumos!#REF!</definedName>
    <definedName name="esm">[1]Insumos!#REF!</definedName>
    <definedName name="est" localSheetId="0">[1]Insumos!#REF!</definedName>
    <definedName name="est">[1]Insumos!#REF!</definedName>
    <definedName name="est1.5_15" localSheetId="0">[1]Insumos!#REF!</definedName>
    <definedName name="est1.5_15">[1]Insumos!#REF!</definedName>
    <definedName name="Excel_BuiltIn_Print_Area_3">#REF!</definedName>
    <definedName name="Excel_BuiltIn_Print_Area_5" localSheetId="0">[3]CPU!#REF!</definedName>
    <definedName name="Excel_BuiltIn_Print_Area_5" localSheetId="5">[1]CPU!#REF!</definedName>
    <definedName name="Excel_BuiltIn_Print_Area_5">[3]CPU!#REF!</definedName>
    <definedName name="Excel_BuiltIn_Print_Titles_3" localSheetId="5">#REF!</definedName>
    <definedName name="Excel_BuiltIn_Print_Titles_3" localSheetId="4">#REF!</definedName>
    <definedName name="Excel_BuiltIn_Print_Titles_3">#REF!</definedName>
    <definedName name="fcm" localSheetId="0">[1]Insumos!#REF!</definedName>
    <definedName name="fcm">[1]Insumos!#REF!</definedName>
    <definedName name="fer" localSheetId="0">[1]Insumos!#REF!</definedName>
    <definedName name="fer">[1]Insumos!#REF!</definedName>
    <definedName name="fossa" localSheetId="0">[1]Insumos!#REF!</definedName>
    <definedName name="fossa">[1]Insumos!#REF!</definedName>
    <definedName name="FT">#REF!</definedName>
    <definedName name="GAS">#REF!</definedName>
    <definedName name="gdc" localSheetId="0">[1]Insumos!#REF!</definedName>
    <definedName name="gdc">[1]Insumos!#REF!</definedName>
    <definedName name="gfg" localSheetId="0">[1]Insumos!#REF!</definedName>
    <definedName name="gfg">[1]Insumos!#REF!</definedName>
    <definedName name="ggm" localSheetId="0">[1]Insumos!#REF!</definedName>
    <definedName name="ggm">[1]Insumos!#REF!</definedName>
    <definedName name="graf">#REF!</definedName>
    <definedName name="GRI">#REF!</definedName>
    <definedName name="GRP">#REF!</definedName>
    <definedName name="grx" localSheetId="0">[1]Insumos!#REF!</definedName>
    <definedName name="grx">[1]Insumos!#REF!</definedName>
    <definedName name="hid1_2" localSheetId="0">[1]Insumos!#REF!</definedName>
    <definedName name="hid1_2">[1]Insumos!#REF!</definedName>
    <definedName name="ipf" localSheetId="0">[1]Insumos!#REF!</definedName>
    <definedName name="ipf">[1]Insumos!#REF!</definedName>
    <definedName name="itus1" localSheetId="0">[1]Insumos!#REF!</definedName>
    <definedName name="itus1">[1]Insumos!#REF!</definedName>
    <definedName name="jla1_220" localSheetId="0">[1]Insumos!#REF!</definedName>
    <definedName name="jla1_220">[1]Insumos!#REF!</definedName>
    <definedName name="JRS">#REF!</definedName>
    <definedName name="lm6_3" localSheetId="0">[1]Insumos!#REF!</definedName>
    <definedName name="lm6_3">[1]Insumos!#REF!</definedName>
    <definedName name="lnm" localSheetId="0">[1]Insumos!#REF!</definedName>
    <definedName name="lnm">[1]Insumos!#REF!</definedName>
    <definedName name="lpb" localSheetId="0">[1]Insumos!#REF!</definedName>
    <definedName name="lpb">[1]Insumos!#REF!</definedName>
    <definedName name="LSO" localSheetId="0">[1]Insumos!#REF!</definedName>
    <definedName name="LSO">[1]Insumos!#REF!</definedName>
    <definedName name="lub" localSheetId="0">[1]Insumos!#REF!</definedName>
    <definedName name="lub">[1]Insumos!#REF!</definedName>
    <definedName name="lvg12050_1" localSheetId="0">[1]Insumos!#REF!</definedName>
    <definedName name="lvg12050_1">[1]Insumos!#REF!</definedName>
    <definedName name="lvp1_2" localSheetId="0">[1]Insumos!#REF!</definedName>
    <definedName name="lvp1_2">[1]Insumos!#REF!</definedName>
    <definedName name="lvr" localSheetId="0">[1]Insumos!#REF!</definedName>
    <definedName name="lvr">[1]Insumos!#REF!</definedName>
    <definedName name="lxa" localSheetId="0">[1]Insumos!#REF!</definedName>
    <definedName name="lxa">[1]Insumos!#REF!</definedName>
    <definedName name="lxaf" localSheetId="0">[1]Insumos!#REF!</definedName>
    <definedName name="lxaf">[1]Insumos!#REF!</definedName>
    <definedName name="mad" localSheetId="0">[1]Insumos!#REF!</definedName>
    <definedName name="mad">[1]Insumos!#REF!</definedName>
    <definedName name="map" localSheetId="0">[1]Insumos!#REF!</definedName>
    <definedName name="map">[1]Insumos!#REF!</definedName>
    <definedName name="mdn" localSheetId="0">[1]Insumos!#REF!</definedName>
    <definedName name="mdn">[1]Insumos!#REF!</definedName>
    <definedName name="MNI">#REF!</definedName>
    <definedName name="MNP">#REF!</definedName>
    <definedName name="mour">#REF!</definedName>
    <definedName name="mpm2.5" localSheetId="0">[1]Insumos!#REF!</definedName>
    <definedName name="mpm2.5">[1]Insumos!#REF!</definedName>
    <definedName name="msv" localSheetId="0">[1]Insumos!#REF!</definedName>
    <definedName name="msv">[1]Insumos!#REF!</definedName>
    <definedName name="niv" localSheetId="0">[1]Insumos!#REF!</definedName>
    <definedName name="niv">[1]Insumos!#REF!</definedName>
    <definedName name="nome">NA()</definedName>
    <definedName name="nome_2">NA()</definedName>
    <definedName name="odi" localSheetId="0">[1]Insumos!#REF!</definedName>
    <definedName name="odi">[1]Insumos!#REF!</definedName>
    <definedName name="ofc">NA()</definedName>
    <definedName name="ofi" localSheetId="0">[1]Insumos!#REF!</definedName>
    <definedName name="ofi">[1]Insumos!#REF!</definedName>
    <definedName name="OGU">#REF!</definedName>
    <definedName name="oli" localSheetId="0">[1]Insumos!#REF!</definedName>
    <definedName name="oli">[1]Insumos!#REF!</definedName>
    <definedName name="pcf60x210" localSheetId="0">[1]Insumos!#REF!</definedName>
    <definedName name="pcf60x210">[1]Insumos!#REF!</definedName>
    <definedName name="pcf80x200" localSheetId="0">[1]Insumos!#REF!</definedName>
    <definedName name="pcf80x200">[1]Insumos!#REF!</definedName>
    <definedName name="pcf80x210" localSheetId="0">[1]Insumos!#REF!</definedName>
    <definedName name="pcf80x210">[1]Insumos!#REF!</definedName>
    <definedName name="pcfc" localSheetId="0">[1]Insumos!#REF!</definedName>
    <definedName name="pcfc">[1]Insumos!#REF!</definedName>
    <definedName name="pdm" localSheetId="0">[1]Insumos!#REF!</definedName>
    <definedName name="pdm">[1]Insumos!#REF!</definedName>
    <definedName name="pdm_5">#REF!</definedName>
    <definedName name="pes" localSheetId="0">[1]Insumos!#REF!</definedName>
    <definedName name="pes">[1]Insumos!#REF!</definedName>
    <definedName name="pig" localSheetId="0">[1]Insumos!#REF!</definedName>
    <definedName name="pig">[1]Insumos!#REF!</definedName>
    <definedName name="PII">#REF!</definedName>
    <definedName name="PIP">#REF!</definedName>
    <definedName name="plc" localSheetId="0">[1]Insumos!#REF!</definedName>
    <definedName name="plc">[1]Insumos!#REF!</definedName>
    <definedName name="plc2.5" localSheetId="0">[1]Insumos!#REF!</definedName>
    <definedName name="plc2.5">[1]Insumos!#REF!</definedName>
    <definedName name="PMS">#REF!</definedName>
    <definedName name="pont" localSheetId="0">[1]Insumos!#REF!</definedName>
    <definedName name="pont">[1]Insumos!#REF!</definedName>
    <definedName name="pref">NA()</definedName>
    <definedName name="pref_2">NA()</definedName>
    <definedName name="prf" localSheetId="0">[1]Insumos!#REF!</definedName>
    <definedName name="prf">[1]Insumos!#REF!</definedName>
    <definedName name="prg" localSheetId="0">[1]Insumos!#REF!</definedName>
    <definedName name="prg">[1]Insumos!#REF!</definedName>
    <definedName name="prg_5">#REF!</definedName>
    <definedName name="PROJ">#REF!</definedName>
    <definedName name="prtm" localSheetId="0">[1]Insumos!#REF!</definedName>
    <definedName name="prtm">[1]Insumos!#REF!</definedName>
    <definedName name="ptt3x2" localSheetId="0">[1]Insumos!#REF!</definedName>
    <definedName name="ptt3x2">[1]Insumos!#REF!</definedName>
    <definedName name="qgm" localSheetId="0">[1]Insumos!#REF!</definedName>
    <definedName name="qgm">[1]Insumos!#REF!</definedName>
    <definedName name="rdt13.8" localSheetId="0">[1]Insumos!#REF!</definedName>
    <definedName name="rdt13.8">[1]Insumos!#REF!</definedName>
    <definedName name="rec" localSheetId="0">[1]Insumos!#REF!</definedName>
    <definedName name="rec">[1]Insumos!#REF!</definedName>
    <definedName name="RES">#REF!</definedName>
    <definedName name="rgG3_4" localSheetId="0">[1]Insumos!#REF!</definedName>
    <definedName name="rgG3_4">[1]Insumos!#REF!</definedName>
    <definedName name="rgp1_2" localSheetId="0">[1]Insumos!#REF!</definedName>
    <definedName name="rgp1_2">[1]Insumos!#REF!</definedName>
    <definedName name="RLI">#REF!</definedName>
    <definedName name="RLP">#REF!</definedName>
    <definedName name="RPI">#REF!</definedName>
    <definedName name="RPP">#REF!</definedName>
    <definedName name="seat15" localSheetId="0">[1]Insumos!#REF!</definedName>
    <definedName name="seat15">[1]Insumos!#REF!</definedName>
    <definedName name="sin" localSheetId="0">[1]Insumos!#REF!</definedName>
    <definedName name="sin">[1]Insumos!#REF!</definedName>
    <definedName name="sollimp" localSheetId="0">[1]Insumos!#REF!</definedName>
    <definedName name="sollimp">[1]Insumos!#REF!</definedName>
    <definedName name="srv" localSheetId="0">[1]Insumos!#REF!</definedName>
    <definedName name="srv">[1]Insumos!#REF!</definedName>
    <definedName name="sum" localSheetId="0">[1]Insumos!#REF!</definedName>
    <definedName name="sum">[1]Insumos!#REF!</definedName>
    <definedName name="svt" localSheetId="0">[1]Insumos!#REF!</definedName>
    <definedName name="svt">[1]Insumos!#REF!</definedName>
    <definedName name="sxo" localSheetId="0">[1]Insumos!#REF!</definedName>
    <definedName name="sxo">[1]Insumos!#REF!</definedName>
    <definedName name="tbv" localSheetId="0">[1]Insumos!#REF!</definedName>
    <definedName name="tbv">[1]Insumos!#REF!</definedName>
    <definedName name="tbv_5">#REF!</definedName>
    <definedName name="ted" localSheetId="0">[1]Insumos!#REF!</definedName>
    <definedName name="ted">[1]Insumos!#REF!</definedName>
    <definedName name="ter" localSheetId="0">[1]Insumos!#REF!</definedName>
    <definedName name="ter">[1]Insumos!#REF!</definedName>
    <definedName name="tes" localSheetId="0">[1]Insumos!#REF!</definedName>
    <definedName name="tes">[1]Insumos!#REF!</definedName>
    <definedName name="tic">NA()</definedName>
    <definedName name="TID">#REF!</definedName>
    <definedName name="TID_2">#REF!</definedName>
    <definedName name="_xlnm.Print_Titles" localSheetId="2">INSUMOS!$2:$10</definedName>
    <definedName name="_xlnm.Print_Titles" localSheetId="0">'Planilha Orçamentária'!$B:$G,'Planilha Orçamentária'!$2:$19</definedName>
    <definedName name="tjc" localSheetId="0">[1]Insumos!#REF!</definedName>
    <definedName name="tjc">[1]Insumos!#REF!</definedName>
    <definedName name="tjf" localSheetId="0">[1]Insumos!#REF!</definedName>
    <definedName name="tjf">[1]Insumos!#REF!</definedName>
    <definedName name="tlc" localSheetId="0">[1]Insumos!#REF!</definedName>
    <definedName name="tlc">[1]Insumos!#REF!</definedName>
    <definedName name="tlf" localSheetId="0">[1]Insumos!#REF!</definedName>
    <definedName name="tlf">[1]Insumos!#REF!</definedName>
    <definedName name="tnp1_2" localSheetId="0">[1]Insumos!#REF!</definedName>
    <definedName name="tnp1_2">[1]Insumos!#REF!</definedName>
    <definedName name="tof" localSheetId="0">[1]Insumos!#REF!</definedName>
    <definedName name="tof">[1]Insumos!#REF!</definedName>
    <definedName name="TOT">#REF!</definedName>
    <definedName name="TOT_2">#REF!</definedName>
    <definedName name="tp6_12" localSheetId="0">[1]Insumos!#REF!</definedName>
    <definedName name="tp6_12">[1]Insumos!#REF!</definedName>
    <definedName name="tp6_16" localSheetId="0">[1]Insumos!#REF!</definedName>
    <definedName name="tp6_16">[1]Insumos!#REF!</definedName>
    <definedName name="TPI">#REF!</definedName>
    <definedName name="tpl1_2" localSheetId="0">[1]Insumos!#REF!</definedName>
    <definedName name="tpl1_2">[1]Insumos!#REF!</definedName>
    <definedName name="tpmfs" localSheetId="0">[1]Insumos!#REF!</definedName>
    <definedName name="tpmfs">[1]Insumos!#REF!</definedName>
    <definedName name="TPP">#REF!</definedName>
    <definedName name="trb" localSheetId="0">[1]Insumos!#REF!</definedName>
    <definedName name="trb">[1]Insumos!#REF!</definedName>
    <definedName name="tre" localSheetId="0">[1]Insumos!#REF!</definedName>
    <definedName name="tre">[1]Insumos!#REF!</definedName>
    <definedName name="ttc" localSheetId="0">[1]Insumos!#REF!</definedName>
    <definedName name="ttc">[1]Insumos!#REF!</definedName>
    <definedName name="tte" localSheetId="0">[1]Insumos!#REF!</definedName>
    <definedName name="tte">[1]Insumos!#REF!</definedName>
    <definedName name="tus" localSheetId="0">[1]Insumos!#REF!</definedName>
    <definedName name="tus">[1]Insumos!#REF!</definedName>
    <definedName name="tuso" localSheetId="0">[1]Insumos!#REF!</definedName>
    <definedName name="tuso">[1]Insumos!#REF!</definedName>
    <definedName name="USS">#REF!</definedName>
    <definedName name="v60120_" localSheetId="0">[1]Insumos!#REF!</definedName>
    <definedName name="v60120_">[1]Insumos!#REF!</definedName>
    <definedName name="VII">#REF!</definedName>
    <definedName name="VIP">#REF!</definedName>
    <definedName name="VLR">#REF!</definedName>
    <definedName name="vsb" localSheetId="0">[1]Insumos!#REF!</definedName>
    <definedName name="vsb">[1]Insumos!#REF!</definedName>
    <definedName name="zar" localSheetId="0">[1]Insumos!#REF!</definedName>
    <definedName name="zar">[1]Insumos!#REF!</definedName>
  </definedNames>
  <calcPr calcId="145621" fullPrecision="0"/>
</workbook>
</file>

<file path=xl/calcChain.xml><?xml version="1.0" encoding="utf-8"?>
<calcChain xmlns="http://schemas.openxmlformats.org/spreadsheetml/2006/main">
  <c r="J25" i="10" l="1"/>
  <c r="J9" i="10" l="1"/>
  <c r="C35" i="11" l="1"/>
  <c r="E33" i="11"/>
  <c r="H585" i="2" l="1"/>
  <c r="D35" i="13" l="1"/>
  <c r="D27" i="13"/>
  <c r="D29" i="12"/>
  <c r="D22" i="12"/>
  <c r="F46" i="10" l="1"/>
  <c r="F61" i="10"/>
  <c r="F63" i="10"/>
  <c r="F73" i="10"/>
  <c r="F72" i="10"/>
  <c r="F71" i="10"/>
  <c r="F70" i="10"/>
  <c r="F69" i="10"/>
  <c r="F68" i="10"/>
  <c r="F64" i="10"/>
  <c r="F62" i="10"/>
  <c r="F45" i="10"/>
  <c r="F43" i="10"/>
  <c r="F59" i="10"/>
  <c r="F58" i="10"/>
  <c r="F57" i="10"/>
  <c r="F56" i="10"/>
  <c r="F55" i="10"/>
  <c r="F54" i="10"/>
  <c r="F53" i="10"/>
  <c r="F52" i="10"/>
  <c r="F51" i="10"/>
  <c r="F50" i="10"/>
  <c r="F44" i="10"/>
  <c r="F33" i="10" l="1"/>
  <c r="F35" i="10" l="1"/>
  <c r="F39" i="10"/>
  <c r="F34" i="10"/>
  <c r="F29" i="10"/>
  <c r="F31" i="10"/>
  <c r="F38" i="10"/>
  <c r="F28" i="10"/>
  <c r="F41" i="10"/>
  <c r="F37" i="10"/>
  <c r="F27" i="10"/>
  <c r="F40" i="10"/>
  <c r="F30" i="10"/>
  <c r="F48" i="10"/>
  <c r="F65" i="10" l="1"/>
  <c r="F36" i="10" l="1"/>
  <c r="F32" i="10"/>
  <c r="F24" i="10"/>
  <c r="D29" i="13" l="1"/>
  <c r="D22" i="13"/>
  <c r="D24" i="12"/>
  <c r="D18" i="12"/>
  <c r="E123" i="5"/>
  <c r="H125" i="2" l="1"/>
  <c r="H998" i="2" l="1"/>
  <c r="H997" i="2"/>
  <c r="H996" i="2"/>
  <c r="H987" i="2"/>
  <c r="H986" i="2"/>
  <c r="H985" i="2"/>
  <c r="H984" i="2"/>
  <c r="H983" i="2"/>
  <c r="H982" i="2"/>
  <c r="H722" i="2"/>
  <c r="H690" i="2"/>
  <c r="H988" i="2"/>
  <c r="E120" i="5"/>
  <c r="H440" i="2"/>
  <c r="H74" i="2"/>
  <c r="H73" i="2"/>
  <c r="H65" i="2"/>
  <c r="H64" i="2"/>
  <c r="I64" i="2" s="1"/>
  <c r="H63" i="2"/>
  <c r="H62" i="2"/>
  <c r="H100" i="2"/>
  <c r="I100" i="2" s="1"/>
  <c r="G86" i="2"/>
  <c r="I86" i="2" s="1"/>
  <c r="I87" i="2" s="1"/>
  <c r="H92" i="2"/>
  <c r="I92" i="2" s="1"/>
  <c r="H91" i="2"/>
  <c r="I91" i="2" s="1"/>
  <c r="H90" i="2"/>
  <c r="I90" i="2" s="1"/>
  <c r="I93" i="2" l="1"/>
  <c r="I101" i="2"/>
  <c r="H1102" i="2"/>
  <c r="I1102" i="2" s="1"/>
  <c r="H1101" i="2"/>
  <c r="I1101" i="2" s="1"/>
  <c r="H1093" i="2"/>
  <c r="I1093" i="2" s="1"/>
  <c r="H1092" i="2"/>
  <c r="I1092" i="2" s="1"/>
  <c r="H1091" i="2"/>
  <c r="I1091" i="2" s="1"/>
  <c r="H1090" i="2"/>
  <c r="I1090" i="2" s="1"/>
  <c r="H1086" i="2"/>
  <c r="I1086" i="2" s="1"/>
  <c r="I1087" i="2" s="1"/>
  <c r="H1075" i="2"/>
  <c r="I1075" i="2" s="1"/>
  <c r="H1074" i="2"/>
  <c r="I1074" i="2" s="1"/>
  <c r="H1066" i="2"/>
  <c r="I1066" i="2" s="1"/>
  <c r="H1065" i="2"/>
  <c r="I1065" i="2" s="1"/>
  <c r="H1014" i="2"/>
  <c r="I1014" i="2" s="1"/>
  <c r="I1015" i="2" s="1"/>
  <c r="H1040" i="2"/>
  <c r="I1040" i="2" s="1"/>
  <c r="I1041" i="2" s="1"/>
  <c r="H1023" i="2"/>
  <c r="I1023" i="2" s="1"/>
  <c r="H1049" i="2"/>
  <c r="I1049" i="2" s="1"/>
  <c r="H1048" i="2"/>
  <c r="I1048" i="2" s="1"/>
  <c r="H1022" i="2"/>
  <c r="I1022" i="2" s="1"/>
  <c r="H966" i="2"/>
  <c r="E23" i="5"/>
  <c r="E22" i="5"/>
  <c r="I74" i="2"/>
  <c r="I73" i="2"/>
  <c r="I65" i="2"/>
  <c r="I63" i="2"/>
  <c r="I62" i="2"/>
  <c r="I998" i="2"/>
  <c r="I997" i="2"/>
  <c r="I996" i="2"/>
  <c r="I988" i="2"/>
  <c r="I987" i="2"/>
  <c r="I986" i="2"/>
  <c r="I125" i="2"/>
  <c r="I117" i="2"/>
  <c r="F66" i="10"/>
  <c r="F67" i="10" s="1"/>
  <c r="D40" i="13"/>
  <c r="D32" i="13"/>
  <c r="D24" i="13"/>
  <c r="D10" i="13"/>
  <c r="D34" i="12"/>
  <c r="D27" i="12"/>
  <c r="D20" i="12"/>
  <c r="D9" i="12"/>
  <c r="D15" i="12" s="1"/>
  <c r="I102" i="2" l="1"/>
  <c r="I103" i="2" s="1"/>
  <c r="I1103" i="2"/>
  <c r="I1094" i="2"/>
  <c r="I1067" i="2"/>
  <c r="I1076" i="2"/>
  <c r="I1050" i="2"/>
  <c r="I1051" i="2" s="1"/>
  <c r="I1052" i="2" s="1"/>
  <c r="I983" i="2"/>
  <c r="I985" i="2"/>
  <c r="I1024" i="2"/>
  <c r="I66" i="2"/>
  <c r="I75" i="2"/>
  <c r="I982" i="2"/>
  <c r="I984" i="2"/>
  <c r="I999" i="2"/>
  <c r="I126" i="2"/>
  <c r="I118" i="2"/>
  <c r="D18" i="13"/>
  <c r="D14" i="13"/>
  <c r="D46" i="13" s="1"/>
  <c r="D12" i="12"/>
  <c r="D39" i="12" s="1"/>
  <c r="G113" i="2" l="1"/>
  <c r="I113" i="2" s="1"/>
  <c r="I114" i="2" s="1"/>
  <c r="I127" i="2" s="1"/>
  <c r="I128" i="2" s="1"/>
  <c r="D47" i="13"/>
  <c r="I989" i="2"/>
  <c r="I1000" i="2" s="1"/>
  <c r="I1001" i="2" s="1"/>
  <c r="H69" i="2"/>
  <c r="I69" i="2" s="1"/>
  <c r="I70" i="2" s="1"/>
  <c r="I76" i="2" s="1"/>
  <c r="I77" i="2" s="1"/>
  <c r="I1104" i="2"/>
  <c r="I1105" i="2" s="1"/>
  <c r="H819" i="2" s="1"/>
  <c r="I1077" i="2"/>
  <c r="I1078" i="2" s="1"/>
  <c r="H763" i="2" s="1"/>
  <c r="H669" i="2"/>
  <c r="I1025" i="2"/>
  <c r="I1026" i="2" s="1"/>
  <c r="D50" i="13"/>
  <c r="D42" i="12"/>
  <c r="D38" i="12"/>
  <c r="H24" i="10" s="1"/>
  <c r="D51" i="13" l="1"/>
  <c r="H932" i="2"/>
  <c r="H790" i="2"/>
  <c r="H550" i="2"/>
  <c r="D41" i="12"/>
  <c r="H725" i="2" l="1"/>
  <c r="H545" i="2"/>
  <c r="H940" i="2" l="1"/>
  <c r="H939" i="2"/>
  <c r="H826" i="2"/>
  <c r="I826" i="2" s="1"/>
  <c r="H797" i="2"/>
  <c r="H827" i="2"/>
  <c r="I827" i="2" s="1"/>
  <c r="H798" i="2"/>
  <c r="D863" i="2"/>
  <c r="I940" i="2" l="1"/>
  <c r="I939" i="2"/>
  <c r="I798" i="2"/>
  <c r="I797" i="2"/>
  <c r="H587" i="2" l="1"/>
  <c r="I587" i="2" s="1"/>
  <c r="D722" i="2" l="1"/>
  <c r="H723" i="2"/>
  <c r="H724" i="2"/>
  <c r="D885" i="2"/>
  <c r="D884" i="2"/>
  <c r="D883" i="2"/>
  <c r="H885" i="2"/>
  <c r="H884" i="2"/>
  <c r="H883" i="2"/>
  <c r="H882" i="2"/>
  <c r="H881" i="2"/>
  <c r="D882" i="2"/>
  <c r="D881" i="2"/>
  <c r="D873" i="2"/>
  <c r="D872" i="2"/>
  <c r="D871" i="2"/>
  <c r="D870" i="2"/>
  <c r="H873" i="2"/>
  <c r="H872" i="2"/>
  <c r="H871" i="2"/>
  <c r="H870" i="2"/>
  <c r="H869" i="2"/>
  <c r="D869" i="2"/>
  <c r="H868" i="2"/>
  <c r="D868" i="2"/>
  <c r="D867" i="2"/>
  <c r="H867" i="2"/>
  <c r="G863" i="2"/>
  <c r="H768" i="2" l="1"/>
  <c r="H767" i="2"/>
  <c r="H756" i="2"/>
  <c r="H755" i="2"/>
  <c r="H754" i="2"/>
  <c r="H753" i="2"/>
  <c r="H737" i="2" l="1"/>
  <c r="H736" i="2"/>
  <c r="H728" i="2"/>
  <c r="H727" i="2"/>
  <c r="H726" i="2"/>
  <c r="I768" i="2" l="1"/>
  <c r="I767" i="2"/>
  <c r="I763" i="2"/>
  <c r="D762" i="2"/>
  <c r="I756" i="2"/>
  <c r="I755" i="2"/>
  <c r="I754" i="2"/>
  <c r="I753" i="2"/>
  <c r="I737" i="2"/>
  <c r="I736" i="2"/>
  <c r="I728" i="2"/>
  <c r="I727" i="2"/>
  <c r="I726" i="2"/>
  <c r="I725" i="2"/>
  <c r="I724" i="2"/>
  <c r="I723" i="2"/>
  <c r="I722" i="2"/>
  <c r="I757" i="2" l="1"/>
  <c r="I738" i="2"/>
  <c r="I729" i="2"/>
  <c r="I769" i="2"/>
  <c r="I885" i="2"/>
  <c r="I884" i="2"/>
  <c r="I883" i="2"/>
  <c r="I882" i="2"/>
  <c r="I881" i="2"/>
  <c r="I873" i="2"/>
  <c r="I872" i="2"/>
  <c r="I871" i="2"/>
  <c r="I870" i="2"/>
  <c r="I869" i="2"/>
  <c r="I868" i="2"/>
  <c r="I863" i="2"/>
  <c r="I864" i="2" s="1"/>
  <c r="H647" i="2"/>
  <c r="I647" i="2" s="1"/>
  <c r="I648" i="2" s="1"/>
  <c r="I739" i="2" l="1"/>
  <c r="I740" i="2" s="1"/>
  <c r="I867" i="2"/>
  <c r="I874" i="2" s="1"/>
  <c r="I886" i="2"/>
  <c r="I649" i="2"/>
  <c r="I650" i="2" s="1"/>
  <c r="I887" i="2" l="1"/>
  <c r="I888" i="2" s="1"/>
  <c r="H623" i="2" l="1"/>
  <c r="I623" i="2" s="1"/>
  <c r="I624" i="2" l="1"/>
  <c r="I625" i="2" s="1"/>
  <c r="I626" i="2" s="1"/>
  <c r="H762" i="2" s="1"/>
  <c r="I762" i="2" s="1"/>
  <c r="H314" i="2"/>
  <c r="I314" i="2" s="1"/>
  <c r="H306" i="2"/>
  <c r="I306" i="2" s="1"/>
  <c r="H305" i="2"/>
  <c r="I305" i="2" s="1"/>
  <c r="G301" i="2"/>
  <c r="I301" i="2" s="1"/>
  <c r="I302" i="2" s="1"/>
  <c r="H911" i="2"/>
  <c r="I911" i="2" s="1"/>
  <c r="H910" i="2"/>
  <c r="I910" i="2" s="1"/>
  <c r="H909" i="2"/>
  <c r="I909" i="2" s="1"/>
  <c r="H901" i="2"/>
  <c r="I901" i="2" s="1"/>
  <c r="I902" i="2" s="1"/>
  <c r="I966" i="2"/>
  <c r="H965" i="2"/>
  <c r="I965" i="2" s="1"/>
  <c r="H957" i="2"/>
  <c r="I957" i="2" s="1"/>
  <c r="H956" i="2"/>
  <c r="I956" i="2" s="1"/>
  <c r="H851" i="2"/>
  <c r="H850" i="2"/>
  <c r="I850" i="2" s="1"/>
  <c r="H674" i="2"/>
  <c r="H673" i="2"/>
  <c r="H665" i="2"/>
  <c r="H664" i="2"/>
  <c r="H663" i="2"/>
  <c r="H177" i="2"/>
  <c r="H233" i="2"/>
  <c r="H232" i="2"/>
  <c r="H231" i="2"/>
  <c r="H222" i="2"/>
  <c r="H223" i="2"/>
  <c r="H221" i="2"/>
  <c r="G217" i="2"/>
  <c r="G216" i="2"/>
  <c r="H340" i="2"/>
  <c r="H339" i="2"/>
  <c r="H331" i="2"/>
  <c r="H330" i="2"/>
  <c r="G326" i="2"/>
  <c r="H555" i="2"/>
  <c r="H554" i="2"/>
  <c r="H546" i="2"/>
  <c r="H393" i="2"/>
  <c r="H392" i="2"/>
  <c r="H384" i="2"/>
  <c r="H383" i="2"/>
  <c r="H382" i="2"/>
  <c r="H366" i="2"/>
  <c r="H365" i="2"/>
  <c r="H357" i="2"/>
  <c r="H356" i="2"/>
  <c r="G352" i="2"/>
  <c r="H707" i="2"/>
  <c r="H706" i="2"/>
  <c r="H698" i="2"/>
  <c r="H697" i="2"/>
  <c r="H696" i="2"/>
  <c r="H695" i="2"/>
  <c r="H694" i="2"/>
  <c r="H693" i="2"/>
  <c r="H692" i="2"/>
  <c r="H691" i="2"/>
  <c r="H938" i="2"/>
  <c r="H937" i="2"/>
  <c r="H928" i="2"/>
  <c r="H927" i="2"/>
  <c r="G923" i="2"/>
  <c r="H825" i="2"/>
  <c r="H824" i="2"/>
  <c r="H815" i="2"/>
  <c r="H814" i="2"/>
  <c r="H813" i="2"/>
  <c r="G809" i="2"/>
  <c r="H796" i="2"/>
  <c r="H795" i="2"/>
  <c r="I307" i="2" l="1"/>
  <c r="I315" i="2"/>
  <c r="I912" i="2"/>
  <c r="I958" i="2"/>
  <c r="I967" i="2"/>
  <c r="I316" i="2" l="1"/>
  <c r="I317" i="2" s="1"/>
  <c r="I968" i="2"/>
  <c r="I969" i="2" s="1"/>
  <c r="H761" i="2" s="1"/>
  <c r="I761" i="2" s="1"/>
  <c r="H820" i="2" l="1"/>
  <c r="H791" i="2"/>
  <c r="H933" i="2"/>
  <c r="H905" i="2"/>
  <c r="I905" i="2" s="1"/>
  <c r="I906" i="2" s="1"/>
  <c r="I913" i="2" s="1"/>
  <c r="I914" i="2" s="1"/>
  <c r="H786" i="2" l="1"/>
  <c r="H785" i="2"/>
  <c r="H784" i="2"/>
  <c r="G780" i="2"/>
  <c r="H289" i="2"/>
  <c r="H288" i="2"/>
  <c r="H280" i="2"/>
  <c r="H279" i="2"/>
  <c r="H528" i="2"/>
  <c r="H202" i="2" l="1"/>
  <c r="G189" i="2"/>
  <c r="G140" i="2"/>
  <c r="G33" i="2" l="1"/>
  <c r="G7" i="2"/>
  <c r="G6" i="2"/>
  <c r="D18" i="11" l="1"/>
  <c r="H18" i="11" s="1"/>
  <c r="H28" i="11"/>
  <c r="E24" i="11"/>
  <c r="H20" i="11" s="1"/>
  <c r="H22" i="11"/>
  <c r="E14" i="11"/>
  <c r="H14" i="11" l="1"/>
  <c r="C36" i="11" l="1"/>
  <c r="D54" i="13" l="1"/>
  <c r="D55" i="13"/>
  <c r="D44" i="12"/>
  <c r="C104" i="2"/>
  <c r="I104" i="2" s="1"/>
  <c r="I105" i="2" s="1"/>
  <c r="C1053" i="2"/>
  <c r="I1053" i="2" s="1"/>
  <c r="I1054" i="2" s="1"/>
  <c r="C1002" i="2"/>
  <c r="I1002" i="2" s="1"/>
  <c r="I1003" i="2" s="1"/>
  <c r="H62" i="10" s="1"/>
  <c r="C889" i="2"/>
  <c r="I889" i="2" s="1"/>
  <c r="I890" i="2" s="1"/>
  <c r="C772" i="2"/>
  <c r="C651" i="2"/>
  <c r="I651" i="2" s="1"/>
  <c r="I652" i="2" s="1"/>
  <c r="C449" i="2"/>
  <c r="C344" i="2"/>
  <c r="C266" i="2"/>
  <c r="C129" i="2"/>
  <c r="I129" i="2" s="1"/>
  <c r="I130" i="2" s="1"/>
  <c r="C78" i="2"/>
  <c r="I78" i="2" s="1"/>
  <c r="I79" i="2" s="1"/>
  <c r="H23" i="10" s="1"/>
  <c r="C802" i="2"/>
  <c r="C370" i="2"/>
  <c r="C157" i="2"/>
  <c r="C1106" i="2"/>
  <c r="I1106" i="2" s="1"/>
  <c r="I1107" i="2" s="1"/>
  <c r="C970" i="2"/>
  <c r="I970" i="2" s="1"/>
  <c r="I971" i="2" s="1"/>
  <c r="C855" i="2"/>
  <c r="C741" i="2"/>
  <c r="I741" i="2" s="1"/>
  <c r="I742" i="2" s="1"/>
  <c r="C627" i="2"/>
  <c r="I627" i="2" s="1"/>
  <c r="I628" i="2" s="1"/>
  <c r="C533" i="2"/>
  <c r="C424" i="2"/>
  <c r="C318" i="2"/>
  <c r="I318" i="2" s="1"/>
  <c r="I319" i="2" s="1"/>
  <c r="C208" i="2"/>
  <c r="C50" i="2"/>
  <c r="C915" i="2"/>
  <c r="I915" i="2" s="1"/>
  <c r="I916" i="2" s="1"/>
  <c r="C559" i="2"/>
  <c r="C237" i="2"/>
  <c r="C1079" i="2"/>
  <c r="I1079" i="2" s="1"/>
  <c r="I1080" i="2" s="1"/>
  <c r="C1027" i="2"/>
  <c r="I1027" i="2" s="1"/>
  <c r="I1028" i="2" s="1"/>
  <c r="E6" i="5"/>
  <c r="C944" i="2"/>
  <c r="C831" i="2"/>
  <c r="C711" i="2"/>
  <c r="C603" i="2"/>
  <c r="C501" i="2"/>
  <c r="C397" i="2"/>
  <c r="C293" i="2"/>
  <c r="C181" i="2"/>
  <c r="C24" i="2"/>
  <c r="C678" i="2"/>
  <c r="C475" i="2"/>
  <c r="D45" i="12"/>
  <c r="I851" i="2"/>
  <c r="I674" i="2"/>
  <c r="I673" i="2"/>
  <c r="I665" i="2"/>
  <c r="I664" i="2"/>
  <c r="I663" i="2"/>
  <c r="I659" i="2"/>
  <c r="I660" i="2" s="1"/>
  <c r="I177" i="2"/>
  <c r="I178" i="2" s="1"/>
  <c r="I233" i="2"/>
  <c r="I232" i="2"/>
  <c r="I231" i="2"/>
  <c r="I223" i="2"/>
  <c r="I222" i="2"/>
  <c r="I221" i="2"/>
  <c r="I217" i="2"/>
  <c r="I216" i="2"/>
  <c r="I340" i="2"/>
  <c r="I339" i="2"/>
  <c r="I331" i="2"/>
  <c r="I330" i="2"/>
  <c r="I326" i="2"/>
  <c r="I327" i="2" s="1"/>
  <c r="H70" i="10" l="1"/>
  <c r="H52" i="10"/>
  <c r="H33" i="10"/>
  <c r="I132" i="2"/>
  <c r="H25" i="10" s="1"/>
  <c r="H58" i="10"/>
  <c r="H57" i="10"/>
  <c r="I341" i="2"/>
  <c r="I666" i="2"/>
  <c r="I224" i="2"/>
  <c r="I218" i="2"/>
  <c r="I852" i="2"/>
  <c r="I332" i="2"/>
  <c r="I179" i="2"/>
  <c r="I675" i="2"/>
  <c r="I234" i="2"/>
  <c r="H64" i="10" l="1"/>
  <c r="H66" i="10"/>
  <c r="H67" i="10"/>
  <c r="I180" i="2"/>
  <c r="I181" i="2" s="1"/>
  <c r="I342" i="2"/>
  <c r="I343" i="2" s="1"/>
  <c r="I344" i="2" s="1"/>
  <c r="I345" i="2" s="1"/>
  <c r="I853" i="2"/>
  <c r="I235" i="2"/>
  <c r="I236" i="2" s="1"/>
  <c r="I555" i="2"/>
  <c r="I554" i="2"/>
  <c r="I550" i="2"/>
  <c r="I551" i="2" s="1"/>
  <c r="I546" i="2"/>
  <c r="I545" i="2"/>
  <c r="I393" i="2"/>
  <c r="I392" i="2"/>
  <c r="I384" i="2"/>
  <c r="I383" i="2"/>
  <c r="I382" i="2"/>
  <c r="I366" i="2"/>
  <c r="I365" i="2"/>
  <c r="I357" i="2"/>
  <c r="I356" i="2"/>
  <c r="I352" i="2"/>
  <c r="I353" i="2" s="1"/>
  <c r="I938" i="2"/>
  <c r="I937" i="2"/>
  <c r="I933" i="2"/>
  <c r="I932" i="2"/>
  <c r="I928" i="2"/>
  <c r="I927" i="2"/>
  <c r="I923" i="2"/>
  <c r="I924" i="2" s="1"/>
  <c r="I796" i="2"/>
  <c r="I795" i="2"/>
  <c r="I791" i="2"/>
  <c r="I790" i="2"/>
  <c r="I786" i="2"/>
  <c r="I785" i="2"/>
  <c r="I784" i="2"/>
  <c r="I780" i="2"/>
  <c r="I781" i="2" s="1"/>
  <c r="I707" i="2"/>
  <c r="I706" i="2"/>
  <c r="I698" i="2"/>
  <c r="I697" i="2"/>
  <c r="I696" i="2"/>
  <c r="I695" i="2"/>
  <c r="I694" i="2"/>
  <c r="I693" i="2"/>
  <c r="I692" i="2"/>
  <c r="I691" i="2"/>
  <c r="I690" i="2"/>
  <c r="I825" i="2"/>
  <c r="I824" i="2"/>
  <c r="I820" i="2"/>
  <c r="D819" i="2"/>
  <c r="I819" i="2" s="1"/>
  <c r="I815" i="2"/>
  <c r="I814" i="2"/>
  <c r="I813" i="2"/>
  <c r="I809" i="2"/>
  <c r="I810" i="2" s="1"/>
  <c r="H34" i="10" l="1"/>
  <c r="I669" i="2"/>
  <c r="I670" i="2" s="1"/>
  <c r="I676" i="2" s="1"/>
  <c r="I677" i="2" s="1"/>
  <c r="I678" i="2" s="1"/>
  <c r="I182" i="2"/>
  <c r="H63" i="10" s="1"/>
  <c r="I854" i="2"/>
  <c r="I855" i="2" s="1"/>
  <c r="I792" i="2"/>
  <c r="I547" i="2"/>
  <c r="I237" i="2"/>
  <c r="I238" i="2" s="1"/>
  <c r="H30" i="10" s="1"/>
  <c r="I821" i="2"/>
  <c r="I934" i="2"/>
  <c r="I385" i="2"/>
  <c r="I394" i="2"/>
  <c r="I367" i="2"/>
  <c r="I699" i="2"/>
  <c r="I816" i="2"/>
  <c r="I787" i="2"/>
  <c r="I929" i="2"/>
  <c r="I358" i="2"/>
  <c r="I556" i="2"/>
  <c r="I941" i="2"/>
  <c r="I799" i="2"/>
  <c r="I708" i="2"/>
  <c r="I828" i="2"/>
  <c r="I679" i="2" l="1"/>
  <c r="I709" i="2"/>
  <c r="I710" i="2" s="1"/>
  <c r="I557" i="2"/>
  <c r="I558" i="2" s="1"/>
  <c r="I856" i="2"/>
  <c r="I942" i="2"/>
  <c r="I943" i="2" s="1"/>
  <c r="I944" i="2" s="1"/>
  <c r="I395" i="2"/>
  <c r="I396" i="2" s="1"/>
  <c r="I368" i="2"/>
  <c r="I369" i="2" s="1"/>
  <c r="I829" i="2"/>
  <c r="I830" i="2" s="1"/>
  <c r="I831" i="2" s="1"/>
  <c r="I832" i="2" s="1"/>
  <c r="I800" i="2"/>
  <c r="I801" i="2" s="1"/>
  <c r="H68" i="10" l="1"/>
  <c r="H73" i="10"/>
  <c r="H28" i="10"/>
  <c r="H56" i="10"/>
  <c r="I559" i="2"/>
  <c r="I560" i="2" s="1"/>
  <c r="I711" i="2"/>
  <c r="I712" i="2" s="1"/>
  <c r="I397" i="2"/>
  <c r="I398" i="2" s="1"/>
  <c r="I945" i="2"/>
  <c r="I802" i="2"/>
  <c r="I803" i="2" s="1"/>
  <c r="I370" i="2"/>
  <c r="I371" i="2" s="1"/>
  <c r="H69" i="10" l="1"/>
  <c r="H72" i="10"/>
  <c r="H61" i="10"/>
  <c r="H59" i="10"/>
  <c r="H35" i="10"/>
  <c r="H36" i="10"/>
  <c r="I289" i="2"/>
  <c r="I288" i="2"/>
  <c r="I280" i="2"/>
  <c r="I279" i="2"/>
  <c r="I290" i="2" l="1"/>
  <c r="H251" i="2" l="1"/>
  <c r="H194" i="2"/>
  <c r="H144" i="2"/>
  <c r="C1" i="2" l="1"/>
  <c r="E71" i="5"/>
  <c r="H278" i="2"/>
  <c r="I278" i="2" s="1"/>
  <c r="I281" i="2" s="1"/>
  <c r="I291" i="2" s="1"/>
  <c r="I292" i="2" s="1"/>
  <c r="I293" i="2" l="1"/>
  <c r="I294" i="2" s="1"/>
  <c r="H45" i="10"/>
  <c r="H46" i="10"/>
  <c r="H50" i="10"/>
  <c r="H51" i="10"/>
  <c r="H54" i="10"/>
  <c r="H55" i="10"/>
  <c r="H32" i="10" l="1"/>
  <c r="F47" i="10"/>
  <c r="H47" i="10" s="1"/>
  <c r="H48" i="10"/>
  <c r="H43" i="10"/>
  <c r="C184" i="2"/>
  <c r="H152" i="2"/>
  <c r="I152" i="2" s="1"/>
  <c r="H262" i="2"/>
  <c r="I262" i="2" s="1"/>
  <c r="H573" i="2"/>
  <c r="I573" i="2" s="1"/>
  <c r="H582" i="2"/>
  <c r="I582" i="2" s="1"/>
  <c r="H588" i="2"/>
  <c r="I588" i="2" s="1"/>
  <c r="H579" i="2"/>
  <c r="I579" i="2" s="1"/>
  <c r="G32" i="2"/>
  <c r="I32" i="2" s="1"/>
  <c r="H520" i="2"/>
  <c r="I520" i="2" s="1"/>
  <c r="H411" i="2"/>
  <c r="I411" i="2" s="1"/>
  <c r="H583" i="2"/>
  <c r="I583" i="2" s="1"/>
  <c r="H580" i="2"/>
  <c r="I580" i="2" s="1"/>
  <c r="H576" i="2"/>
  <c r="I576" i="2" s="1"/>
  <c r="H514" i="2"/>
  <c r="I514" i="2" s="1"/>
  <c r="H516" i="2"/>
  <c r="I516" i="2" s="1"/>
  <c r="H519" i="2"/>
  <c r="I519" i="2" s="1"/>
  <c r="H599" i="2"/>
  <c r="I599" i="2" s="1"/>
  <c r="H419" i="2"/>
  <c r="I419" i="2" s="1"/>
  <c r="H444" i="2"/>
  <c r="I444" i="2" s="1"/>
  <c r="I144" i="2"/>
  <c r="I145" i="2" s="1"/>
  <c r="I585" i="2"/>
  <c r="I194" i="2"/>
  <c r="I251" i="2"/>
  <c r="H462" i="2"/>
  <c r="I462" i="2" s="1"/>
  <c r="I440" i="2"/>
  <c r="I441" i="2" s="1"/>
  <c r="H584" i="2"/>
  <c r="I584" i="2" s="1"/>
  <c r="H492" i="2"/>
  <c r="H261" i="2"/>
  <c r="I261" i="2" s="1"/>
  <c r="H513" i="2"/>
  <c r="I513" i="2" s="1"/>
  <c r="H461" i="2"/>
  <c r="I461" i="2" s="1"/>
  <c r="H471" i="2"/>
  <c r="I471" i="2" s="1"/>
  <c r="H203" i="2"/>
  <c r="I203" i="2" s="1"/>
  <c r="H581" i="2"/>
  <c r="I581" i="2" s="1"/>
  <c r="H250" i="2"/>
  <c r="I250" i="2" s="1"/>
  <c r="H470" i="2"/>
  <c r="I470" i="2" s="1"/>
  <c r="H598" i="2"/>
  <c r="I598" i="2" s="1"/>
  <c r="H252" i="2"/>
  <c r="I252" i="2" s="1"/>
  <c r="I6" i="2"/>
  <c r="H260" i="2"/>
  <c r="I260" i="2" s="1"/>
  <c r="H515" i="2"/>
  <c r="I515" i="2" s="1"/>
  <c r="H409" i="2"/>
  <c r="I409" i="2" s="1"/>
  <c r="H586" i="2"/>
  <c r="I586" i="2" s="1"/>
  <c r="H410" i="2"/>
  <c r="I410" i="2" s="1"/>
  <c r="H45" i="2"/>
  <c r="I45" i="2" s="1"/>
  <c r="I47" i="2" s="1"/>
  <c r="H153" i="2"/>
  <c r="I153" i="2" s="1"/>
  <c r="H19" i="2"/>
  <c r="I19" i="2" s="1"/>
  <c r="I21" i="2" s="1"/>
  <c r="H529" i="2"/>
  <c r="I529" i="2" s="1"/>
  <c r="H597" i="2"/>
  <c r="I597" i="2" s="1"/>
  <c r="H577" i="2"/>
  <c r="I577" i="2" s="1"/>
  <c r="I140" i="2"/>
  <c r="I7" i="2"/>
  <c r="I33" i="2"/>
  <c r="H571" i="2"/>
  <c r="I571" i="2" s="1"/>
  <c r="H589" i="2"/>
  <c r="I589" i="2" s="1"/>
  <c r="H518" i="2"/>
  <c r="I518" i="2" s="1"/>
  <c r="I189" i="2"/>
  <c r="I190" i="2" s="1"/>
  <c r="H575" i="2"/>
  <c r="I575" i="2" s="1"/>
  <c r="H517" i="2"/>
  <c r="I517" i="2" s="1"/>
  <c r="I528" i="2"/>
  <c r="G509" i="2"/>
  <c r="I509" i="2" s="1"/>
  <c r="I510" i="2" s="1"/>
  <c r="H572" i="2"/>
  <c r="I572" i="2" s="1"/>
  <c r="G432" i="2"/>
  <c r="I432" i="2" s="1"/>
  <c r="I433" i="2" s="1"/>
  <c r="G457" i="2"/>
  <c r="I457" i="2" s="1"/>
  <c r="I458" i="2" s="1"/>
  <c r="H193" i="2"/>
  <c r="I193" i="2" s="1"/>
  <c r="H574" i="2"/>
  <c r="I574" i="2" s="1"/>
  <c r="H578" i="2"/>
  <c r="I578" i="2" s="1"/>
  <c r="G245" i="2"/>
  <c r="I245" i="2" s="1"/>
  <c r="G405" i="2"/>
  <c r="I405" i="2" s="1"/>
  <c r="I406" i="2" s="1"/>
  <c r="H204" i="2"/>
  <c r="I204" i="2" s="1"/>
  <c r="I202" i="2"/>
  <c r="H445" i="2"/>
  <c r="I445" i="2" s="1"/>
  <c r="H420" i="2"/>
  <c r="I420" i="2" s="1"/>
  <c r="I492" i="2" l="1"/>
  <c r="I493" i="2" s="1"/>
  <c r="I499" i="2" s="1"/>
  <c r="I500" i="2" s="1"/>
  <c r="H65" i="10"/>
  <c r="F49" i="10"/>
  <c r="H49" i="10" s="1"/>
  <c r="I195" i="2"/>
  <c r="I463" i="2"/>
  <c r="G246" i="2"/>
  <c r="I246" i="2" s="1"/>
  <c r="I247" i="2" s="1"/>
  <c r="I34" i="2"/>
  <c r="I48" i="2" s="1"/>
  <c r="I49" i="2" s="1"/>
  <c r="G139" i="2"/>
  <c r="I139" i="2" s="1"/>
  <c r="I141" i="2" s="1"/>
  <c r="I600" i="2"/>
  <c r="I446" i="2"/>
  <c r="I447" i="2" s="1"/>
  <c r="I448" i="2" s="1"/>
  <c r="I530" i="2"/>
  <c r="I472" i="2"/>
  <c r="I253" i="2"/>
  <c r="I412" i="2"/>
  <c r="I8" i="2"/>
  <c r="I22" i="2" s="1"/>
  <c r="I23" i="2" s="1"/>
  <c r="I590" i="2"/>
  <c r="I205" i="2"/>
  <c r="I421" i="2"/>
  <c r="I154" i="2"/>
  <c r="I521" i="2"/>
  <c r="I263" i="2"/>
  <c r="I206" i="2" l="1"/>
  <c r="I207" i="2" s="1"/>
  <c r="I473" i="2"/>
  <c r="I474" i="2" s="1"/>
  <c r="I449" i="2"/>
  <c r="I450" i="2" s="1"/>
  <c r="I24" i="2"/>
  <c r="I25" i="2" s="1"/>
  <c r="I50" i="2"/>
  <c r="I51" i="2" s="1"/>
  <c r="H22" i="10" s="1"/>
  <c r="I501" i="2"/>
  <c r="I502" i="2" s="1"/>
  <c r="I264" i="2"/>
  <c r="I265" i="2" s="1"/>
  <c r="I155" i="2"/>
  <c r="I156" i="2" s="1"/>
  <c r="I422" i="2"/>
  <c r="I423" i="2" s="1"/>
  <c r="I601" i="2"/>
  <c r="I602" i="2" s="1"/>
  <c r="I531" i="2"/>
  <c r="I532" i="2" s="1"/>
  <c r="H38" i="10" l="1"/>
  <c r="H40" i="10"/>
  <c r="H21" i="10"/>
  <c r="H20" i="10" s="1"/>
  <c r="H760" i="2"/>
  <c r="I760" i="2" s="1"/>
  <c r="I764" i="2" s="1"/>
  <c r="I770" i="2" s="1"/>
  <c r="I771" i="2" s="1"/>
  <c r="I475" i="2"/>
  <c r="I476" i="2" s="1"/>
  <c r="H39" i="10" s="1"/>
  <c r="I208" i="2"/>
  <c r="I209" i="2" s="1"/>
  <c r="H29" i="10" s="1"/>
  <c r="I157" i="2"/>
  <c r="I158" i="2" s="1"/>
  <c r="I603" i="2"/>
  <c r="I604" i="2" s="1"/>
  <c r="I424" i="2"/>
  <c r="I425" i="2" s="1"/>
  <c r="I266" i="2"/>
  <c r="I267" i="2" s="1"/>
  <c r="H31" i="10" s="1"/>
  <c r="I533" i="2"/>
  <c r="I534" i="2" s="1"/>
  <c r="H37" i="10" l="1"/>
  <c r="H27" i="10"/>
  <c r="I772" i="2"/>
  <c r="I773" i="2" s="1"/>
  <c r="H44" i="10"/>
  <c r="H41" i="10" l="1"/>
  <c r="H26" i="10" s="1"/>
  <c r="G14" i="10" s="1"/>
  <c r="H53" i="10"/>
  <c r="H42" i="10" s="1"/>
  <c r="H71" i="10"/>
  <c r="H60" i="10" s="1"/>
  <c r="G15" i="10" l="1"/>
  <c r="G16" i="10" s="1"/>
  <c r="J17" i="10" s="1"/>
</calcChain>
</file>

<file path=xl/sharedStrings.xml><?xml version="1.0" encoding="utf-8"?>
<sst xmlns="http://schemas.openxmlformats.org/spreadsheetml/2006/main" count="3084" uniqueCount="555">
  <si>
    <t xml:space="preserve">Obra:  </t>
  </si>
  <si>
    <t>PLANILHA ORÇAMENTÁRIA</t>
  </si>
  <si>
    <t>ITEM</t>
  </si>
  <si>
    <t>CÓDIGO</t>
  </si>
  <si>
    <t>DESCRIÇÃO DOS SERVIÇOS</t>
  </si>
  <si>
    <t>UNID.</t>
  </si>
  <si>
    <t>QUANT.</t>
  </si>
  <si>
    <t>PREÇO (R$)</t>
  </si>
  <si>
    <t>Serviços Preliminares</t>
  </si>
  <si>
    <t>1.1</t>
  </si>
  <si>
    <t>Mobilização de Equipamentos, Materiais e Pessoal.</t>
  </si>
  <si>
    <t>unid.</t>
  </si>
  <si>
    <t>1.2</t>
  </si>
  <si>
    <t>mês</t>
  </si>
  <si>
    <t>2.1</t>
  </si>
  <si>
    <t>2.2</t>
  </si>
  <si>
    <t>2.3</t>
  </si>
  <si>
    <t>2.4</t>
  </si>
  <si>
    <t>Perfuração de poço com diâmetro mínimo de 8" (solo decomposto).</t>
  </si>
  <si>
    <t>m</t>
  </si>
  <si>
    <t>2.5</t>
  </si>
  <si>
    <t>Perfuração de poço com diâmetro mínimo de 6" (rocha cristalina).</t>
  </si>
  <si>
    <t>2.6</t>
  </si>
  <si>
    <t>m³</t>
  </si>
  <si>
    <t>2.9</t>
  </si>
  <si>
    <t>3.1</t>
  </si>
  <si>
    <t>3.2</t>
  </si>
  <si>
    <t>3.3</t>
  </si>
  <si>
    <t>3.4</t>
  </si>
  <si>
    <t>3.5</t>
  </si>
  <si>
    <t xml:space="preserve"> COMPOSIÇÃO DE PREÇO UNITÁRIO</t>
  </si>
  <si>
    <t xml:space="preserve">UNIDADE: </t>
  </si>
  <si>
    <t>EQUIPAMENTO</t>
  </si>
  <si>
    <t>DISCRIMINAÇÃO</t>
  </si>
  <si>
    <t>UNID</t>
  </si>
  <si>
    <t>PROD</t>
  </si>
  <si>
    <t>IMPROD</t>
  </si>
  <si>
    <t>P.UNIT. PROD</t>
  </si>
  <si>
    <t>P.UNIT. IMPR</t>
  </si>
  <si>
    <t>P.TOTAL</t>
  </si>
  <si>
    <t>Caminhão truck p/ 13 toneladas</t>
  </si>
  <si>
    <t>h</t>
  </si>
  <si>
    <t>Pick-up leve, gasolina / 700 Kg</t>
  </si>
  <si>
    <t>SUB-TOTAL</t>
  </si>
  <si>
    <t>MATERIAL</t>
  </si>
  <si>
    <t>P.UNIT.</t>
  </si>
  <si>
    <t>SERVIÇOS - COMPOSIÇÕES AUXILIARES</t>
  </si>
  <si>
    <t>MÃO DE OBRA</t>
  </si>
  <si>
    <t>Servente</t>
  </si>
  <si>
    <t>PRODUÇÃO DA EQUIPE</t>
  </si>
  <si>
    <t xml:space="preserve">CUSTO </t>
  </si>
  <si>
    <t>TOTAL DO SERVIÇO - R$</t>
  </si>
  <si>
    <t>m²</t>
  </si>
  <si>
    <t>kg</t>
  </si>
  <si>
    <t>Carpinteiro</t>
  </si>
  <si>
    <t>Gasolina</t>
  </si>
  <si>
    <t>l</t>
  </si>
  <si>
    <t>Geólogo</t>
  </si>
  <si>
    <t>Perfuratriz</t>
  </si>
  <si>
    <t>Lubrificante</t>
  </si>
  <si>
    <t>Óleo diesel</t>
  </si>
  <si>
    <t>Encarregado</t>
  </si>
  <si>
    <t>Motorista</t>
  </si>
  <si>
    <t>Compressor</t>
  </si>
  <si>
    <t>Óleo Lubrificante</t>
  </si>
  <si>
    <t>Graxa grafitada</t>
  </si>
  <si>
    <t>Operador de perfuratriz</t>
  </si>
  <si>
    <t>Óleo Lubrificante.</t>
  </si>
  <si>
    <t>Operador de Compressor.</t>
  </si>
  <si>
    <t>Análise físico-químico e bacteriológica da água.</t>
  </si>
  <si>
    <t>Encanador</t>
  </si>
  <si>
    <t>Betoneira com capacidade de 400l. Motor Diesel de 7 HP.</t>
  </si>
  <si>
    <t>Registro pvc esfera soldável 2"</t>
  </si>
  <si>
    <t>Curva galvanizada  2".</t>
  </si>
  <si>
    <t>Luva ferro galv. 2"</t>
  </si>
  <si>
    <t>Fita isolante alto-fusão</t>
  </si>
  <si>
    <t>Fita veda rosca</t>
  </si>
  <si>
    <t>eletroduto de PVC rigido de 3/4".</t>
  </si>
  <si>
    <t>Curva de PVC de 90" de 3/4".</t>
  </si>
  <si>
    <t xml:space="preserve">Curva pvc de 180º </t>
  </si>
  <si>
    <t>Valvula de retenção vertical de 2" em broze com rosca.</t>
  </si>
  <si>
    <t>Haste de Aterramento com conector</t>
  </si>
  <si>
    <t>Eletricista</t>
  </si>
  <si>
    <t>Pedreiro</t>
  </si>
  <si>
    <t>Torneira plastica de 1/2".</t>
  </si>
  <si>
    <t>Desmoldante</t>
  </si>
  <si>
    <t>L</t>
  </si>
  <si>
    <t>Kg</t>
  </si>
  <si>
    <t>Areia Lavada</t>
  </si>
  <si>
    <t>Brita 1</t>
  </si>
  <si>
    <t>Brita 2</t>
  </si>
  <si>
    <t>Forma plana em tábua em madeira de mista.</t>
  </si>
  <si>
    <t>Cabo de alumínio de 4 AWG com alma de aço.</t>
  </si>
  <si>
    <t>Poste de concreto Duplo T, Tipo B, 500kg, h=9,0m.</t>
  </si>
  <si>
    <t>Isolador de pino de porcelana.</t>
  </si>
  <si>
    <t>Parafuso sextavado 5/8 x 10" completo.</t>
  </si>
  <si>
    <t>Alça pré-formada de distribuição</t>
  </si>
  <si>
    <t>Engenheiro elétrico júnior</t>
  </si>
  <si>
    <t>Cadista.</t>
  </si>
  <si>
    <t>Topografo.</t>
  </si>
  <si>
    <t>Auxiliar de topografia.</t>
  </si>
  <si>
    <t xml:space="preserve"> </t>
  </si>
  <si>
    <t>BDI =</t>
  </si>
  <si>
    <t>%</t>
  </si>
  <si>
    <t>COMPONENTE GERAL</t>
  </si>
  <si>
    <t>Indíce de Leis Sociais</t>
  </si>
  <si>
    <t>DESCRIÇÃO</t>
  </si>
  <si>
    <t>VR.UNIT.</t>
  </si>
  <si>
    <t>FORNECEDOR</t>
  </si>
  <si>
    <t>SINAPI</t>
  </si>
  <si>
    <t>Motorista - veículo pesado</t>
  </si>
  <si>
    <t>Óleo diesel comum</t>
  </si>
  <si>
    <t>Prego 18x30</t>
  </si>
  <si>
    <t xml:space="preserve">m </t>
  </si>
  <si>
    <t>Adesivo p tubo PVC pote de 850g</t>
  </si>
  <si>
    <t>Areia Grossa</t>
  </si>
  <si>
    <t>Fita isolante Auto-Fusão 3M</t>
  </si>
  <si>
    <t>Fita veda rosca Rolos 18mm x 10m</t>
  </si>
  <si>
    <t>0034</t>
  </si>
  <si>
    <t>Aço CA-50  3/8" ( 9,52mm ).</t>
  </si>
  <si>
    <t>Pedra britada nº2</t>
  </si>
  <si>
    <t>Operador de Compressor</t>
  </si>
  <si>
    <t>00001143</t>
  </si>
  <si>
    <t xml:space="preserve">Perfuratriz Pneumática </t>
  </si>
  <si>
    <t>Perfuração de poço com perfuratriz</t>
  </si>
  <si>
    <t>Compressor de ar rebocavél carga livre efetiva 180pcm</t>
  </si>
  <si>
    <t>COTAÇÃO</t>
  </si>
  <si>
    <t>Cabo cobre isolante anti-chama 4mm</t>
  </si>
  <si>
    <t xml:space="preserve">Curva pvc eletroduto de 180º </t>
  </si>
  <si>
    <t>CPRH</t>
  </si>
  <si>
    <t>Curva galvanizada macho 2"</t>
  </si>
  <si>
    <t>Graxa</t>
  </si>
  <si>
    <t>Válvula de retenção vertical de 2" em broze com rosca.</t>
  </si>
  <si>
    <t>2.10</t>
  </si>
  <si>
    <t>OBRA: Perfuração e Instalação de Poços Tubulares.</t>
  </si>
  <si>
    <t xml:space="preserve">BDI          </t>
  </si>
  <si>
    <t>Prego de aço 18 x 30</t>
  </si>
  <si>
    <t>Desmoldante para forma de madeira</t>
  </si>
  <si>
    <t>Sabão neutro</t>
  </si>
  <si>
    <t>Local:</t>
  </si>
  <si>
    <t>Tubo PVC soldável para agua 32mm</t>
  </si>
  <si>
    <t>Cristalino</t>
  </si>
  <si>
    <t>un</t>
  </si>
  <si>
    <t>Locação de equipamento para perfuração (Método Geofísico).</t>
  </si>
  <si>
    <t>Óleo Lubrificantes para motores e equipamentos</t>
  </si>
  <si>
    <t>Tubo de 6" de PVC geo-mecânico (STD).</t>
  </si>
  <si>
    <t>CAP fêmea de 6".</t>
  </si>
  <si>
    <t>Anel de Borracha para tubo 6"</t>
  </si>
  <si>
    <t>Fornecimento e instalação de Cap fêmea de ponta de tubo de 6", para impedir contaminação do poço, inclusive anel de vedação e borracha.</t>
  </si>
  <si>
    <t>2.11</t>
  </si>
  <si>
    <t>2.12</t>
  </si>
  <si>
    <t>2.13</t>
  </si>
  <si>
    <t>Quadro de comando com chave de partida direta para moteres 1,5CV com fusivel DZ de 20A e acessorios.</t>
  </si>
  <si>
    <t>Joelho pvc com rosca  2"</t>
  </si>
  <si>
    <t>Luva pvc com rosca para agua fria predial 2".</t>
  </si>
  <si>
    <t>Bomba Submersa para Poço Profundo Elétrica Potencia de 1,5CV.</t>
  </si>
  <si>
    <t>Ajudante</t>
  </si>
  <si>
    <t>Haste de Aterramento</t>
  </si>
  <si>
    <t>Pintor</t>
  </si>
  <si>
    <t>Barra ferro retangular chata qualquer bitola com espessura de 3/16".</t>
  </si>
  <si>
    <t>Barra ferro retangular chata 1.1/2" X 1/2" - (3,79kg/m).</t>
  </si>
  <si>
    <t>Cadeado aço grafitado oxidado envernizado 45mm.</t>
  </si>
  <si>
    <t>Tela arame galvanizado fio 8 BWG (4,19mm) malha 2" (5X5cm) quadrada ou losango com altura igual a 1,80m.</t>
  </si>
  <si>
    <t>Outorga de uso de recursos hídricos obtido no CPRH-PE.</t>
  </si>
  <si>
    <t>Eletroduto PVC com rosca 3/4"</t>
  </si>
  <si>
    <t>Armação secundária, 1 estribo, com haste de diâmetro de 16mm por 150 mm de comprimento</t>
  </si>
  <si>
    <t>2.14</t>
  </si>
  <si>
    <t>Pedra britada  nº1</t>
  </si>
  <si>
    <t xml:space="preserve">Caixa para medição de energia completo monofásico, inclusive haste de aterramento, condutores, conectores, caixa para disjuntor, bucha, arruela e tubo, padrão CELPE.  </t>
  </si>
  <si>
    <t>Montagem, instalação e desinstalação de sonda.</t>
  </si>
  <si>
    <t>SERVIÇO : Montagem, instalação e desinstalação de sonda.</t>
  </si>
  <si>
    <t>Caminhão trucado c/ carroceria de madeira fixa Cap. 10 a 12T, inclusive manutenção e operação.</t>
  </si>
  <si>
    <t xml:space="preserve">
</t>
  </si>
  <si>
    <t>Arame galvanizado fio 16 bwg - 4 x 4 23,50 kg Rolo 500m.</t>
  </si>
  <si>
    <t>Tabua de madeira mista de 30 x 2,5cm.</t>
  </si>
  <si>
    <t>Geólogo (engenheiro pleno)</t>
  </si>
  <si>
    <t>Gasolina Comum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</si>
  <si>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</si>
  <si>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</si>
  <si>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</si>
  <si>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</si>
  <si>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</si>
  <si>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</si>
  <si>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</si>
  <si>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</si>
  <si>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</si>
  <si>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</si>
  <si>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</si>
  <si>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2.7</t>
  </si>
  <si>
    <t>2.8</t>
  </si>
  <si>
    <t>Cabo cobre isolante 4mm anti-chama.</t>
  </si>
  <si>
    <t>Hidrômetro 7,0 m³</t>
  </si>
  <si>
    <t>Adaptador PVC roscável c/flanges e anes de vedação p/ caixa d'água 1"</t>
  </si>
  <si>
    <t>Poços Cristalinos - Montagem e Instalação com bomba submersa.</t>
  </si>
  <si>
    <t>Tubo de PVC EDUTOR AZUL de 2" roscavel conexões e acessorios.</t>
  </si>
  <si>
    <t>horista</t>
  </si>
  <si>
    <t>mensalista</t>
  </si>
  <si>
    <t>Obtenção junto aos órgãos competente da Outorga de funcionamento e uso de recursos hídricos - CPRH/PE.</t>
  </si>
  <si>
    <t xml:space="preserve">Realização de limpeza do poço, realizado mediante a utilização de compressor de ar pelo método de fluxo e refluxo, incluindo operação e a instalação de compressor de ar, em conformidade com a NBR 12244. </t>
  </si>
  <si>
    <t>Adaptador pvc soldável com bolsa e rosca para registro 2''.</t>
  </si>
  <si>
    <t>Valor Perfuração</t>
  </si>
  <si>
    <t>Valor Instalação</t>
  </si>
  <si>
    <t>Total de poços a perfurar</t>
  </si>
  <si>
    <t>Total de poços a instalar</t>
  </si>
  <si>
    <t>Bomba</t>
  </si>
  <si>
    <t>Cata-vento</t>
  </si>
  <si>
    <t>Valor Total das Obras</t>
  </si>
  <si>
    <t>ORSE</t>
  </si>
  <si>
    <t>05021</t>
  </si>
  <si>
    <t>05022</t>
  </si>
  <si>
    <t>Análise bacteriológica de água</t>
  </si>
  <si>
    <t>Análise físico-química de água</t>
  </si>
  <si>
    <t>Adaptador pvc soldável com bolsa e rosca para registro 2''</t>
  </si>
  <si>
    <t>Caixa de água de fibra com capacidade de armazenamento 5m³.</t>
  </si>
  <si>
    <t>Fornecimento, montagem e conservação de placa de identificação de obra padrão  (3m x 2m).</t>
  </si>
  <si>
    <t>Óleo lubrificante</t>
  </si>
  <si>
    <t>Caixa de água de 5m³.</t>
  </si>
  <si>
    <t>Fornecimento e instalação de Revestimento do Poço em Tubo PVC Geomecânico STD em DN de 6" com luvas e rosca.</t>
  </si>
  <si>
    <t>ACO CA-60 - 5,0MM</t>
  </si>
  <si>
    <t>ACO CA-60 - 4,2MM</t>
  </si>
  <si>
    <t>TELA ACO SOLDADA NERVURADA CA-60, Q-138, (2,20KG/M2), DIÂMETRO DO FIO =4,2MM, LARGURA=2,45 X 120 METROS DE COMPRIMENTO, ESPAÇAMENTO DA MALHA = 10 X 10 CM</t>
  </si>
  <si>
    <t>m2</t>
  </si>
  <si>
    <t>m3</t>
  </si>
  <si>
    <t>Pintura de superfície com latex.</t>
  </si>
  <si>
    <t>ADAPTADOR PVC ROSCAVEL C/ FLANGES E ANEL DE VEDACAO P/ CAIXA D' AGUA 1"</t>
  </si>
  <si>
    <t>ADAPTADOR PVC ROSCAVEL C/ FLANGES E ANEL DE VEDACAO P/ CAIXA D' AGUA 3/4"</t>
  </si>
  <si>
    <t>ADAPTADOR PVC SOLDAVEL C/ FLANGES E ANEL DE VEDACAO P/ CAIXA D' AGUA 50MM X 11/2"</t>
  </si>
  <si>
    <t>REGISTRO PVC ESFERA BORB C/ROSCA REF 3/4"</t>
  </si>
  <si>
    <t>TE PVC C/ROSCA 90G P/ AGUA FRIA PREDIAL 1"</t>
  </si>
  <si>
    <t>TE PVC SOLD 90G C/ BUCHA LATAO NA BOLSA CENTRAL 32MM X 3/4"</t>
  </si>
  <si>
    <t>Tubo de PVC soldavel de 32mm</t>
  </si>
  <si>
    <t>ACO CA-50 1/2" (12,70 MM)</t>
  </si>
  <si>
    <t>ACO CA-50 1/4" (6,35 MM)</t>
  </si>
  <si>
    <t>Lubrificante.</t>
  </si>
  <si>
    <t>Anel de Borracha de 6".</t>
  </si>
  <si>
    <t>Pasta lubrificante</t>
  </si>
  <si>
    <t>Tubo de PVC azul, diâmetro de 50mm.</t>
  </si>
  <si>
    <t>Transporte de Tubo PVC DN 50mm.</t>
  </si>
  <si>
    <t xml:space="preserve">BDI        </t>
  </si>
  <si>
    <t xml:space="preserve">BDI         </t>
  </si>
  <si>
    <t>UNIDADE</t>
  </si>
  <si>
    <t>Tubo de PVC soldavel marom, diâmetro de 32mm.</t>
  </si>
  <si>
    <t>Cola de PVC</t>
  </si>
  <si>
    <t>Transporte de Tubo PVC DN 32mm.</t>
  </si>
  <si>
    <t>Armação secundaria, 1 estribo, com haste de diametro de 16mm por 150 mm de comprimento</t>
  </si>
  <si>
    <t xml:space="preserve">Alça pré-formada de linha </t>
  </si>
  <si>
    <t>Eletricista montador.</t>
  </si>
  <si>
    <t>Servente.</t>
  </si>
  <si>
    <t>SERVIÇO: Abrigo de proteção em concreto armado para quadro de comando de bomba.</t>
  </si>
  <si>
    <t>Abrigo de proteção em concreto armado para quadro de comando de bomba.</t>
  </si>
  <si>
    <t>composição</t>
  </si>
  <si>
    <t>Desmobilização de Equipamentos, Materiais e Pessoal.</t>
  </si>
  <si>
    <t>TOTAL COM BDI</t>
  </si>
  <si>
    <t>DETALHAMENTO DO BDI - SERVIÇOS</t>
  </si>
  <si>
    <t>Item</t>
  </si>
  <si>
    <t>Descrição dos Serviços</t>
  </si>
  <si>
    <t>VARIÁVEIS CORRELATAS DE INTERESSE</t>
  </si>
  <si>
    <t>PV</t>
  </si>
  <si>
    <t>CD</t>
  </si>
  <si>
    <t>ADMINISTRAÇÃO CENTRAL</t>
  </si>
  <si>
    <t>a =</t>
  </si>
  <si>
    <t>Administração Central</t>
  </si>
  <si>
    <t>ESCRITÓRIO CENTRAL</t>
  </si>
  <si>
    <t>VIAGENS</t>
  </si>
  <si>
    <t>IMPOSTOS E TAXAS</t>
  </si>
  <si>
    <t>i =</t>
  </si>
  <si>
    <t>Impostos</t>
  </si>
  <si>
    <t>ISS</t>
  </si>
  <si>
    <t>PIS</t>
  </si>
  <si>
    <t>r =</t>
  </si>
  <si>
    <t>Taxa de Risco</t>
  </si>
  <si>
    <t>Cofins</t>
  </si>
  <si>
    <t>f =</t>
  </si>
  <si>
    <t>Despesas Financeiras</t>
  </si>
  <si>
    <t>TAXA DE RISCO</t>
  </si>
  <si>
    <t>Seguros</t>
  </si>
  <si>
    <t>Riscos</t>
  </si>
  <si>
    <t>Garantias</t>
  </si>
  <si>
    <t>l =</t>
  </si>
  <si>
    <t>Lucro</t>
  </si>
  <si>
    <t>DESPESAS FINANCEIRAS</t>
  </si>
  <si>
    <t>LUCRO</t>
  </si>
  <si>
    <t>BDI (%)</t>
  </si>
  <si>
    <t>calculado</t>
  </si>
  <si>
    <t>adotado</t>
  </si>
  <si>
    <t>CPRB</t>
  </si>
  <si>
    <t>UNITÁRIO C/BDI</t>
  </si>
  <si>
    <t>3.17</t>
  </si>
  <si>
    <t>Elaboração de projeto de rede elétrica de baixa tensão, incluído aprovação junto a concessionária.</t>
  </si>
  <si>
    <t>Caminhão truck p/ 13 toneladas (muck)</t>
  </si>
  <si>
    <t>Talha manual para 2 ton</t>
  </si>
  <si>
    <t>CURVA PVC 90G P/ ELETRODUTO ROSCAVEL 3/4"</t>
  </si>
  <si>
    <t>estava 326,35</t>
  </si>
  <si>
    <t>Concreto fck=25mpa, virado em betoneira, sem lancamento</t>
  </si>
  <si>
    <t>Alça pré-formada de linha</t>
  </si>
  <si>
    <t>Auxiliar de eletricista</t>
  </si>
  <si>
    <t>SERVIÇO AUXILIAR: Pintura de superfície com latex.</t>
  </si>
  <si>
    <t>Lixa para parede ou madeira.</t>
  </si>
  <si>
    <t>Tinta latex PVA.</t>
  </si>
  <si>
    <t>TOTAL - R$</t>
  </si>
  <si>
    <t xml:space="preserve">BDI               </t>
  </si>
  <si>
    <t xml:space="preserve">Caixa para medição de energia completo monofásico, inclusive haste de aterramento, condutores, conectores, eletroduto, caixa para disjuntor, bucha, arruela e tubo, padrão CELPE. </t>
  </si>
  <si>
    <t>Argamassa preparada com cimento e areia na proporção de 1:3.</t>
  </si>
  <si>
    <t xml:space="preserve">Ajudante </t>
  </si>
  <si>
    <t>Fornecimento e montagem de quadro de medição no padrão CELPE para 3 ou 4 fios, inclusive haste de aterramento, condutores, conectores, eletroduto, disjuntor, caixa para disjuntor, bucha, arruela e tubo.</t>
  </si>
  <si>
    <t>Areia Lavavel.</t>
  </si>
  <si>
    <t>Aterro manual de valas de fundação com até 0,40 m de profundidade, com avaliação visual da compactação (reservatório ao bebedouro).</t>
  </si>
  <si>
    <t>Aterro manual de valas de fundação com até 0,40 m de profundidade, com avaliação visual da compactação (poço ao reservatório).</t>
  </si>
  <si>
    <t>Limpeza do terreno - Raspagem e limpeza manual do terreno com destocamento de arvore até 15cm</t>
  </si>
  <si>
    <t>Locação, acompanhamento da perfuração, teste de vazão e da instalação do poço, por profissional habilitado.</t>
  </si>
  <si>
    <t xml:space="preserve">Realização de desenvolvimento e estimulação do poço, realizado mediante a utilização de compressor de ar pelo método de fluxo e refluxo, incluindo operação e a instalação de compressor de ar, em conformidade com a NBR12244. </t>
  </si>
  <si>
    <t>Realização de desinfecção do poço, incluindo material de limpeza, instalação e desinstalação de compressor, combustível e operador.</t>
  </si>
  <si>
    <t>Realização de teste de vazão e de bombeamento do poço, incluindo operação e instalação de motobomba submersa e grupo gerador eletrico, em conformidade com a NBR 12244.</t>
  </si>
  <si>
    <t>Construção de laje de proteção sanitária em concreto armado para qualquer tipo de estrutura, FCK = 15 Mpa,  virado em betoneira na obra, incluindo aplicação e adensamento, forma, escoramento e ferragens, nas dimensões-1,0m x 1,0m x 0,15m, com declividade de 2% em relação ao centro do poço para as bordas, em conformidade com a NBR 12244.</t>
  </si>
  <si>
    <t>Fornecimento e assentamento de tubos e conexões em PVC, marrom, diâmetros de 32mm, soldável.</t>
  </si>
  <si>
    <t>Fornecimento e instalação de caixa d'água de fibra de 5m³, sobre base de concreto armado, incluído barrilete, tubulação de dreno, lavagem e ladrão.</t>
  </si>
  <si>
    <t>Execução de bebedouro em concreto armado, incluindo a instalação hidráulica.</t>
  </si>
  <si>
    <t>Execução de base de sustentação do reservatório em concreto armado, diâmetro de 2,06 m e altura de 1,10 m, conforme projeto.</t>
  </si>
  <si>
    <t>SERVIÇO: Mobilização de Equipamentos, Materiais e Pessoal.</t>
  </si>
  <si>
    <t>SERVIÇO : Desmobilização de Equipamentos, Materiais e Pessoal.</t>
  </si>
  <si>
    <t>SERVIÇO : Locação, acompanhamento da perfuração, teste de vazão e da instalação do poço, por profissional habilitado.</t>
  </si>
  <si>
    <r>
      <rPr>
        <b/>
        <sz val="10"/>
        <rFont val="Times New Roman"/>
        <family val="1"/>
      </rPr>
      <t>SERVIÇO :</t>
    </r>
    <r>
      <rPr>
        <sz val="10"/>
        <rFont val="Times New Roman"/>
        <family val="1"/>
      </rPr>
      <t xml:space="preserve"> Limpeza do terreno - Raspagem e limpeza manual do terreno com destocamento de arvore até 15cm.</t>
    </r>
  </si>
  <si>
    <t>SERVIÇO : Perfuração de poço com diâmetro mínimo de 8" (solo decomposto).</t>
  </si>
  <si>
    <t>SERVIÇO : Perfuração de poço com diâmetro mínimo de 6" (rocha cristalina).</t>
  </si>
  <si>
    <t>SERVIÇO : Fornecimento e instalação de Revestimento do Poço em Tubo PVC Geomecânico STD em DN de 6" com luvas e rosca.</t>
  </si>
  <si>
    <t xml:space="preserve">SERVIÇO: Realização de limpeza do poço, realizado mediante a utilização de compressor de ar pelo método de fluxo e refluxo, incluindo operação e a instalação de compressor de ar, em conformidade com a NBR 12244. </t>
  </si>
  <si>
    <t xml:space="preserve">SERVIÇO : Realização de desenvolvimento e estimulação do poço, realizado mediante a utilização de compressor de ar pelo método de fluxo e refluxo, incluindo operação e a instalação de compressor de ar, em conformidade com a NBR12244. </t>
  </si>
  <si>
    <t>SERVIÇO: Fornecimento e instalação de Cap fêmea de ponta de tubo de 6", para impedir contaminação do poço, inclusive anel de vedação e borracha.</t>
  </si>
  <si>
    <t>SERVIÇO: Realização de desinfecção do poço, incluindo material de limpeza, instalação e desinstalação de compressor, combustível e operador.</t>
  </si>
  <si>
    <t>SERVIÇO: Realização de teste de vazão e de bombeamento do poço, incluindo operação e instalação de motobomba submersa e grupo gerador eletrico, em conformidade com a NBR 12244.</t>
  </si>
  <si>
    <t>SERVIÇO : Obtenção junto aos órgãos competente da Outorga de funcionamento e uso de recursos hídricos - CPRH/PE.</t>
  </si>
  <si>
    <t>SERVIÇO :Construção de laje de proteção sanitária em concreto armado para qualquer tipo de estrutura, FCK = 15 Mpa,  virado em betoneira na obra, incluindo aplicação e adensamento, forma, escoramento e ferragens, nas dimensões-1,0m x 1,0m x 0,15m, com declividade de 2% em relação ao centro do poço para as bordas, em conformidade com a NBR 12244.</t>
  </si>
  <si>
    <t>SERVIÇO : Aterro manual de valas de fundação com até 0,40 m de profundidade, com avaliação visual da compactação</t>
  </si>
  <si>
    <t>SERVIÇO : Fornecimento e assentamento de tubos e conexões em PVC, marrom, diâmetros de 32mm, soldável.</t>
  </si>
  <si>
    <t>SERVIÇO: Fornecimento e instalação de caixa d'água de fibra de 5m³, sobre base de concreto armado, incluído barrilete, tubulação de dreno, lavagem e ladrão.</t>
  </si>
  <si>
    <t xml:space="preserve">SERVIÇO: Fornecimento e montagem de cerca de proteção construída com mourões de concreto armado  (H=2,5 m), com ponta virada e com 11 fios de arame farpado, incluindo chumbamento e arame de fixação. </t>
  </si>
  <si>
    <t>Mourão de concreto para escora 10 x 10 cm, tipo esticador, fabricado em concreto armado e vibrado, L = 2,80 +/- 0,06m - 4102</t>
  </si>
  <si>
    <t>Arame farpado 16 bwg 4 x 4", 23,50 kg/rolo 500 m - 0340</t>
  </si>
  <si>
    <t>Areia</t>
  </si>
  <si>
    <t>Cimento.</t>
  </si>
  <si>
    <t>Brita 1.</t>
  </si>
  <si>
    <t>SERVIÇO: Fornecimento, montagem e instalação de portão de ferro tubular, tela em aço galvanizado, dobradiças e fechadura para passagem de pedestre, medindo 1,80m x 1,10m, incluindo mourão de sustentação.</t>
  </si>
  <si>
    <t>Concreto armado aparente pronto Fck 15 Mpa, virado em Betoneira, na obra, incluindo aplicação e adensamento, inclusive forma, escoramento e ferragem.</t>
  </si>
  <si>
    <t>Escavação manual.</t>
  </si>
  <si>
    <t>Pintura de superfície com tinta grafite.</t>
  </si>
  <si>
    <t>Arame galvanizado fio 16 BWG - 1,65m (0,01666 kg/m) - 344</t>
  </si>
  <si>
    <t xml:space="preserve">Fornecimento e montagem de cerca de proteção construída com mourões de concreto armado  (H=2,5 m), com ponta virada e com 11 fios de arame farpado, incluindo chumbamento e arame de fixação. </t>
  </si>
  <si>
    <t>Fornecimento, montagem e instalação de portão de ferro tubular, tela em aço galvanizado, dobradiças e fechadura para passagem de pedestre, medindo 1,80m x 1,10m, incluindo mourão de sustentação.</t>
  </si>
  <si>
    <t>SERVIÇO : Elaboração de projeto de rede elétrica de baixa tensão, incluído aprovação junto a concessionária.</t>
  </si>
  <si>
    <t>Mourão de concreto tipo intermediário, ponta virada em 45º, seção T, com 11 furos, fabricado em concreto armado vibrado, L = 2,80 +/- 0,06m - 4114</t>
  </si>
  <si>
    <t>Execução de rede elétrica de baixa tensão, com cabo de alumínio de 25 mm² (3+1).</t>
  </si>
  <si>
    <t>SERVIÇO : Execução de rede elétrica de baixa tensão, com cabo de alumínio de 25 mm² (3+1).</t>
  </si>
  <si>
    <t>SERVIÇO: Execução de bebedouro em concreto armado, incluindo a instalação hidráulica.</t>
  </si>
  <si>
    <t>Armador</t>
  </si>
  <si>
    <t>1.3</t>
  </si>
  <si>
    <t>2.15</t>
  </si>
  <si>
    <t>Cimentação anelar do poço, com argamassa de cimento e areia produzida no traço 1:3.</t>
  </si>
  <si>
    <t>CODEVASF</t>
  </si>
  <si>
    <t>Perfuração e Instalação Poços Tubulares, no Estado de Pernambuco.</t>
  </si>
  <si>
    <t>Caminhonete utilitária cabine dupla - CD SR 3.0 diesel 4x4 163 CV</t>
  </si>
  <si>
    <t>A</t>
  </si>
  <si>
    <t>Depreciação mensal do equipamento</t>
  </si>
  <si>
    <t>A1</t>
  </si>
  <si>
    <t xml:space="preserve">Preço de Aquisição </t>
  </si>
  <si>
    <t>A2</t>
  </si>
  <si>
    <t>Tempo previsto de vida útil (meses)</t>
  </si>
  <si>
    <t>A3</t>
  </si>
  <si>
    <t>Previsão de recup. Na venda do bem usado</t>
  </si>
  <si>
    <t>A4</t>
  </si>
  <si>
    <t>Custo mensal [A1-(A3xA1)]/A2</t>
  </si>
  <si>
    <t>B</t>
  </si>
  <si>
    <t>Juros pelo Capital empregado</t>
  </si>
  <si>
    <t>B1</t>
  </si>
  <si>
    <t xml:space="preserve">Taxa mensal de Juros </t>
  </si>
  <si>
    <t>B2</t>
  </si>
  <si>
    <t>Juros s/depreciação/aluguel (B1xA4)</t>
  </si>
  <si>
    <t>C</t>
  </si>
  <si>
    <t xml:space="preserve">Conservação e manutenção </t>
  </si>
  <si>
    <t>C1</t>
  </si>
  <si>
    <t>Taxa de gastos s/a deprec. Inc. seguros (%)</t>
  </si>
  <si>
    <t>C2</t>
  </si>
  <si>
    <t>Incidência mensal (C1xA4)</t>
  </si>
  <si>
    <t>D</t>
  </si>
  <si>
    <t>Combustível</t>
  </si>
  <si>
    <t>D1</t>
  </si>
  <si>
    <t>Média mensal de quilômetro por veículo</t>
  </si>
  <si>
    <t>D2</t>
  </si>
  <si>
    <t>Preço do litro de combustível</t>
  </si>
  <si>
    <t>D3</t>
  </si>
  <si>
    <t>Quilômetros rodados com um litro combustivel</t>
  </si>
  <si>
    <t>D4</t>
  </si>
  <si>
    <t>Combustivel    (D1/D3)*D2</t>
  </si>
  <si>
    <t>E</t>
  </si>
  <si>
    <t>Lubrificantes</t>
  </si>
  <si>
    <t>E1</t>
  </si>
  <si>
    <t xml:space="preserve">Quilometragem do Contrato </t>
  </si>
  <si>
    <t>E2</t>
  </si>
  <si>
    <t>Franquia por troca de óleo (km)</t>
  </si>
  <si>
    <t>E3</t>
  </si>
  <si>
    <t>Preço do litro de óleo</t>
  </si>
  <si>
    <t>E4</t>
  </si>
  <si>
    <t>Quantidade de litros de óleo por troca</t>
  </si>
  <si>
    <t>E5</t>
  </si>
  <si>
    <t>Quantidade de dias do Contrato</t>
  </si>
  <si>
    <t>E6</t>
  </si>
  <si>
    <t>Lubrificantes  E = (E1*E3*E4*30)/E2*E5</t>
  </si>
  <si>
    <t>F</t>
  </si>
  <si>
    <t>Pneus</t>
  </si>
  <si>
    <t>F1</t>
  </si>
  <si>
    <t>F2</t>
  </si>
  <si>
    <t>Vida do Pneu em quilômetros</t>
  </si>
  <si>
    <t>F3</t>
  </si>
  <si>
    <t>Quantidade de pneus</t>
  </si>
  <si>
    <t>F4</t>
  </si>
  <si>
    <t>Preço do Pneu</t>
  </si>
  <si>
    <t>F5</t>
  </si>
  <si>
    <t xml:space="preserve">Quantidade de dias do contrato </t>
  </si>
  <si>
    <t>F6</t>
  </si>
  <si>
    <t>Pneus = (F1*F3*F4*30)/(F2*F5)</t>
  </si>
  <si>
    <t>G</t>
  </si>
  <si>
    <t>G1</t>
  </si>
  <si>
    <t>Salário com encargos sociais</t>
  </si>
  <si>
    <t>H</t>
  </si>
  <si>
    <t>Custo Mensal</t>
  </si>
  <si>
    <t>Sem Motorista</t>
  </si>
  <si>
    <t>Com Motorista</t>
  </si>
  <si>
    <t>I</t>
  </si>
  <si>
    <t>Custo Direto p/ km Rodado</t>
  </si>
  <si>
    <t>J</t>
  </si>
  <si>
    <t xml:space="preserve">Preço cobrado pela empresa </t>
  </si>
  <si>
    <t>J1</t>
  </si>
  <si>
    <t>J2</t>
  </si>
  <si>
    <t>Veículo comercial leve 1.6 flex</t>
  </si>
  <si>
    <t>1.4</t>
  </si>
  <si>
    <t>1.5</t>
  </si>
  <si>
    <t>Fornecimento de Veículo 4x4 à fiscalização com seguro, taxas de licenciamento, revisão periódica, manutenção, combustível e pneus.</t>
  </si>
  <si>
    <t>Administração local da obra.</t>
  </si>
  <si>
    <t>Poços Cristalinos profundidade média 60m</t>
  </si>
  <si>
    <t>Poços Cristalinos - Montagem e Instalação com cata-vento.</t>
  </si>
  <si>
    <t>Fornecimento, montagem e instalação de poço profundo tubular com diâmetro de 6", com cata-vento de base triangular, diâmetro da tubulação de até 2", profundidade do injetor entre 40m e 56m, incluindo fixação da torre sobre base de concreto no traço 1:2:3.</t>
  </si>
  <si>
    <t>codigo</t>
  </si>
  <si>
    <t>Filtro em Tubo de PVC Geomecanico REF. em DN de 6".</t>
  </si>
  <si>
    <t xml:space="preserve">Areia para leito filtrante, granulometria de 1,68mm a 0,42mm. </t>
  </si>
  <si>
    <t>Sensor sonoro</t>
  </si>
  <si>
    <t>Fornecimento e assentamento de tubos e conexões em PVC tipo Edutor, azul, Diâmetro Nominal de 50 mm (interligação do poço à caixa do reservatório).</t>
  </si>
  <si>
    <t>SERVIÇO : Fornecimento e assentamento de tubos e conexões em PVC tipo Edutor, azul, Diâmetro Nominal de 50 mm (interligação do poço à caixa do reservatório).</t>
  </si>
  <si>
    <t>Fornecimento, montagem e instalação de poço profundo tubular com diâmetro de 6", incluindo conjunto motor-bomba submersa e peças, diâmetro da tubulação de recalque de até 2", profundidade da bomba entre 40 m e 56 m, inclusive rede elétrica do quadro de comando à bomba.</t>
  </si>
  <si>
    <t>SERVIÇO: Fornecimento, montagem e instalação de poço profundo tubular com diâmetro de 6", incluindo conjunto motor-bomba submersa e peças, diâmetro da tubulação de recalque de até 2", profundidade da bomba entre 40 m e 56 m, inclusive rede elétrica do quadro de comando à bomba.</t>
  </si>
  <si>
    <t>Tubulação de ferro galvanizado de 1 1/4" com conexões e acessórios</t>
  </si>
  <si>
    <t>Catavento com torre triangular com 10m de altura, maquina, banhad a óleo com 4 engrenagens, 2 condutores e 2 conduzidos, bomba de 3 com 50cm de altura, valvula de esfera emborrachada e junção de poliuretano injetado, incluindo freio manual e automatico.</t>
  </si>
  <si>
    <t>Auxiliar Prático</t>
  </si>
  <si>
    <t>Nível wild NA-2, precisão mais ou menos 0,70 mm ou similar.</t>
  </si>
  <si>
    <t>Nivelador</t>
  </si>
  <si>
    <t>Cartucho de solda exotérmica nº 90.</t>
  </si>
  <si>
    <t>Prego 18x30.</t>
  </si>
  <si>
    <t>SERVIÇO: Fornecimento, montagem e conservação de placa de identificação de obra padrão  (3m x 2m).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</si>
  <si>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</si>
  <si>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</si>
  <si>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</si>
  <si>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</si>
  <si>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</si>
  <si>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</si>
  <si>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</si>
  <si>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</si>
  <si>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</si>
  <si>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</si>
  <si>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</si>
  <si>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</si>
  <si>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</si>
  <si>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Salário  /  1,8975%</t>
  </si>
  <si>
    <t>Bomba submersa 4" para poço profundo Elétrica Monofásica 1,5CV, saída de 1/ 1/2 marca dancor ou similar.</t>
  </si>
  <si>
    <t>Pasta Lubrificante 400g</t>
  </si>
  <si>
    <t>Veículo comercial leve Cap. Carga até 700kg, Flex</t>
  </si>
  <si>
    <t>Arame galvanizado fio 16 BWG - 1,65m (0,01666 kg/m)</t>
  </si>
  <si>
    <t>Mourão de concreto para escora 10 x 10 cm, tipo esticador, fabricado em concreto armado e vibrado, L = 2,80 +/- 0,06m</t>
  </si>
  <si>
    <t>Mourão de concreto tipo intermediário, ponta virada em 45º, seção T, com furos, fabricado em concreto armado vibrado, L = 2,80 +/- 0,06m</t>
  </si>
  <si>
    <t xml:space="preserve">Data: Agosto/2015 </t>
  </si>
  <si>
    <t>Caminhão toco motor 170 cv</t>
  </si>
  <si>
    <t>Motorista de Caminhão - Piso Mensal</t>
  </si>
  <si>
    <t>Lixa para ferro</t>
  </si>
  <si>
    <t>Tinta grafite esmalte protetora de superfície metálica</t>
  </si>
  <si>
    <t>Areia Média</t>
  </si>
  <si>
    <t xml:space="preserve">Cimento </t>
  </si>
  <si>
    <t>Pedra Britada nº 2</t>
  </si>
  <si>
    <t>Pedra Britada nº 1</t>
  </si>
  <si>
    <t>Operador de betoneira</t>
  </si>
  <si>
    <t>Betoneira 580 l com carregador</t>
  </si>
  <si>
    <t>Operador de Betoneira</t>
  </si>
  <si>
    <t xml:space="preserve">SERVIÇO: Realização de análise físico-química e bacteriológica da água em conformidade com a NR 518, incluindo a coleta, taxas e transporte. </t>
  </si>
  <si>
    <t>SERVIÇO AUXILIAR: Transporte de tubos de PVC 50mm.</t>
  </si>
  <si>
    <t>SERVIÇO AUXILIAR: Transporte de tubos de PVC 32mm.</t>
  </si>
  <si>
    <t>SERVIÇO AUXILIAR: Pintura de superfície com tinta grafite.</t>
  </si>
  <si>
    <t>SERVIÇO AUXILIAR: Concreto fck=25mpa, virado em betoneira, sem lancamento</t>
  </si>
  <si>
    <t>SERVIÇO: Execução de base de sustentação do reservatório em concreto armado, diâmetro de 2,06m e altura de 1,10m, conforme projeto.</t>
  </si>
  <si>
    <t>DATA:   Agosto/2015</t>
  </si>
  <si>
    <t>SERVIÇO : Administração local da obra</t>
  </si>
  <si>
    <t>CODEVASF - 1.4</t>
  </si>
  <si>
    <t>SERVIÇO: Argamassa de cimento e areia traço 1:3, preparo mecânico.</t>
  </si>
  <si>
    <t xml:space="preserve">Realização de análise físico-química e bacteriológica da água em conformidade com a NR 518, incluindo a coleta, taxas e transporte. </t>
  </si>
  <si>
    <t>SERVIÇO: Fornecimento e montagem de quadro de medição no padrão CELPE para 3 ou 4 fios, inclusive haste de aterramento, condutores, conectores, eletroduto, disjuntor, caixa para disjuntor, bucha, arruela e tubo.</t>
  </si>
  <si>
    <t>SERVIÇO : Fornecimento, montagem e instalação de poço profundo tubular com diâmetro de 6", com cata-vento de base triangular, diâmetro da tubulação de até 2", profundidade do injetor entre 40m e 56m, incluindo fixação da torre sobre base de concreto no traço 1:2:3.</t>
  </si>
  <si>
    <t xml:space="preserve">Pick-up leve, flex / 700 Kg </t>
  </si>
  <si>
    <t>Peca de madeira de lei *2,5 x 7,5* cm (1" x 3"), não aparelhada, (p/telhado)</t>
  </si>
  <si>
    <t>Peca de madeira nativa / regional 7,5 x 7,5cm (3x3) nao aparelhada (p/forma)</t>
  </si>
  <si>
    <t>Placa de obra (para construcao civil) em chapa galvanizada *nº 22*, de *2,0 x 1,125* m</t>
  </si>
  <si>
    <t>Concreto nao estrutural, consumo 150kg/m3, preparo com betoneira, sem lancamento</t>
  </si>
  <si>
    <t>1.3.1</t>
  </si>
  <si>
    <t>SERVIÇO AUXILIAR: Concreto nao estrutural, consumo 150kg/m3, preparo com betoneira, sem lancamento</t>
  </si>
  <si>
    <t>Betoneira 320 l, diesel, potencia de 5,5 hp, sem carregador mecanico (locacao)</t>
  </si>
  <si>
    <t>Cimento</t>
  </si>
  <si>
    <t>Limpeza do terreno - Raspagem e limpeza manual do terreno com destocamento de arvore até 15cm (área de bebedouro e do reservatório).</t>
  </si>
  <si>
    <t>Tubo de 6" de PVC geomecânico</t>
  </si>
  <si>
    <t>Cimento Portland CPII-32</t>
  </si>
  <si>
    <t>Cimento Portland CP II - 32.</t>
  </si>
  <si>
    <t>Cap fêmea de 6".</t>
  </si>
  <si>
    <t>Veículo leve</t>
  </si>
  <si>
    <t>Cimento Portland comum CP II - 32.</t>
  </si>
  <si>
    <t>Armação de aço CA 50 - forn. e inst.</t>
  </si>
  <si>
    <t>Tubo de 6" de PVC geo-mecânico reforçado</t>
  </si>
  <si>
    <t>Catavento com torre triangular com 10m de altura, máquina, banhada a óleo com 4 engrenagens, 2 condutores e 2 conduzidos, bomba de 3 com 50cm de altura, valvula de esfera emborrachada e junção de poliuretano injetado, incluindo freio manual e automatico.</t>
  </si>
  <si>
    <t>Talha manual para 2 ton.</t>
  </si>
  <si>
    <t>EPIs</t>
  </si>
  <si>
    <t>Total Mês</t>
  </si>
  <si>
    <t>nº Meses</t>
  </si>
  <si>
    <t>Quadro de comando com chave de partida direta para motores 1,5CV com fusivel DZ de 20A e acessorios, inclusive voltimetro, amperimetro, sensores de nível, rele falta de fase.</t>
  </si>
  <si>
    <t>Estação total - TOPCON GTS-212, leitura angular 1 SEG., precisão 6,0 segundos, acompanha 2,0  prismas.</t>
  </si>
  <si>
    <t xml:space="preserve">CODEVASF </t>
  </si>
  <si>
    <t xml:space="preserve">Cabo cobre nu, bitola 25 mm² </t>
  </si>
  <si>
    <t>I7377</t>
  </si>
  <si>
    <t>SEINFRA/CE</t>
  </si>
  <si>
    <t xml:space="preserve"> Data Base Utilizada para Insumos: SINAPI Julho/2015 Desonerado; ORSE Maio/2015; SEINFRA Tabela 023.1; Cotações</t>
  </si>
  <si>
    <t>Data Base Utilizada para Insumos: SINAPI Julho/2015 Desonerado; ORSE Maio/2015; SEINFRA Tabela 023.1; Cotações</t>
  </si>
  <si>
    <t>Escavação manual de vala de fundação em material de 1 e 2ª categoria, com dimensões de 0,40 m x 0,30 m, profundidade até 0,40 m, incluindo regularização manual do fundo da vala (reservatório ao bebedouro).</t>
  </si>
  <si>
    <t>SERVIÇO :Escavação manual de vala de fundação em material de 1 e 2ª categoria, com dimensões de 0,40 m x 0,30 m, profundidade até 0,40 m, incluindo regularização manual do fundo da vala.</t>
  </si>
  <si>
    <t xml:space="preserve">Escavação manual de vala de fundação para instalação de tubulação de adutora em material de 1ª e 2ª categoria, com dimensões de 0,40 m x 0,30 m, profundidade até 0,40 m,  incluindo regularização manual do fundo da vala (poço ao reservatório).  </t>
  </si>
  <si>
    <t>Luva pvc para eletroduto</t>
  </si>
  <si>
    <t>3.1/4.1</t>
  </si>
  <si>
    <t>2.2/3.3/4.3</t>
  </si>
  <si>
    <t>3.4/3.6/4.4/4.6</t>
  </si>
  <si>
    <t>3.5/3.7/4.5/4.7</t>
  </si>
  <si>
    <t>3.8/4.8</t>
  </si>
  <si>
    <t>3.9/4.9</t>
  </si>
  <si>
    <t>3.10/4.10</t>
  </si>
  <si>
    <t>3.11/4.11</t>
  </si>
  <si>
    <t>3.12/4.12</t>
  </si>
  <si>
    <t>3.13/4.13</t>
  </si>
  <si>
    <t>3.12.1/3.13.1/3.17.1/4.12.1/4.13.1</t>
  </si>
  <si>
    <t>3.11.1/3.12.1/3.13.1/3.17.1/4.11.1/4.12.1/4.13.1</t>
  </si>
  <si>
    <t>3.1.1/4.1.1</t>
  </si>
  <si>
    <t>3.8.1/4.8.1</t>
  </si>
  <si>
    <t>3.11.1/4.11.1</t>
  </si>
  <si>
    <t>BDI =  ((1+AC+S+R+G)(1+DF)(1+L)/(1-I))-1</t>
  </si>
  <si>
    <t>Acórdão nº 2369/2011</t>
  </si>
  <si>
    <t>Comunidades dispersas situadas na zona rural dos municípios de Belém do São Francisco, Carnaubeira da Penha, Floresta e Jatoba, área de atuação da 3ª Superintendência Regional da CODEVASF - LOTE I</t>
  </si>
  <si>
    <t xml:space="preserve"> Perfuração de Poços Tubulares - LOTE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</si>
</sst>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_(* #,##0.00_);_(* \(#,##0.00\);_(* \-??_);_(@_)"/>
    <numFmt numFmtId="166" formatCode="#,##0.000"/>
    <numFmt numFmtId="167" formatCode="mmm\-yy"/>
    <numFmt numFmtId="168" formatCode="0.0"/>
    <numFmt numFmtId="169" formatCode="0.000"/>
    <numFmt numFmtId="170" formatCode="_(&quot;R$ &quot;* #,##0_);_(&quot;R$ &quot;* \(#,##0\);_(&quot;R$ &quot;* \-_);_(@_)"/>
    <numFmt numFmtId="171" formatCode="#,##0.000000"/>
    <numFmt numFmtId="172" formatCode="_(&quot;R$ &quot;* #,##0.00_);_(&quot;R$ &quot;* \(#,##0.00\);_(&quot;R$ &quot;* \-??_);_(@_)"/>
    <numFmt numFmtId="173" formatCode="#,##0.00000"/>
    <numFmt numFmtId="174" formatCode="_-* #,##0.00_-;\-* #,##0.00_-;_-* \-??_-;_-@_-"/>
    <numFmt numFmtId="175" formatCode="#,##0.0000"/>
    <numFmt numFmtId="176" formatCode="#,##0.00000000"/>
    <numFmt numFmtId="177" formatCode="&quot;R$ &quot;#,##0.00"/>
    <numFmt numFmtId="178" formatCode="0.00000"/>
    <numFmt numFmtId="179" formatCode="0.0000"/>
    <numFmt numFmtId="180" formatCode="#,##0.00\ ;&quot; (&quot;#,##0.00\);&quot; -&quot;#\ ;@\ "/>
    <numFmt numFmtId="181" formatCode="0.0000000"/>
  </numFmts>
  <fonts count="42" x14ac:knownFonts="1"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17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0"/>
      <color indexed="52"/>
      <name val="Arial"/>
      <family val="2"/>
    </font>
    <font>
      <sz val="10"/>
      <color indexed="62"/>
      <name val="Arial"/>
      <family val="2"/>
    </font>
    <font>
      <sz val="10"/>
      <color indexed="20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i/>
      <sz val="10"/>
      <color indexed="23"/>
      <name val="Arial"/>
      <family val="2"/>
    </font>
    <font>
      <b/>
      <sz val="15"/>
      <color indexed="56"/>
      <name val="Arial"/>
      <family val="2"/>
    </font>
    <font>
      <b/>
      <sz val="18"/>
      <color indexed="56"/>
      <name val="Cambria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0"/>
      <color indexed="8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1"/>
      <color indexed="8"/>
      <name val="Times New Roman"/>
      <family val="1"/>
    </font>
    <font>
      <sz val="12"/>
      <color indexed="10"/>
      <name val="Times New Roman"/>
      <family val="1"/>
    </font>
    <font>
      <sz val="12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indexed="10"/>
      <name val="Times New Roman"/>
      <family val="1"/>
    </font>
    <font>
      <b/>
      <sz val="10"/>
      <name val="Arial"/>
      <family val="2"/>
    </font>
    <font>
      <b/>
      <sz val="8"/>
      <name val="Times New Roman"/>
      <family val="1"/>
    </font>
    <font>
      <sz val="10"/>
      <color indexed="12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Courier New"/>
      <family val="3"/>
    </font>
    <font>
      <b/>
      <sz val="12"/>
      <color indexed="8"/>
      <name val="Times New Roman"/>
      <family val="1"/>
    </font>
    <font>
      <b/>
      <sz val="12"/>
      <name val="Arial"/>
      <family val="2"/>
    </font>
    <font>
      <b/>
      <sz val="9"/>
      <name val="Times New Roman"/>
      <family val="1"/>
    </font>
    <font>
      <b/>
      <sz val="10"/>
      <color rgb="FFFF0000"/>
      <name val="Times New Roman"/>
      <family val="1"/>
    </font>
    <font>
      <sz val="10"/>
      <color rgb="FFFF0000"/>
      <name val="Times New Roman"/>
      <family val="1"/>
    </font>
    <font>
      <sz val="12"/>
      <name val="Arial"/>
      <family val="2"/>
    </font>
    <font>
      <b/>
      <sz val="12"/>
      <color indexed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ahoma"/>
      <family val="2"/>
    </font>
  </fonts>
  <fills count="4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theme="6" tint="0.59999389629810485"/>
        <bgColor indexed="26"/>
      </patternFill>
    </fill>
    <fill>
      <patternFill patternType="solid">
        <fgColor rgb="FF00B0F0"/>
        <bgColor indexed="26"/>
      </patternFill>
    </fill>
    <fill>
      <patternFill patternType="solid">
        <fgColor theme="6" tint="0.59999389629810485"/>
        <bgColor indexed="22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indexed="42"/>
        <bgColor indexed="41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44"/>
      </patternFill>
    </fill>
    <fill>
      <patternFill patternType="solid">
        <fgColor indexed="47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rgb="FFFFFF00"/>
        <bgColor indexed="27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31"/>
      </patternFill>
    </fill>
  </fills>
  <borders count="1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</borders>
  <cellStyleXfs count="7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4" borderId="0" applyNumberFormat="0" applyBorder="0" applyAlignment="0" applyProtection="0"/>
    <xf numFmtId="0" fontId="4" fillId="16" borderId="1" applyNumberFormat="0" applyAlignment="0" applyProtection="0"/>
    <xf numFmtId="0" fontId="5" fillId="17" borderId="2" applyNumberFormat="0" applyAlignment="0" applyProtection="0"/>
    <xf numFmtId="0" fontId="6" fillId="0" borderId="3" applyNumberFormat="0" applyFill="0" applyAlignment="0" applyProtection="0"/>
    <xf numFmtId="170" fontId="29" fillId="0" borderId="0" applyFill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0" fontId="7" fillId="7" borderId="1" applyNumberFormat="0" applyAlignment="0" applyProtection="0"/>
    <xf numFmtId="171" fontId="29" fillId="0" borderId="0" applyFill="0" applyBorder="0" applyAlignment="0" applyProtection="0"/>
    <xf numFmtId="0" fontId="30" fillId="0" borderId="0"/>
    <xf numFmtId="3" fontId="29" fillId="0" borderId="0"/>
    <xf numFmtId="0" fontId="8" fillId="3" borderId="0" applyNumberFormat="0" applyBorder="0" applyAlignment="0" applyProtection="0"/>
    <xf numFmtId="0" fontId="31" fillId="0" borderId="0"/>
    <xf numFmtId="172" fontId="29" fillId="0" borderId="0" applyFill="0" applyBorder="0" applyAlignment="0" applyProtection="0"/>
    <xf numFmtId="0" fontId="9" fillId="22" borderId="0" applyNumberFormat="0" applyBorder="0" applyAlignment="0" applyProtection="0"/>
    <xf numFmtId="0" fontId="29" fillId="0" borderId="0"/>
    <xf numFmtId="0" fontId="29" fillId="0" borderId="0"/>
    <xf numFmtId="3" fontId="29" fillId="0" borderId="0"/>
    <xf numFmtId="0" fontId="29" fillId="0" borderId="0"/>
    <xf numFmtId="0" fontId="30" fillId="0" borderId="0"/>
    <xf numFmtId="0" fontId="30" fillId="0" borderId="0"/>
    <xf numFmtId="0" fontId="30" fillId="0" borderId="0"/>
    <xf numFmtId="0" fontId="29" fillId="0" borderId="0"/>
    <xf numFmtId="0" fontId="30" fillId="0" borderId="0"/>
    <xf numFmtId="0" fontId="29" fillId="0" borderId="0"/>
    <xf numFmtId="3" fontId="29" fillId="0" borderId="0"/>
    <xf numFmtId="0" fontId="29" fillId="23" borderId="4" applyNumberFormat="0" applyAlignment="0" applyProtection="0"/>
    <xf numFmtId="9" fontId="29" fillId="0" borderId="0" applyFill="0" applyBorder="0" applyAlignment="0" applyProtection="0"/>
    <xf numFmtId="9" fontId="29" fillId="0" borderId="0" applyFill="0" applyBorder="0" applyAlignment="0" applyProtection="0"/>
    <xf numFmtId="0" fontId="10" fillId="16" borderId="5" applyNumberFormat="0" applyAlignment="0" applyProtection="0"/>
    <xf numFmtId="165" fontId="29" fillId="0" borderId="0" applyFill="0" applyBorder="0" applyAlignment="0" applyProtection="0"/>
    <xf numFmtId="169" fontId="29" fillId="0" borderId="0" applyFill="0" applyBorder="0" applyAlignment="0" applyProtection="0"/>
    <xf numFmtId="169" fontId="29" fillId="0" borderId="0" applyFill="0" applyBorder="0" applyAlignment="0" applyProtection="0"/>
    <xf numFmtId="173" fontId="29" fillId="0" borderId="0" applyFill="0" applyBorder="0" applyAlignment="0" applyProtection="0"/>
    <xf numFmtId="173" fontId="29" fillId="0" borderId="0" applyFill="0" applyBorder="0" applyAlignment="0" applyProtection="0"/>
    <xf numFmtId="173" fontId="29" fillId="0" borderId="0" applyFill="0" applyBorder="0" applyAlignment="0" applyProtection="0"/>
    <xf numFmtId="173" fontId="29" fillId="0" borderId="0" applyFill="0" applyBorder="0" applyAlignment="0" applyProtection="0"/>
    <xf numFmtId="173" fontId="29" fillId="0" borderId="0" applyFill="0" applyBorder="0" applyAlignment="0" applyProtection="0"/>
    <xf numFmtId="173" fontId="29" fillId="0" borderId="0" applyFill="0" applyBorder="0" applyAlignment="0" applyProtection="0"/>
    <xf numFmtId="174" fontId="29" fillId="0" borderId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16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0" fontId="29" fillId="0" borderId="0"/>
  </cellStyleXfs>
  <cellXfs count="831">
    <xf numFmtId="0" fontId="0" fillId="0" borderId="0" xfId="0"/>
    <xf numFmtId="0" fontId="18" fillId="24" borderId="0" xfId="0" applyFont="1" applyFill="1"/>
    <xf numFmtId="0" fontId="18" fillId="24" borderId="0" xfId="0" applyFont="1" applyFill="1" applyAlignment="1"/>
    <xf numFmtId="2" fontId="18" fillId="24" borderId="0" xfId="0" applyNumberFormat="1" applyFont="1" applyFill="1"/>
    <xf numFmtId="0" fontId="18" fillId="0" borderId="0" xfId="0" applyFont="1" applyFill="1" applyBorder="1"/>
    <xf numFmtId="0" fontId="20" fillId="0" borderId="0" xfId="0" applyFont="1" applyBorder="1" applyAlignment="1">
      <alignment horizontal="left" vertical="center"/>
    </xf>
    <xf numFmtId="0" fontId="18" fillId="24" borderId="0" xfId="0" applyFont="1" applyFill="1" applyAlignment="1">
      <alignment horizontal="center" vertical="center"/>
    </xf>
    <xf numFmtId="0" fontId="18" fillId="24" borderId="0" xfId="0" applyFont="1" applyFill="1" applyBorder="1" applyAlignment="1">
      <alignment vertical="top" wrapText="1"/>
    </xf>
    <xf numFmtId="0" fontId="19" fillId="24" borderId="0" xfId="0" applyFont="1" applyFill="1" applyBorder="1" applyAlignment="1">
      <alignment vertical="top" wrapText="1"/>
    </xf>
    <xf numFmtId="0" fontId="21" fillId="24" borderId="0" xfId="0" applyFont="1" applyFill="1" applyBorder="1" applyAlignment="1">
      <alignment vertical="top" wrapText="1"/>
    </xf>
    <xf numFmtId="2" fontId="18" fillId="24" borderId="0" xfId="0" applyNumberFormat="1" applyFont="1" applyFill="1" applyBorder="1"/>
    <xf numFmtId="4" fontId="23" fillId="0" borderId="0" xfId="0" applyNumberFormat="1" applyFont="1"/>
    <xf numFmtId="4" fontId="23" fillId="24" borderId="10" xfId="48" applyNumberFormat="1" applyFont="1" applyFill="1" applyBorder="1" applyAlignment="1">
      <alignment horizontal="left" vertical="center"/>
    </xf>
    <xf numFmtId="4" fontId="23" fillId="24" borderId="11" xfId="48" applyNumberFormat="1" applyFont="1" applyFill="1" applyBorder="1" applyAlignment="1">
      <alignment horizontal="center" vertical="center" wrapText="1"/>
    </xf>
    <xf numFmtId="4" fontId="23" fillId="24" borderId="12" xfId="48" applyNumberFormat="1" applyFont="1" applyFill="1" applyBorder="1" applyAlignment="1">
      <alignment horizontal="center" vertical="center" wrapText="1"/>
    </xf>
    <xf numFmtId="4" fontId="23" fillId="24" borderId="13" xfId="48" applyNumberFormat="1" applyFont="1" applyFill="1" applyBorder="1" applyAlignment="1">
      <alignment horizontal="center" vertical="center" wrapText="1"/>
    </xf>
    <xf numFmtId="4" fontId="23" fillId="0" borderId="14" xfId="48" applyNumberFormat="1" applyFont="1" applyBorder="1" applyAlignment="1">
      <alignment horizontal="left" vertical="center"/>
    </xf>
    <xf numFmtId="4" fontId="23" fillId="24" borderId="14" xfId="48" applyNumberFormat="1" applyFont="1" applyFill="1" applyBorder="1" applyAlignment="1">
      <alignment horizontal="center" vertical="center"/>
    </xf>
    <xf numFmtId="4" fontId="23" fillId="24" borderId="12" xfId="48" applyNumberFormat="1" applyFont="1" applyFill="1" applyBorder="1" applyAlignment="1">
      <alignment horizontal="center" vertical="center"/>
    </xf>
    <xf numFmtId="4" fontId="23" fillId="0" borderId="14" xfId="48" applyNumberFormat="1" applyFont="1" applyFill="1" applyBorder="1" applyAlignment="1">
      <alignment wrapText="1"/>
    </xf>
    <xf numFmtId="4" fontId="23" fillId="0" borderId="12" xfId="48" applyNumberFormat="1" applyFont="1" applyFill="1" applyBorder="1" applyAlignment="1">
      <alignment horizontal="center" vertical="center"/>
    </xf>
    <xf numFmtId="4" fontId="23" fillId="0" borderId="12" xfId="48" applyNumberFormat="1" applyFont="1" applyFill="1" applyBorder="1" applyAlignment="1">
      <alignment horizontal="right" vertical="center"/>
    </xf>
    <xf numFmtId="4" fontId="25" fillId="0" borderId="0" xfId="0" applyNumberFormat="1" applyFont="1"/>
    <xf numFmtId="4" fontId="24" fillId="24" borderId="0" xfId="48" applyNumberFormat="1" applyFont="1" applyFill="1" applyBorder="1" applyAlignment="1">
      <alignment horizontal="left" vertical="center"/>
    </xf>
    <xf numFmtId="4" fontId="23" fillId="0" borderId="12" xfId="48" applyNumberFormat="1" applyFont="1" applyFill="1" applyBorder="1" applyAlignment="1">
      <alignment horizontal="center"/>
    </xf>
    <xf numFmtId="4" fontId="23" fillId="0" borderId="12" xfId="48" applyNumberFormat="1" applyFont="1" applyFill="1" applyBorder="1" applyAlignment="1">
      <alignment horizontal="right"/>
    </xf>
    <xf numFmtId="4" fontId="23" fillId="24" borderId="12" xfId="33" applyNumberFormat="1" applyFont="1" applyFill="1" applyBorder="1" applyAlignment="1">
      <alignment horizontal="center" vertical="center"/>
    </xf>
    <xf numFmtId="4" fontId="23" fillId="0" borderId="12" xfId="33" applyNumberFormat="1" applyFont="1" applyFill="1" applyBorder="1" applyAlignment="1">
      <alignment horizontal="center" vertical="center"/>
    </xf>
    <xf numFmtId="4" fontId="23" fillId="0" borderId="15" xfId="48" applyNumberFormat="1" applyFont="1" applyFill="1" applyBorder="1" applyAlignment="1">
      <alignment horizontal="center" vertical="center"/>
    </xf>
    <xf numFmtId="4" fontId="23" fillId="0" borderId="15" xfId="33" applyNumberFormat="1" applyFont="1" applyFill="1" applyBorder="1" applyAlignment="1">
      <alignment horizontal="center" vertical="center"/>
    </xf>
    <xf numFmtId="4" fontId="23" fillId="0" borderId="13" xfId="48" applyNumberFormat="1" applyFont="1" applyFill="1" applyBorder="1" applyAlignment="1">
      <alignment horizontal="center" vertical="center"/>
    </xf>
    <xf numFmtId="4" fontId="23" fillId="24" borderId="15" xfId="48" applyNumberFormat="1" applyFont="1" applyFill="1" applyBorder="1" applyAlignment="1">
      <alignment horizontal="center" vertical="center"/>
    </xf>
    <xf numFmtId="4" fontId="23" fillId="24" borderId="13" xfId="48" applyNumberFormat="1" applyFont="1" applyFill="1" applyBorder="1" applyAlignment="1">
      <alignment horizontal="center" vertical="center"/>
    </xf>
    <xf numFmtId="4" fontId="23" fillId="0" borderId="0" xfId="0" applyNumberFormat="1" applyFont="1" applyAlignment="1">
      <alignment wrapText="1"/>
    </xf>
    <xf numFmtId="4" fontId="23" fillId="0" borderId="15" xfId="48" applyNumberFormat="1" applyFont="1" applyFill="1" applyBorder="1" applyAlignment="1">
      <alignment horizontal="center"/>
    </xf>
    <xf numFmtId="4" fontId="23" fillId="0" borderId="14" xfId="48" applyNumberFormat="1" applyFont="1" applyFill="1" applyBorder="1" applyAlignment="1">
      <alignment horizontal="left" vertical="center"/>
    </xf>
    <xf numFmtId="4" fontId="23" fillId="0" borderId="13" xfId="48" applyNumberFormat="1" applyFont="1" applyFill="1" applyBorder="1" applyAlignment="1">
      <alignment horizontal="center"/>
    </xf>
    <xf numFmtId="3" fontId="23" fillId="0" borderId="0" xfId="0" applyNumberFormat="1" applyFont="1"/>
    <xf numFmtId="0" fontId="23" fillId="0" borderId="0" xfId="0" applyFont="1"/>
    <xf numFmtId="3" fontId="23" fillId="0" borderId="23" xfId="0" applyNumberFormat="1" applyFont="1" applyFill="1" applyBorder="1" applyAlignment="1">
      <alignment horizontal="center" vertical="center"/>
    </xf>
    <xf numFmtId="167" fontId="23" fillId="0" borderId="23" xfId="0" applyNumberFormat="1" applyFont="1" applyFill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0" fontId="23" fillId="0" borderId="23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vertical="center"/>
    </xf>
    <xf numFmtId="165" fontId="29" fillId="24" borderId="0" xfId="53" applyFill="1" applyBorder="1" applyAlignment="1">
      <alignment vertical="top" wrapText="1"/>
    </xf>
    <xf numFmtId="4" fontId="23" fillId="0" borderId="14" xfId="48" applyNumberFormat="1" applyFont="1" applyFill="1" applyBorder="1" applyAlignment="1">
      <alignment horizontal="justify" vertical="center" wrapText="1"/>
    </xf>
    <xf numFmtId="4" fontId="23" fillId="24" borderId="17" xfId="48" applyNumberFormat="1" applyFont="1" applyFill="1" applyBorder="1" applyAlignment="1">
      <alignment horizontal="center" vertical="center"/>
    </xf>
    <xf numFmtId="4" fontId="23" fillId="0" borderId="0" xfId="0" applyNumberFormat="1" applyFont="1" applyAlignment="1">
      <alignment vertical="center"/>
    </xf>
    <xf numFmtId="4" fontId="24" fillId="24" borderId="0" xfId="48" applyNumberFormat="1" applyFont="1" applyFill="1" applyBorder="1" applyAlignment="1">
      <alignment horizontal="center" vertical="center"/>
    </xf>
    <xf numFmtId="4" fontId="23" fillId="24" borderId="0" xfId="48" applyNumberFormat="1" applyFont="1" applyFill="1" applyBorder="1" applyAlignment="1">
      <alignment horizontal="center" vertical="center"/>
    </xf>
    <xf numFmtId="4" fontId="23" fillId="0" borderId="0" xfId="0" applyNumberFormat="1" applyFont="1" applyAlignment="1">
      <alignment horizontal="center"/>
    </xf>
    <xf numFmtId="4" fontId="23" fillId="24" borderId="25" xfId="48" applyNumberFormat="1" applyFont="1" applyFill="1" applyBorder="1" applyAlignment="1">
      <alignment vertical="center"/>
    </xf>
    <xf numFmtId="4" fontId="23" fillId="24" borderId="26" xfId="48" applyNumberFormat="1" applyFont="1" applyFill="1" applyBorder="1" applyAlignment="1">
      <alignment vertical="center"/>
    </xf>
    <xf numFmtId="4" fontId="23" fillId="24" borderId="11" xfId="48" applyNumberFormat="1" applyFont="1" applyFill="1" applyBorder="1" applyAlignment="1">
      <alignment horizontal="right" vertical="center"/>
    </xf>
    <xf numFmtId="4" fontId="23" fillId="0" borderId="15" xfId="33" applyNumberFormat="1" applyFont="1" applyFill="1" applyBorder="1" applyAlignment="1">
      <alignment horizontal="center"/>
    </xf>
    <xf numFmtId="4" fontId="23" fillId="24" borderId="23" xfId="48" applyNumberFormat="1" applyFont="1" applyFill="1" applyBorder="1" applyAlignment="1">
      <alignment horizontal="center" vertical="center"/>
    </xf>
    <xf numFmtId="4" fontId="23" fillId="24" borderId="25" xfId="48" applyNumberFormat="1" applyFont="1" applyFill="1" applyBorder="1" applyAlignment="1">
      <alignment horizontal="left" vertical="center"/>
    </xf>
    <xf numFmtId="4" fontId="23" fillId="24" borderId="28" xfId="48" applyNumberFormat="1" applyFont="1" applyFill="1" applyBorder="1" applyAlignment="1">
      <alignment horizontal="right" vertical="center"/>
    </xf>
    <xf numFmtId="4" fontId="23" fillId="24" borderId="29" xfId="48" applyNumberFormat="1" applyFont="1" applyFill="1" applyBorder="1" applyAlignment="1">
      <alignment horizontal="center" vertical="center"/>
    </xf>
    <xf numFmtId="4" fontId="23" fillId="0" borderId="23" xfId="48" applyNumberFormat="1" applyFont="1" applyFill="1" applyBorder="1" applyAlignment="1">
      <alignment horizontal="center" vertical="center"/>
    </xf>
    <xf numFmtId="4" fontId="23" fillId="0" borderId="23" xfId="33" applyNumberFormat="1" applyFont="1" applyFill="1" applyBorder="1" applyAlignment="1">
      <alignment horizontal="center" vertical="center"/>
    </xf>
    <xf numFmtId="4" fontId="23" fillId="0" borderId="23" xfId="48" applyNumberFormat="1" applyFont="1" applyFill="1" applyBorder="1" applyAlignment="1">
      <alignment horizontal="right" vertical="center"/>
    </xf>
    <xf numFmtId="4" fontId="23" fillId="24" borderId="12" xfId="33" applyNumberFormat="1" applyFont="1" applyFill="1" applyBorder="1" applyAlignment="1">
      <alignment horizontal="center" vertical="center" wrapText="1"/>
    </xf>
    <xf numFmtId="165" fontId="29" fillId="24" borderId="0" xfId="53" applyFill="1" applyBorder="1" applyAlignment="1">
      <alignment vertical="center" wrapText="1"/>
    </xf>
    <xf numFmtId="165" fontId="26" fillId="24" borderId="0" xfId="53" applyFont="1" applyFill="1" applyBorder="1" applyAlignment="1">
      <alignment vertical="center" wrapText="1"/>
    </xf>
    <xf numFmtId="4" fontId="25" fillId="0" borderId="0" xfId="0" applyNumberFormat="1" applyFont="1" applyAlignment="1">
      <alignment vertical="center"/>
    </xf>
    <xf numFmtId="0" fontId="18" fillId="24" borderId="0" xfId="0" applyFont="1" applyFill="1" applyAlignment="1">
      <alignment vertical="center"/>
    </xf>
    <xf numFmtId="0" fontId="18" fillId="0" borderId="0" xfId="0" applyFont="1" applyFill="1" applyBorder="1" applyAlignment="1">
      <alignment vertical="center"/>
    </xf>
    <xf numFmtId="0" fontId="19" fillId="24" borderId="0" xfId="0" applyFont="1" applyFill="1" applyBorder="1" applyAlignment="1">
      <alignment vertical="center" wrapText="1"/>
    </xf>
    <xf numFmtId="0" fontId="19" fillId="24" borderId="0" xfId="0" applyFont="1" applyFill="1" applyBorder="1" applyAlignment="1">
      <alignment horizontal="center" vertical="center" wrapText="1"/>
    </xf>
    <xf numFmtId="0" fontId="18" fillId="24" borderId="0" xfId="0" applyFont="1" applyFill="1" applyBorder="1" applyAlignment="1">
      <alignment vertical="center"/>
    </xf>
    <xf numFmtId="9" fontId="18" fillId="24" borderId="0" xfId="50" applyFont="1" applyFill="1" applyBorder="1" applyAlignment="1" applyProtection="1">
      <alignment vertical="center" wrapText="1"/>
    </xf>
    <xf numFmtId="0" fontId="18" fillId="24" borderId="0" xfId="0" applyFont="1" applyFill="1" applyBorder="1" applyAlignment="1">
      <alignment horizontal="center" vertical="center"/>
    </xf>
    <xf numFmtId="4" fontId="23" fillId="24" borderId="37" xfId="48" applyNumberFormat="1" applyFont="1" applyFill="1" applyBorder="1" applyAlignment="1">
      <alignment horizontal="center" vertical="center" wrapText="1"/>
    </xf>
    <xf numFmtId="4" fontId="23" fillId="24" borderId="38" xfId="48" applyNumberFormat="1" applyFont="1" applyFill="1" applyBorder="1" applyAlignment="1">
      <alignment horizontal="center" vertical="center" wrapText="1"/>
    </xf>
    <xf numFmtId="4" fontId="23" fillId="0" borderId="41" xfId="48" applyNumberFormat="1" applyFont="1" applyFill="1" applyBorder="1" applyAlignment="1">
      <alignment horizontal="center" vertical="center"/>
    </xf>
    <xf numFmtId="4" fontId="23" fillId="0" borderId="42" xfId="48" applyNumberFormat="1" applyFont="1" applyFill="1" applyBorder="1" applyAlignment="1">
      <alignment horizontal="justify" vertical="center" wrapText="1"/>
    </xf>
    <xf numFmtId="4" fontId="23" fillId="0" borderId="42" xfId="0" applyNumberFormat="1" applyFont="1" applyFill="1" applyBorder="1" applyAlignment="1">
      <alignment vertical="center" wrapText="1"/>
    </xf>
    <xf numFmtId="4" fontId="23" fillId="0" borderId="42" xfId="48" applyNumberFormat="1" applyFont="1" applyFill="1" applyBorder="1" applyAlignment="1">
      <alignment horizontal="left" vertical="center" wrapText="1"/>
    </xf>
    <xf numFmtId="4" fontId="25" fillId="0" borderId="0" xfId="0" applyNumberFormat="1" applyFont="1" applyFill="1" applyAlignment="1">
      <alignment vertical="center"/>
    </xf>
    <xf numFmtId="4" fontId="23" fillId="0" borderId="14" xfId="48" applyNumberFormat="1" applyFont="1" applyFill="1" applyBorder="1" applyAlignment="1">
      <alignment vertical="center" wrapText="1"/>
    </xf>
    <xf numFmtId="4" fontId="23" fillId="0" borderId="42" xfId="0" applyNumberFormat="1" applyFont="1" applyFill="1" applyBorder="1" applyAlignment="1">
      <alignment horizontal="justify" vertical="center" wrapText="1"/>
    </xf>
    <xf numFmtId="0" fontId="18" fillId="24" borderId="23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justify" vertical="center" wrapText="1"/>
    </xf>
    <xf numFmtId="0" fontId="18" fillId="0" borderId="23" xfId="0" applyNumberFormat="1" applyFont="1" applyBorder="1" applyAlignment="1">
      <alignment horizontal="center" vertical="center"/>
    </xf>
    <xf numFmtId="4" fontId="23" fillId="0" borderId="26" xfId="48" applyNumberFormat="1" applyFont="1" applyFill="1" applyBorder="1" applyAlignment="1">
      <alignment horizontal="center" vertical="center"/>
    </xf>
    <xf numFmtId="0" fontId="19" fillId="24" borderId="23" xfId="0" applyFont="1" applyFill="1" applyBorder="1" applyAlignment="1">
      <alignment horizontal="center" vertical="top"/>
    </xf>
    <xf numFmtId="0" fontId="18" fillId="24" borderId="23" xfId="0" applyFont="1" applyFill="1" applyBorder="1" applyAlignment="1">
      <alignment horizontal="justify" vertical="center"/>
    </xf>
    <xf numFmtId="0" fontId="21" fillId="24" borderId="23" xfId="0" applyFont="1" applyFill="1" applyBorder="1" applyAlignment="1">
      <alignment horizontal="center" vertical="top"/>
    </xf>
    <xf numFmtId="0" fontId="19" fillId="25" borderId="23" xfId="0" applyFont="1" applyFill="1" applyBorder="1" applyAlignment="1">
      <alignment horizontal="center" vertical="center" wrapText="1"/>
    </xf>
    <xf numFmtId="0" fontId="21" fillId="25" borderId="23" xfId="0" applyFont="1" applyFill="1" applyBorder="1" applyAlignment="1">
      <alignment horizontal="center" vertical="top"/>
    </xf>
    <xf numFmtId="0" fontId="21" fillId="24" borderId="23" xfId="0" applyFont="1" applyFill="1" applyBorder="1" applyAlignment="1">
      <alignment horizontal="justify" vertical="top" wrapText="1"/>
    </xf>
    <xf numFmtId="0" fontId="22" fillId="0" borderId="23" xfId="0" applyFont="1" applyFill="1" applyBorder="1" applyAlignment="1">
      <alignment horizontal="justify" vertical="center"/>
    </xf>
    <xf numFmtId="0" fontId="18" fillId="0" borderId="23" xfId="0" applyFont="1" applyFill="1" applyBorder="1" applyAlignment="1">
      <alignment horizontal="justify" vertical="center"/>
    </xf>
    <xf numFmtId="0" fontId="18" fillId="0" borderId="23" xfId="0" applyNumberFormat="1" applyFont="1" applyBorder="1" applyAlignment="1">
      <alignment horizontal="justify" vertical="center" wrapText="1"/>
    </xf>
    <xf numFmtId="0" fontId="18" fillId="24" borderId="23" xfId="0" applyFont="1" applyFill="1" applyBorder="1" applyAlignment="1">
      <alignment horizontal="justify" vertical="center" wrapText="1"/>
    </xf>
    <xf numFmtId="4" fontId="23" fillId="0" borderId="23" xfId="48" applyNumberFormat="1" applyFont="1" applyFill="1" applyBorder="1" applyAlignment="1">
      <alignment horizontal="justify" vertical="center" wrapText="1"/>
    </xf>
    <xf numFmtId="4" fontId="23" fillId="0" borderId="10" xfId="48" applyNumberFormat="1" applyFont="1" applyFill="1" applyBorder="1" applyAlignment="1">
      <alignment horizontal="left" vertical="center"/>
    </xf>
    <xf numFmtId="4" fontId="27" fillId="4" borderId="31" xfId="0" applyNumberFormat="1" applyFont="1" applyFill="1" applyBorder="1" applyAlignment="1">
      <alignment horizontal="justify" vertical="center"/>
    </xf>
    <xf numFmtId="3" fontId="23" fillId="0" borderId="23" xfId="0" applyNumberFormat="1" applyFont="1" applyFill="1" applyBorder="1" applyAlignment="1">
      <alignment horizontal="justify" vertical="center" wrapText="1"/>
    </xf>
    <xf numFmtId="3" fontId="23" fillId="0" borderId="23" xfId="0" applyNumberFormat="1" applyFont="1" applyFill="1" applyBorder="1" applyAlignment="1">
      <alignment horizontal="justify" vertical="center"/>
    </xf>
    <xf numFmtId="4" fontId="23" fillId="0" borderId="23" xfId="48" applyNumberFormat="1" applyFont="1" applyFill="1" applyBorder="1" applyAlignment="1">
      <alignment horizontal="justify" vertical="center"/>
    </xf>
    <xf numFmtId="0" fontId="23" fillId="0" borderId="23" xfId="0" applyFont="1" applyFill="1" applyBorder="1" applyAlignment="1">
      <alignment horizontal="justify" vertical="center"/>
    </xf>
    <xf numFmtId="4" fontId="23" fillId="24" borderId="23" xfId="48" applyNumberFormat="1" applyFont="1" applyFill="1" applyBorder="1" applyAlignment="1">
      <alignment horizontal="justify" vertical="center"/>
    </xf>
    <xf numFmtId="4" fontId="23" fillId="0" borderId="23" xfId="0" applyNumberFormat="1" applyFont="1" applyFill="1" applyBorder="1" applyAlignment="1">
      <alignment horizontal="justify" vertical="center" wrapText="1"/>
    </xf>
    <xf numFmtId="0" fontId="23" fillId="0" borderId="23" xfId="0" applyFont="1" applyBorder="1" applyAlignment="1">
      <alignment horizontal="justify" vertical="center"/>
    </xf>
    <xf numFmtId="4" fontId="23" fillId="0" borderId="23" xfId="0" applyNumberFormat="1" applyFont="1" applyBorder="1" applyAlignment="1">
      <alignment horizontal="justify" vertical="center" wrapText="1"/>
    </xf>
    <xf numFmtId="4" fontId="23" fillId="0" borderId="23" xfId="48" applyNumberFormat="1" applyFont="1" applyBorder="1" applyAlignment="1">
      <alignment horizontal="justify" vertical="center" wrapText="1"/>
    </xf>
    <xf numFmtId="0" fontId="23" fillId="0" borderId="42" xfId="0" applyFont="1" applyFill="1" applyBorder="1" applyAlignment="1">
      <alignment horizontal="justify" vertical="center"/>
    </xf>
    <xf numFmtId="3" fontId="23" fillId="0" borderId="15" xfId="0" applyNumberFormat="1" applyFont="1" applyFill="1" applyBorder="1" applyAlignment="1">
      <alignment horizontal="justify" vertical="center" wrapText="1"/>
    </xf>
    <xf numFmtId="3" fontId="23" fillId="0" borderId="27" xfId="0" applyNumberFormat="1" applyFont="1" applyFill="1" applyBorder="1" applyAlignment="1">
      <alignment horizontal="center" vertical="center"/>
    </xf>
    <xf numFmtId="4" fontId="23" fillId="0" borderId="0" xfId="0" applyNumberFormat="1" applyFont="1" applyFill="1" applyBorder="1"/>
    <xf numFmtId="10" fontId="25" fillId="0" borderId="0" xfId="0" applyNumberFormat="1" applyFont="1" applyFill="1" applyBorder="1" applyAlignment="1">
      <alignment horizontal="center"/>
    </xf>
    <xf numFmtId="4" fontId="23" fillId="0" borderId="0" xfId="0" applyNumberFormat="1" applyFont="1" applyFill="1" applyBorder="1" applyAlignment="1" applyProtection="1">
      <alignment horizontal="right"/>
      <protection locked="0"/>
    </xf>
    <xf numFmtId="3" fontId="23" fillId="0" borderId="0" xfId="0" applyNumberFormat="1" applyFont="1" applyFill="1" applyBorder="1"/>
    <xf numFmtId="3" fontId="23" fillId="0" borderId="0" xfId="0" applyNumberFormat="1" applyFont="1" applyBorder="1"/>
    <xf numFmtId="4" fontId="23" fillId="0" borderId="0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vertical="top" wrapText="1"/>
    </xf>
    <xf numFmtId="4" fontId="23" fillId="0" borderId="11" xfId="48" applyNumberFormat="1" applyFont="1" applyFill="1" applyBorder="1" applyAlignment="1">
      <alignment wrapText="1"/>
    </xf>
    <xf numFmtId="0" fontId="18" fillId="26" borderId="23" xfId="0" applyFont="1" applyFill="1" applyBorder="1" applyAlignment="1">
      <alignment horizontal="center" vertical="center" wrapText="1"/>
    </xf>
    <xf numFmtId="0" fontId="21" fillId="0" borderId="23" xfId="0" applyFont="1" applyFill="1" applyBorder="1" applyAlignment="1">
      <alignment horizontal="center" vertical="top"/>
    </xf>
    <xf numFmtId="0" fontId="18" fillId="0" borderId="23" xfId="0" applyNumberFormat="1" applyFont="1" applyFill="1" applyBorder="1" applyAlignment="1">
      <alignment horizontal="justify" vertical="center" wrapText="1"/>
    </xf>
    <xf numFmtId="0" fontId="18" fillId="0" borderId="23" xfId="0" applyNumberFormat="1" applyFont="1" applyFill="1" applyBorder="1" applyAlignment="1">
      <alignment horizontal="center" vertical="center"/>
    </xf>
    <xf numFmtId="2" fontId="23" fillId="0" borderId="0" xfId="0" applyNumberFormat="1" applyFont="1" applyFill="1" applyAlignment="1">
      <alignment vertical="center"/>
    </xf>
    <xf numFmtId="49" fontId="19" fillId="24" borderId="23" xfId="0" applyNumberFormat="1" applyFont="1" applyFill="1" applyBorder="1" applyAlignment="1">
      <alignment horizontal="center" vertical="center"/>
    </xf>
    <xf numFmtId="2" fontId="23" fillId="0" borderId="0" xfId="0" applyNumberFormat="1" applyFont="1"/>
    <xf numFmtId="0" fontId="28" fillId="0" borderId="0" xfId="0" applyFont="1"/>
    <xf numFmtId="10" fontId="23" fillId="0" borderId="0" xfId="0" applyNumberFormat="1" applyFont="1"/>
    <xf numFmtId="2" fontId="23" fillId="0" borderId="0" xfId="0" applyNumberFormat="1" applyFont="1" applyAlignment="1">
      <alignment vertical="center"/>
    </xf>
    <xf numFmtId="165" fontId="23" fillId="0" borderId="0" xfId="53" applyFont="1" applyFill="1" applyAlignment="1">
      <alignment vertical="center"/>
    </xf>
    <xf numFmtId="0" fontId="28" fillId="0" borderId="0" xfId="0" applyFont="1" applyFill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Fill="1" applyAlignment="1">
      <alignment vertical="center"/>
    </xf>
    <xf numFmtId="0" fontId="28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2" fontId="35" fillId="0" borderId="0" xfId="0" applyNumberFormat="1" applyFont="1" applyFill="1" applyAlignment="1">
      <alignment vertical="center"/>
    </xf>
    <xf numFmtId="0" fontId="36" fillId="0" borderId="0" xfId="0" applyFont="1" applyAlignment="1">
      <alignment vertical="center"/>
    </xf>
    <xf numFmtId="2" fontId="23" fillId="0" borderId="0" xfId="0" applyNumberFormat="1" applyFont="1" applyFill="1" applyBorder="1" applyAlignment="1">
      <alignment vertical="center"/>
    </xf>
    <xf numFmtId="168" fontId="23" fillId="0" borderId="0" xfId="0" applyNumberFormat="1" applyFont="1" applyAlignment="1">
      <alignment vertical="center"/>
    </xf>
    <xf numFmtId="0" fontId="23" fillId="0" borderId="0" xfId="0" applyFont="1" applyBorder="1" applyAlignment="1">
      <alignment vertical="center"/>
    </xf>
    <xf numFmtId="2" fontId="23" fillId="0" borderId="0" xfId="0" applyNumberFormat="1" applyFont="1" applyBorder="1" applyAlignment="1">
      <alignment vertical="center"/>
    </xf>
    <xf numFmtId="3" fontId="23" fillId="0" borderId="31" xfId="0" applyNumberFormat="1" applyFont="1" applyFill="1" applyBorder="1" applyAlignment="1">
      <alignment horizontal="justify" vertical="center" wrapText="1"/>
    </xf>
    <xf numFmtId="3" fontId="23" fillId="0" borderId="0" xfId="0" applyNumberFormat="1" applyFont="1" applyFill="1" applyAlignment="1">
      <alignment horizontal="center"/>
    </xf>
    <xf numFmtId="3" fontId="23" fillId="0" borderId="0" xfId="0" applyNumberFormat="1" applyFont="1" applyAlignment="1">
      <alignment horizontal="justify"/>
    </xf>
    <xf numFmtId="3" fontId="23" fillId="0" borderId="0" xfId="0" applyNumberFormat="1" applyFont="1" applyAlignment="1">
      <alignment horizontal="center"/>
    </xf>
    <xf numFmtId="4" fontId="23" fillId="4" borderId="10" xfId="0" applyNumberFormat="1" applyFont="1" applyFill="1" applyBorder="1" applyAlignment="1">
      <alignment horizontal="center"/>
    </xf>
    <xf numFmtId="4" fontId="23" fillId="4" borderId="31" xfId="0" applyNumberFormat="1" applyFont="1" applyFill="1" applyBorder="1" applyAlignment="1">
      <alignment horizontal="center"/>
    </xf>
    <xf numFmtId="3" fontId="23" fillId="4" borderId="19" xfId="0" applyNumberFormat="1" applyFont="1" applyFill="1" applyBorder="1" applyAlignment="1">
      <alignment horizontal="center"/>
    </xf>
    <xf numFmtId="3" fontId="23" fillId="24" borderId="0" xfId="0" applyNumberFormat="1" applyFont="1" applyFill="1" applyAlignment="1">
      <alignment horizontal="justify"/>
    </xf>
    <xf numFmtId="3" fontId="23" fillId="24" borderId="0" xfId="0" applyNumberFormat="1" applyFont="1" applyFill="1" applyAlignment="1">
      <alignment horizontal="center"/>
    </xf>
    <xf numFmtId="0" fontId="23" fillId="0" borderId="30" xfId="0" applyFont="1" applyBorder="1" applyAlignment="1">
      <alignment vertical="center"/>
    </xf>
    <xf numFmtId="0" fontId="23" fillId="0" borderId="30" xfId="0" applyFont="1" applyFill="1" applyBorder="1" applyAlignment="1">
      <alignment vertical="center"/>
    </xf>
    <xf numFmtId="0" fontId="23" fillId="0" borderId="53" xfId="0" applyFont="1" applyBorder="1" applyAlignment="1">
      <alignment vertical="center"/>
    </xf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justify"/>
    </xf>
    <xf numFmtId="0" fontId="18" fillId="24" borderId="0" xfId="0" applyFont="1" applyFill="1" applyBorder="1" applyAlignment="1"/>
    <xf numFmtId="3" fontId="34" fillId="4" borderId="54" xfId="0" applyNumberFormat="1" applyFont="1" applyFill="1" applyBorder="1" applyAlignment="1">
      <alignment horizontal="center"/>
    </xf>
    <xf numFmtId="3" fontId="34" fillId="4" borderId="55" xfId="0" applyNumberFormat="1" applyFont="1" applyFill="1" applyBorder="1" applyAlignment="1">
      <alignment horizontal="center"/>
    </xf>
    <xf numFmtId="3" fontId="34" fillId="4" borderId="56" xfId="0" applyNumberFormat="1" applyFont="1" applyFill="1" applyBorder="1" applyAlignment="1">
      <alignment horizontal="justify"/>
    </xf>
    <xf numFmtId="3" fontId="34" fillId="4" borderId="23" xfId="0" applyNumberFormat="1" applyFont="1" applyFill="1" applyBorder="1" applyAlignment="1">
      <alignment horizontal="center"/>
    </xf>
    <xf numFmtId="2" fontId="23" fillId="0" borderId="0" xfId="0" applyNumberFormat="1" applyFont="1" applyFill="1" applyAlignment="1">
      <alignment horizontal="center"/>
    </xf>
    <xf numFmtId="2" fontId="23" fillId="4" borderId="31" xfId="0" applyNumberFormat="1" applyFont="1" applyFill="1" applyBorder="1" applyAlignment="1" applyProtection="1">
      <alignment horizontal="center"/>
      <protection locked="0"/>
    </xf>
    <xf numFmtId="2" fontId="34" fillId="4" borderId="55" xfId="0" applyNumberFormat="1" applyFont="1" applyFill="1" applyBorder="1" applyAlignment="1">
      <alignment horizontal="center"/>
    </xf>
    <xf numFmtId="0" fontId="23" fillId="0" borderId="0" xfId="0" applyNumberFormat="1" applyFont="1"/>
    <xf numFmtId="0" fontId="19" fillId="27" borderId="23" xfId="0" applyFont="1" applyFill="1" applyBorder="1" applyAlignment="1">
      <alignment horizontal="center" vertical="center" wrapText="1"/>
    </xf>
    <xf numFmtId="0" fontId="19" fillId="25" borderId="23" xfId="0" applyFont="1" applyFill="1" applyBorder="1" applyAlignment="1">
      <alignment horizontal="center" vertical="top"/>
    </xf>
    <xf numFmtId="0" fontId="23" fillId="28" borderId="30" xfId="0" applyFont="1" applyFill="1" applyBorder="1" applyAlignment="1">
      <alignment vertical="center"/>
    </xf>
    <xf numFmtId="2" fontId="23" fillId="28" borderId="0" xfId="0" applyNumberFormat="1" applyFont="1" applyFill="1" applyAlignment="1">
      <alignment vertical="center"/>
    </xf>
    <xf numFmtId="0" fontId="23" fillId="28" borderId="0" xfId="0" applyFont="1" applyFill="1" applyAlignment="1">
      <alignment vertical="center"/>
    </xf>
    <xf numFmtId="0" fontId="28" fillId="28" borderId="0" xfId="0" applyFont="1" applyFill="1" applyAlignment="1">
      <alignment vertical="center"/>
    </xf>
    <xf numFmtId="0" fontId="25" fillId="28" borderId="0" xfId="0" applyFont="1" applyFill="1" applyAlignment="1">
      <alignment vertical="center"/>
    </xf>
    <xf numFmtId="0" fontId="28" fillId="28" borderId="0" xfId="0" applyFont="1" applyFill="1" applyBorder="1" applyAlignment="1">
      <alignment horizontal="center" vertical="center"/>
    </xf>
    <xf numFmtId="0" fontId="23" fillId="28" borderId="0" xfId="0" applyFont="1" applyFill="1" applyAlignment="1">
      <alignment horizontal="center" vertical="center"/>
    </xf>
    <xf numFmtId="14" fontId="23" fillId="28" borderId="0" xfId="0" applyNumberFormat="1" applyFont="1" applyFill="1" applyAlignment="1">
      <alignment vertical="center"/>
    </xf>
    <xf numFmtId="3" fontId="23" fillId="29" borderId="23" xfId="0" applyNumberFormat="1" applyFont="1" applyFill="1" applyBorder="1" applyAlignment="1">
      <alignment horizontal="justify" vertical="center"/>
    </xf>
    <xf numFmtId="3" fontId="23" fillId="29" borderId="23" xfId="0" applyNumberFormat="1" applyFont="1" applyFill="1" applyBorder="1" applyAlignment="1">
      <alignment horizontal="center" vertical="center"/>
    </xf>
    <xf numFmtId="1" fontId="23" fillId="29" borderId="23" xfId="0" applyNumberFormat="1" applyFont="1" applyFill="1" applyBorder="1" applyAlignment="1">
      <alignment horizontal="center" vertical="center"/>
    </xf>
    <xf numFmtId="2" fontId="23" fillId="28" borderId="0" xfId="0" applyNumberFormat="1" applyFont="1" applyFill="1" applyBorder="1" applyAlignment="1">
      <alignment vertical="center"/>
    </xf>
    <xf numFmtId="0" fontId="23" fillId="28" borderId="0" xfId="0" applyFont="1" applyFill="1" applyBorder="1" applyAlignment="1">
      <alignment vertical="center"/>
    </xf>
    <xf numFmtId="0" fontId="23" fillId="28" borderId="53" xfId="0" applyFont="1" applyFill="1" applyBorder="1" applyAlignment="1">
      <alignment vertical="center"/>
    </xf>
    <xf numFmtId="0" fontId="23" fillId="29" borderId="23" xfId="0" applyFont="1" applyFill="1" applyBorder="1" applyAlignment="1">
      <alignment horizontal="center" vertical="center"/>
    </xf>
    <xf numFmtId="4" fontId="23" fillId="29" borderId="23" xfId="48" applyNumberFormat="1" applyFont="1" applyFill="1" applyBorder="1" applyAlignment="1">
      <alignment horizontal="justify" vertical="center" wrapText="1"/>
    </xf>
    <xf numFmtId="167" fontId="23" fillId="29" borderId="23" xfId="0" applyNumberFormat="1" applyFont="1" applyFill="1" applyBorder="1" applyAlignment="1">
      <alignment horizontal="center" vertical="center"/>
    </xf>
    <xf numFmtId="0" fontId="23" fillId="29" borderId="23" xfId="0" applyFont="1" applyFill="1" applyBorder="1" applyAlignment="1">
      <alignment horizontal="justify" vertical="center" wrapText="1"/>
    </xf>
    <xf numFmtId="4" fontId="23" fillId="29" borderId="23" xfId="0" applyNumberFormat="1" applyFont="1" applyFill="1" applyBorder="1" applyAlignment="1">
      <alignment horizontal="justify" vertical="center" wrapText="1"/>
    </xf>
    <xf numFmtId="0" fontId="23" fillId="0" borderId="23" xfId="0" quotePrefix="1" applyFont="1" applyFill="1" applyBorder="1" applyAlignment="1">
      <alignment horizontal="center" vertical="center"/>
    </xf>
    <xf numFmtId="4" fontId="18" fillId="0" borderId="0" xfId="0" applyNumberFormat="1" applyFont="1" applyFill="1" applyBorder="1" applyAlignment="1">
      <alignment vertical="center"/>
    </xf>
    <xf numFmtId="4" fontId="23" fillId="0" borderId="50" xfId="48" applyNumberFormat="1" applyFont="1" applyFill="1" applyBorder="1" applyAlignment="1">
      <alignment horizontal="justify" vertical="center" wrapText="1"/>
    </xf>
    <xf numFmtId="4" fontId="23" fillId="0" borderId="46" xfId="48" applyNumberFormat="1" applyFont="1" applyFill="1" applyBorder="1" applyAlignment="1">
      <alignment horizontal="center" vertical="center"/>
    </xf>
    <xf numFmtId="4" fontId="23" fillId="0" borderId="23" xfId="48" applyNumberFormat="1" applyFont="1" applyFill="1" applyBorder="1" applyAlignment="1">
      <alignment horizontal="center" vertical="center" wrapText="1"/>
    </xf>
    <xf numFmtId="4" fontId="23" fillId="0" borderId="26" xfId="48" applyNumberFormat="1" applyFont="1" applyFill="1" applyBorder="1" applyAlignment="1">
      <alignment horizontal="right" vertical="center"/>
    </xf>
    <xf numFmtId="4" fontId="23" fillId="0" borderId="38" xfId="48" applyNumberFormat="1" applyFont="1" applyFill="1" applyBorder="1" applyAlignment="1">
      <alignment horizontal="center" vertical="center"/>
    </xf>
    <xf numFmtId="4" fontId="23" fillId="24" borderId="12" xfId="48" applyNumberFormat="1" applyFont="1" applyFill="1" applyBorder="1" applyAlignment="1">
      <alignment horizontal="right" vertical="center"/>
    </xf>
    <xf numFmtId="4" fontId="23" fillId="0" borderId="36" xfId="48" applyNumberFormat="1" applyFont="1" applyFill="1" applyBorder="1" applyAlignment="1">
      <alignment horizontal="center" vertical="center"/>
    </xf>
    <xf numFmtId="4" fontId="23" fillId="0" borderId="38" xfId="48" applyNumberFormat="1" applyFont="1" applyFill="1" applyBorder="1" applyAlignment="1">
      <alignment horizontal="center" vertical="center" wrapText="1"/>
    </xf>
    <xf numFmtId="4" fontId="23" fillId="0" borderId="38" xfId="48" applyNumberFormat="1" applyFont="1" applyFill="1" applyBorder="1" applyAlignment="1">
      <alignment horizontal="center"/>
    </xf>
    <xf numFmtId="3" fontId="23" fillId="0" borderId="39" xfId="0" applyNumberFormat="1" applyFont="1" applyFill="1" applyBorder="1" applyAlignment="1">
      <alignment horizontal="left" vertical="center" wrapText="1"/>
    </xf>
    <xf numFmtId="3" fontId="23" fillId="0" borderId="26" xfId="0" applyNumberFormat="1" applyFont="1" applyFill="1" applyBorder="1" applyAlignment="1">
      <alignment horizontal="left" vertical="center" wrapText="1"/>
    </xf>
    <xf numFmtId="3" fontId="23" fillId="0" borderId="12" xfId="0" applyNumberFormat="1" applyFont="1" applyFill="1" applyBorder="1" applyAlignment="1">
      <alignment horizontal="center" vertical="center"/>
    </xf>
    <xf numFmtId="175" fontId="23" fillId="0" borderId="12" xfId="0" applyNumberFormat="1" applyFont="1" applyFill="1" applyBorder="1" applyAlignment="1">
      <alignment horizontal="center" vertical="center"/>
    </xf>
    <xf numFmtId="4" fontId="23" fillId="0" borderId="44" xfId="48" applyNumberFormat="1" applyFont="1" applyFill="1" applyBorder="1" applyAlignment="1">
      <alignment horizontal="center" vertical="center"/>
    </xf>
    <xf numFmtId="4" fontId="23" fillId="0" borderId="11" xfId="48" applyNumberFormat="1" applyFont="1" applyFill="1" applyBorder="1" applyAlignment="1">
      <alignment horizontal="left" vertical="center"/>
    </xf>
    <xf numFmtId="4" fontId="23" fillId="0" borderId="17" xfId="48" applyNumberFormat="1" applyFont="1" applyFill="1" applyBorder="1" applyAlignment="1">
      <alignment horizontal="center" vertical="center"/>
    </xf>
    <xf numFmtId="4" fontId="23" fillId="0" borderId="13" xfId="48" applyNumberFormat="1" applyFont="1" applyFill="1" applyBorder="1" applyAlignment="1">
      <alignment horizontal="center" vertical="center" wrapText="1"/>
    </xf>
    <xf numFmtId="4" fontId="23" fillId="0" borderId="14" xfId="0" applyNumberFormat="1" applyFont="1" applyFill="1" applyBorder="1" applyAlignment="1">
      <alignment horizontal="justify" vertical="center" wrapText="1"/>
    </xf>
    <xf numFmtId="0" fontId="19" fillId="24" borderId="23" xfId="0" applyFont="1" applyFill="1" applyBorder="1" applyAlignment="1">
      <alignment horizontal="center" vertical="center" wrapText="1"/>
    </xf>
    <xf numFmtId="0" fontId="19" fillId="0" borderId="23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4" fontId="23" fillId="24" borderId="17" xfId="48" applyNumberFormat="1" applyFont="1" applyFill="1" applyBorder="1" applyAlignment="1">
      <alignment horizontal="left" vertical="center"/>
    </xf>
    <xf numFmtId="4" fontId="23" fillId="24" borderId="11" xfId="48" applyNumberFormat="1" applyFont="1" applyFill="1" applyBorder="1" applyAlignment="1">
      <alignment horizontal="center" wrapText="1"/>
    </xf>
    <xf numFmtId="4" fontId="23" fillId="24" borderId="12" xfId="33" applyNumberFormat="1" applyFont="1" applyFill="1" applyBorder="1" applyAlignment="1">
      <alignment horizontal="center" wrapText="1"/>
    </xf>
    <xf numFmtId="4" fontId="23" fillId="24" borderId="12" xfId="48" applyNumberFormat="1" applyFont="1" applyFill="1" applyBorder="1" applyAlignment="1">
      <alignment horizontal="right" wrapText="1"/>
    </xf>
    <xf numFmtId="4" fontId="23" fillId="24" borderId="12" xfId="48" applyNumberFormat="1" applyFont="1" applyFill="1" applyBorder="1" applyAlignment="1">
      <alignment horizontal="center" wrapText="1"/>
    </xf>
    <xf numFmtId="4" fontId="23" fillId="24" borderId="13" xfId="48" applyNumberFormat="1" applyFont="1" applyFill="1" applyBorder="1" applyAlignment="1">
      <alignment horizontal="center" wrapText="1"/>
    </xf>
    <xf numFmtId="4" fontId="23" fillId="32" borderId="64" xfId="48" applyNumberFormat="1" applyFont="1" applyFill="1" applyBorder="1" applyAlignment="1">
      <alignment horizontal="left" vertical="center"/>
    </xf>
    <xf numFmtId="4" fontId="23" fillId="32" borderId="99" xfId="48" applyNumberFormat="1" applyFont="1" applyFill="1" applyBorder="1" applyAlignment="1">
      <alignment horizontal="center" vertical="center"/>
    </xf>
    <xf numFmtId="4" fontId="23" fillId="32" borderId="98" xfId="48" applyNumberFormat="1" applyFont="1" applyFill="1" applyBorder="1" applyAlignment="1">
      <alignment horizontal="center" vertical="center" wrapText="1"/>
    </xf>
    <xf numFmtId="4" fontId="23" fillId="24" borderId="12" xfId="40" applyNumberFormat="1" applyFont="1" applyFill="1" applyBorder="1" applyAlignment="1">
      <alignment horizontal="center" vertical="center"/>
    </xf>
    <xf numFmtId="4" fontId="23" fillId="32" borderId="23" xfId="48" applyNumberFormat="1" applyFont="1" applyFill="1" applyBorder="1" applyAlignment="1">
      <alignment horizontal="center" vertical="center" wrapText="1"/>
    </xf>
    <xf numFmtId="4" fontId="23" fillId="32" borderId="41" xfId="48" applyNumberFormat="1" applyFont="1" applyFill="1" applyBorder="1" applyAlignment="1">
      <alignment horizontal="center" vertical="center" wrapText="1"/>
    </xf>
    <xf numFmtId="4" fontId="23" fillId="0" borderId="49" xfId="48" applyNumberFormat="1" applyFont="1" applyFill="1" applyBorder="1" applyAlignment="1">
      <alignment horizontal="center" vertical="center"/>
    </xf>
    <xf numFmtId="176" fontId="23" fillId="0" borderId="49" xfId="40" applyNumberFormat="1" applyFont="1" applyFill="1" applyBorder="1" applyAlignment="1">
      <alignment horizontal="center" vertical="center"/>
    </xf>
    <xf numFmtId="2" fontId="23" fillId="0" borderId="39" xfId="0" applyNumberFormat="1" applyFont="1" applyFill="1" applyBorder="1" applyAlignment="1">
      <alignment horizontal="right" vertical="center"/>
    </xf>
    <xf numFmtId="0" fontId="32" fillId="25" borderId="23" xfId="0" applyFont="1" applyFill="1" applyBorder="1" applyAlignment="1">
      <alignment vertical="center"/>
    </xf>
    <xf numFmtId="0" fontId="19" fillId="0" borderId="23" xfId="0" applyFont="1" applyFill="1" applyBorder="1" applyAlignment="1">
      <alignment horizontal="center" vertical="center" wrapText="1"/>
    </xf>
    <xf numFmtId="0" fontId="19" fillId="27" borderId="23" xfId="0" applyFont="1" applyFill="1" applyBorder="1" applyAlignment="1">
      <alignment horizontal="left" vertical="center" wrapText="1"/>
    </xf>
    <xf numFmtId="0" fontId="32" fillId="25" borderId="23" xfId="0" applyFont="1" applyFill="1" applyBorder="1" applyAlignment="1">
      <alignment horizontal="left" vertical="center"/>
    </xf>
    <xf numFmtId="0" fontId="19" fillId="24" borderId="23" xfId="0" applyFont="1" applyFill="1" applyBorder="1" applyAlignment="1">
      <alignment horizontal="center" vertical="center" wrapText="1"/>
    </xf>
    <xf numFmtId="0" fontId="37" fillId="0" borderId="0" xfId="0" applyFont="1"/>
    <xf numFmtId="0" fontId="33" fillId="0" borderId="0" xfId="0" applyFont="1" applyFill="1" applyBorder="1" applyAlignment="1"/>
    <xf numFmtId="0" fontId="37" fillId="0" borderId="0" xfId="0" applyFont="1" applyFill="1" applyBorder="1"/>
    <xf numFmtId="0" fontId="33" fillId="0" borderId="0" xfId="0" applyFont="1" applyBorder="1" applyAlignment="1">
      <alignment horizontal="center"/>
    </xf>
    <xf numFmtId="177" fontId="37" fillId="0" borderId="0" xfId="0" applyNumberFormat="1" applyFont="1"/>
    <xf numFmtId="0" fontId="37" fillId="35" borderId="115" xfId="0" applyFont="1" applyFill="1" applyBorder="1" applyAlignment="1">
      <alignment horizontal="center"/>
    </xf>
    <xf numFmtId="0" fontId="37" fillId="35" borderId="116" xfId="0" applyFont="1" applyFill="1" applyBorder="1" applyAlignment="1">
      <alignment horizontal="center"/>
    </xf>
    <xf numFmtId="0" fontId="33" fillId="35" borderId="117" xfId="0" applyFont="1" applyFill="1" applyBorder="1" applyAlignment="1">
      <alignment horizontal="center"/>
    </xf>
    <xf numFmtId="0" fontId="33" fillId="35" borderId="118" xfId="0" applyFont="1" applyFill="1" applyBorder="1" applyAlignment="1">
      <alignment horizontal="center"/>
    </xf>
    <xf numFmtId="0" fontId="33" fillId="0" borderId="16" xfId="0" applyFont="1" applyBorder="1" applyAlignment="1"/>
    <xf numFmtId="0" fontId="33" fillId="0" borderId="0" xfId="0" applyFont="1" applyBorder="1" applyAlignment="1"/>
    <xf numFmtId="0" fontId="33" fillId="0" borderId="85" xfId="0" applyFont="1" applyBorder="1" applyAlignment="1">
      <alignment horizontal="center" vertical="center"/>
    </xf>
    <xf numFmtId="0" fontId="37" fillId="0" borderId="119" xfId="0" applyFont="1" applyBorder="1" applyAlignment="1">
      <alignment horizontal="center" vertical="center"/>
    </xf>
    <xf numFmtId="0" fontId="33" fillId="0" borderId="119" xfId="0" applyFont="1" applyFill="1" applyBorder="1" applyAlignment="1">
      <alignment horizontal="center"/>
    </xf>
    <xf numFmtId="0" fontId="33" fillId="0" borderId="120" xfId="0" applyFont="1" applyFill="1" applyBorder="1" applyAlignment="1">
      <alignment horizontal="center"/>
    </xf>
    <xf numFmtId="0" fontId="33" fillId="0" borderId="0" xfId="0" applyFont="1" applyAlignment="1"/>
    <xf numFmtId="0" fontId="33" fillId="0" borderId="85" xfId="0" applyFont="1" applyBorder="1" applyAlignment="1">
      <alignment horizontal="center"/>
    </xf>
    <xf numFmtId="0" fontId="33" fillId="0" borderId="119" xfId="0" applyFont="1" applyBorder="1"/>
    <xf numFmtId="2" fontId="33" fillId="0" borderId="119" xfId="0" applyNumberFormat="1" applyFont="1" applyBorder="1" applyAlignment="1">
      <alignment horizontal="right"/>
    </xf>
    <xf numFmtId="0" fontId="33" fillId="0" borderId="12" xfId="0" applyFont="1" applyBorder="1" applyAlignment="1">
      <alignment horizontal="right" vertical="center"/>
    </xf>
    <xf numFmtId="10" fontId="33" fillId="0" borderId="12" xfId="0" applyNumberFormat="1" applyFont="1" applyBorder="1" applyAlignment="1"/>
    <xf numFmtId="0" fontId="37" fillId="0" borderId="85" xfId="0" applyFont="1" applyBorder="1" applyAlignment="1">
      <alignment horizontal="center"/>
    </xf>
    <xf numFmtId="0" fontId="0" fillId="0" borderId="119" xfId="39" applyFont="1" applyBorder="1"/>
    <xf numFmtId="2" fontId="37" fillId="0" borderId="120" xfId="0" applyNumberFormat="1" applyFont="1" applyBorder="1"/>
    <xf numFmtId="0" fontId="33" fillId="0" borderId="0" xfId="0" applyFont="1" applyBorder="1" applyAlignment="1">
      <alignment horizontal="right" vertical="center"/>
    </xf>
    <xf numFmtId="10" fontId="33" fillId="0" borderId="0" xfId="0" applyNumberFormat="1" applyFont="1" applyBorder="1" applyAlignment="1"/>
    <xf numFmtId="0" fontId="37" fillId="0" borderId="119" xfId="0" applyFont="1" applyBorder="1"/>
    <xf numFmtId="2" fontId="37" fillId="0" borderId="119" xfId="0" applyNumberFormat="1" applyFont="1" applyBorder="1"/>
    <xf numFmtId="2" fontId="33" fillId="0" borderId="120" xfId="0" applyNumberFormat="1" applyFont="1" applyBorder="1"/>
    <xf numFmtId="0" fontId="37" fillId="0" borderId="0" xfId="0" applyFont="1" applyAlignment="1"/>
    <xf numFmtId="0" fontId="37" fillId="0" borderId="119" xfId="0" applyFont="1" applyBorder="1" applyAlignment="1">
      <alignment horizontal="left"/>
    </xf>
    <xf numFmtId="0" fontId="37" fillId="0" borderId="85" xfId="0" applyFont="1" applyBorder="1" applyAlignment="1">
      <alignment horizontal="right"/>
    </xf>
    <xf numFmtId="172" fontId="37" fillId="0" borderId="0" xfId="0" applyNumberFormat="1" applyFont="1"/>
    <xf numFmtId="2" fontId="0" fillId="0" borderId="0" xfId="0" applyNumberFormat="1"/>
    <xf numFmtId="0" fontId="33" fillId="0" borderId="12" xfId="0" applyFont="1" applyBorder="1"/>
    <xf numFmtId="4" fontId="37" fillId="0" borderId="12" xfId="0" applyNumberFormat="1" applyFont="1" applyBorder="1"/>
    <xf numFmtId="0" fontId="37" fillId="0" borderId="12" xfId="0" applyFont="1" applyBorder="1" applyAlignment="1">
      <alignment horizontal="center"/>
    </xf>
    <xf numFmtId="4" fontId="37" fillId="37" borderId="12" xfId="0" applyNumberFormat="1" applyFont="1" applyFill="1" applyBorder="1"/>
    <xf numFmtId="0" fontId="38" fillId="0" borderId="0" xfId="0" applyFont="1" applyFill="1" applyBorder="1" applyAlignment="1"/>
    <xf numFmtId="0" fontId="37" fillId="0" borderId="85" xfId="0" applyFont="1" applyBorder="1" applyAlignment="1">
      <alignment horizontal="center" vertical="center"/>
    </xf>
    <xf numFmtId="0" fontId="38" fillId="0" borderId="0" xfId="0" applyFont="1" applyBorder="1" applyAlignment="1">
      <alignment vertical="center" wrapText="1"/>
    </xf>
    <xf numFmtId="0" fontId="18" fillId="24" borderId="0" xfId="0" applyFont="1" applyFill="1" applyAlignment="1">
      <alignment horizontal="center"/>
    </xf>
    <xf numFmtId="0" fontId="21" fillId="24" borderId="0" xfId="0" applyFont="1" applyFill="1" applyBorder="1" applyAlignment="1">
      <alignment horizontal="center" vertical="top" wrapText="1"/>
    </xf>
    <xf numFmtId="4" fontId="23" fillId="0" borderId="29" xfId="48" applyNumberFormat="1" applyFont="1" applyFill="1" applyBorder="1" applyAlignment="1">
      <alignment horizontal="center" vertical="center"/>
    </xf>
    <xf numFmtId="0" fontId="19" fillId="24" borderId="23" xfId="0" applyFont="1" applyFill="1" applyBorder="1" applyAlignment="1">
      <alignment horizontal="center" vertical="center" wrapText="1"/>
    </xf>
    <xf numFmtId="0" fontId="23" fillId="0" borderId="23" xfId="0" applyFont="1" applyBorder="1" applyAlignment="1">
      <alignment horizontal="center"/>
    </xf>
    <xf numFmtId="3" fontId="23" fillId="24" borderId="23" xfId="0" applyNumberFormat="1" applyFont="1" applyFill="1" applyBorder="1" applyAlignment="1">
      <alignment horizontal="left" vertical="center"/>
    </xf>
    <xf numFmtId="0" fontId="23" fillId="0" borderId="23" xfId="0" applyFont="1" applyBorder="1" applyAlignment="1">
      <alignment horizontal="justify"/>
    </xf>
    <xf numFmtId="0" fontId="23" fillId="0" borderId="34" xfId="0" applyFont="1" applyBorder="1" applyAlignment="1">
      <alignment horizontal="center"/>
    </xf>
    <xf numFmtId="3" fontId="23" fillId="24" borderId="35" xfId="0" applyNumberFormat="1" applyFont="1" applyFill="1" applyBorder="1" applyAlignment="1">
      <alignment horizontal="left" vertical="center" wrapText="1"/>
    </xf>
    <xf numFmtId="0" fontId="23" fillId="0" borderId="34" xfId="0" applyFont="1" applyFill="1" applyBorder="1" applyAlignment="1">
      <alignment horizontal="center" vertical="center"/>
    </xf>
    <xf numFmtId="3" fontId="23" fillId="24" borderId="26" xfId="0" applyNumberFormat="1" applyFont="1" applyFill="1" applyBorder="1" applyAlignment="1">
      <alignment horizontal="left" vertical="center"/>
    </xf>
    <xf numFmtId="3" fontId="23" fillId="24" borderId="23" xfId="0" applyNumberFormat="1" applyFont="1" applyFill="1" applyBorder="1" applyAlignment="1">
      <alignment horizontal="left" vertical="center" wrapText="1"/>
    </xf>
    <xf numFmtId="0" fontId="23" fillId="0" borderId="34" xfId="0" applyFont="1" applyBorder="1" applyAlignment="1">
      <alignment horizontal="center" vertical="center"/>
    </xf>
    <xf numFmtId="0" fontId="21" fillId="38" borderId="23" xfId="0" applyFont="1" applyFill="1" applyBorder="1" applyAlignment="1">
      <alignment horizontal="center" vertical="top"/>
    </xf>
    <xf numFmtId="3" fontId="23" fillId="0" borderId="10" xfId="0" applyNumberFormat="1" applyFont="1" applyFill="1" applyBorder="1" applyAlignment="1">
      <alignment horizontal="left" vertical="center"/>
    </xf>
    <xf numFmtId="3" fontId="23" fillId="0" borderId="51" xfId="0" applyNumberFormat="1" applyFont="1" applyFill="1" applyBorder="1" applyAlignment="1">
      <alignment horizontal="center" vertical="center"/>
    </xf>
    <xf numFmtId="3" fontId="23" fillId="0" borderId="37" xfId="0" applyNumberFormat="1" applyFont="1" applyFill="1" applyBorder="1" applyAlignment="1">
      <alignment horizontal="center" vertical="center" wrapText="1"/>
    </xf>
    <xf numFmtId="178" fontId="23" fillId="0" borderId="12" xfId="0" applyNumberFormat="1" applyFont="1" applyFill="1" applyBorder="1" applyAlignment="1">
      <alignment horizontal="center" vertical="center" wrapText="1"/>
    </xf>
    <xf numFmtId="178" fontId="23" fillId="0" borderId="20" xfId="0" applyNumberFormat="1" applyFont="1" applyFill="1" applyBorder="1" applyAlignment="1">
      <alignment horizontal="center" vertical="center" wrapText="1"/>
    </xf>
    <xf numFmtId="2" fontId="23" fillId="0" borderId="12" xfId="0" applyNumberFormat="1" applyFont="1" applyFill="1" applyBorder="1" applyAlignment="1">
      <alignment horizontal="center" vertical="center" wrapText="1"/>
    </xf>
    <xf numFmtId="3" fontId="23" fillId="0" borderId="38" xfId="0" applyNumberFormat="1" applyFont="1" applyFill="1" applyBorder="1" applyAlignment="1">
      <alignment horizontal="center" vertical="center" wrapText="1"/>
    </xf>
    <xf numFmtId="179" fontId="23" fillId="0" borderId="31" xfId="0" applyNumberFormat="1" applyFont="1" applyFill="1" applyBorder="1" applyAlignment="1">
      <alignment horizontal="center" vertical="center"/>
    </xf>
    <xf numFmtId="179" fontId="23" fillId="0" borderId="23" xfId="0" applyNumberFormat="1" applyFont="1" applyFill="1" applyBorder="1" applyAlignment="1">
      <alignment horizontal="center" vertical="center"/>
    </xf>
    <xf numFmtId="178" fontId="23" fillId="0" borderId="23" xfId="0" applyNumberFormat="1" applyFont="1" applyFill="1" applyBorder="1" applyAlignment="1">
      <alignment horizontal="center" vertical="center"/>
    </xf>
    <xf numFmtId="4" fontId="23" fillId="0" borderId="12" xfId="0" applyNumberFormat="1" applyFont="1" applyFill="1" applyBorder="1" applyAlignment="1">
      <alignment horizontal="center" vertical="center"/>
    </xf>
    <xf numFmtId="2" fontId="23" fillId="0" borderId="12" xfId="0" applyNumberFormat="1" applyFont="1" applyFill="1" applyBorder="1" applyAlignment="1">
      <alignment horizontal="center" vertical="center"/>
    </xf>
    <xf numFmtId="4" fontId="23" fillId="0" borderId="43" xfId="0" applyNumberFormat="1" applyFont="1" applyFill="1" applyBorder="1" applyAlignment="1">
      <alignment horizontal="center" vertical="center"/>
    </xf>
    <xf numFmtId="3" fontId="23" fillId="0" borderId="124" xfId="0" applyNumberFormat="1" applyFont="1" applyFill="1" applyBorder="1" applyAlignment="1">
      <alignment horizontal="center" vertical="center"/>
    </xf>
    <xf numFmtId="178" fontId="23" fillId="0" borderId="20" xfId="0" applyNumberFormat="1" applyFont="1" applyFill="1" applyBorder="1" applyAlignment="1">
      <alignment horizontal="center" vertical="center"/>
    </xf>
    <xf numFmtId="178" fontId="23" fillId="0" borderId="20" xfId="0" applyNumberFormat="1" applyFont="1" applyFill="1" applyBorder="1" applyAlignment="1">
      <alignment horizontal="right" vertical="center"/>
    </xf>
    <xf numFmtId="3" fontId="23" fillId="0" borderId="38" xfId="0" applyNumberFormat="1" applyFont="1" applyFill="1" applyBorder="1" applyAlignment="1">
      <alignment horizontal="center" vertical="center"/>
    </xf>
    <xf numFmtId="3" fontId="23" fillId="0" borderId="15" xfId="0" applyNumberFormat="1" applyFont="1" applyFill="1" applyBorder="1" applyAlignment="1">
      <alignment horizontal="left" vertical="center" wrapText="1"/>
    </xf>
    <xf numFmtId="178" fontId="23" fillId="0" borderId="12" xfId="0" applyNumberFormat="1" applyFont="1" applyFill="1" applyBorder="1" applyAlignment="1">
      <alignment horizontal="right" vertical="center"/>
    </xf>
    <xf numFmtId="4" fontId="23" fillId="0" borderId="38" xfId="0" applyNumberFormat="1" applyFont="1" applyFill="1" applyBorder="1" applyAlignment="1">
      <alignment horizontal="center" vertical="center"/>
    </xf>
    <xf numFmtId="3" fontId="23" fillId="0" borderId="31" xfId="0" applyNumberFormat="1" applyFont="1" applyFill="1" applyBorder="1" applyAlignment="1">
      <alignment horizontal="left" vertical="center" wrapText="1"/>
    </xf>
    <xf numFmtId="178" fontId="23" fillId="0" borderId="27" xfId="0" applyNumberFormat="1" applyFont="1" applyFill="1" applyBorder="1" applyAlignment="1">
      <alignment horizontal="right" vertical="center"/>
    </xf>
    <xf numFmtId="3" fontId="23" fillId="0" borderId="39" xfId="0" applyNumberFormat="1" applyFont="1" applyFill="1" applyBorder="1" applyAlignment="1">
      <alignment horizontal="center" vertical="center"/>
    </xf>
    <xf numFmtId="4" fontId="23" fillId="0" borderId="27" xfId="0" applyNumberFormat="1" applyFont="1" applyFill="1" applyBorder="1" applyAlignment="1">
      <alignment horizontal="center" vertical="center"/>
    </xf>
    <xf numFmtId="3" fontId="23" fillId="0" borderId="37" xfId="0" applyNumberFormat="1" applyFont="1" applyFill="1" applyBorder="1" applyAlignment="1">
      <alignment horizontal="center" vertical="center"/>
    </xf>
    <xf numFmtId="178" fontId="23" fillId="0" borderId="12" xfId="0" applyNumberFormat="1" applyFont="1" applyFill="1" applyBorder="1" applyAlignment="1">
      <alignment horizontal="center" vertical="center"/>
    </xf>
    <xf numFmtId="3" fontId="23" fillId="0" borderId="15" xfId="0" applyNumberFormat="1" applyFont="1" applyFill="1" applyBorder="1" applyAlignment="1">
      <alignment horizontal="left"/>
    </xf>
    <xf numFmtId="3" fontId="23" fillId="0" borderId="12" xfId="0" applyNumberFormat="1" applyFont="1" applyFill="1" applyBorder="1" applyAlignment="1">
      <alignment horizontal="center"/>
    </xf>
    <xf numFmtId="3" fontId="23" fillId="0" borderId="47" xfId="0" applyNumberFormat="1" applyFont="1" applyFill="1" applyBorder="1" applyAlignment="1">
      <alignment horizontal="right" vertical="center"/>
    </xf>
    <xf numFmtId="2" fontId="23" fillId="0" borderId="37" xfId="0" applyNumberFormat="1" applyFont="1" applyFill="1" applyBorder="1" applyAlignment="1">
      <alignment horizontal="right" vertical="center"/>
    </xf>
    <xf numFmtId="4" fontId="23" fillId="0" borderId="0" xfId="48" applyNumberFormat="1" applyFont="1" applyFill="1" applyBorder="1" applyAlignment="1">
      <alignment horizontal="center" vertical="center"/>
    </xf>
    <xf numFmtId="3" fontId="23" fillId="0" borderId="12" xfId="0" applyNumberFormat="1" applyFont="1" applyFill="1" applyBorder="1" applyAlignment="1">
      <alignment horizontal="left" vertical="center"/>
    </xf>
    <xf numFmtId="3" fontId="23" fillId="0" borderId="12" xfId="0" applyNumberFormat="1" applyFont="1" applyFill="1" applyBorder="1" applyAlignment="1">
      <alignment horizontal="justify" vertical="center" wrapText="1"/>
    </xf>
    <xf numFmtId="0" fontId="19" fillId="24" borderId="23" xfId="0" applyFont="1" applyFill="1" applyBorder="1" applyAlignment="1">
      <alignment horizontal="center" vertical="center" wrapText="1"/>
    </xf>
    <xf numFmtId="3" fontId="23" fillId="0" borderId="12" xfId="0" applyNumberFormat="1" applyFont="1" applyFill="1" applyBorder="1" applyAlignment="1">
      <alignment horizontal="right" vertical="center"/>
    </xf>
    <xf numFmtId="4" fontId="23" fillId="0" borderId="11" xfId="48" applyNumberFormat="1" applyFont="1" applyFill="1" applyBorder="1" applyAlignment="1">
      <alignment horizontal="justify" vertical="center" wrapText="1"/>
    </xf>
    <xf numFmtId="4" fontId="23" fillId="0" borderId="14" xfId="48" applyNumberFormat="1" applyFont="1" applyFill="1" applyBorder="1" applyAlignment="1">
      <alignment horizontal="left" vertical="center" wrapText="1"/>
    </xf>
    <xf numFmtId="4" fontId="23" fillId="0" borderId="112" xfId="48" applyNumberFormat="1" applyFont="1" applyFill="1" applyBorder="1" applyAlignment="1">
      <alignment horizontal="left" vertical="center"/>
    </xf>
    <xf numFmtId="4" fontId="23" fillId="0" borderId="20" xfId="48" applyNumberFormat="1" applyFont="1" applyFill="1" applyBorder="1" applyAlignment="1">
      <alignment horizontal="center" vertical="center"/>
    </xf>
    <xf numFmtId="0" fontId="18" fillId="0" borderId="23" xfId="0" applyNumberFormat="1" applyFont="1" applyBorder="1" applyAlignment="1">
      <alignment horizontal="justify" vertical="center"/>
    </xf>
    <xf numFmtId="4" fontId="23" fillId="0" borderId="23" xfId="0" applyNumberFormat="1" applyFont="1" applyBorder="1" applyAlignment="1">
      <alignment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12" xfId="0" applyFont="1" applyFill="1" applyBorder="1" applyAlignment="1">
      <alignment horizontal="right" vertical="center"/>
    </xf>
    <xf numFmtId="10" fontId="33" fillId="0" borderId="12" xfId="0" applyNumberFormat="1" applyFont="1" applyFill="1" applyBorder="1" applyAlignment="1"/>
    <xf numFmtId="0" fontId="37" fillId="0" borderId="0" xfId="0" applyFont="1" applyFill="1"/>
    <xf numFmtId="2" fontId="33" fillId="0" borderId="120" xfId="0" applyNumberFormat="1" applyFont="1" applyFill="1" applyBorder="1" applyAlignment="1">
      <alignment horizontal="right"/>
    </xf>
    <xf numFmtId="2" fontId="37" fillId="0" borderId="120" xfId="0" applyNumberFormat="1" applyFont="1" applyFill="1" applyBorder="1"/>
    <xf numFmtId="2" fontId="33" fillId="0" borderId="120" xfId="0" applyNumberFormat="1" applyFont="1" applyFill="1" applyBorder="1"/>
    <xf numFmtId="2" fontId="33" fillId="0" borderId="119" xfId="0" applyNumberFormat="1" applyFont="1" applyFill="1" applyBorder="1"/>
    <xf numFmtId="2" fontId="37" fillId="0" borderId="119" xfId="0" applyNumberFormat="1" applyFont="1" applyFill="1" applyBorder="1"/>
    <xf numFmtId="2" fontId="37" fillId="0" borderId="119" xfId="0" applyNumberFormat="1" applyFont="1" applyFill="1" applyBorder="1" applyAlignment="1">
      <alignment horizontal="right"/>
    </xf>
    <xf numFmtId="2" fontId="33" fillId="0" borderId="0" xfId="0" applyNumberFormat="1" applyFont="1" applyFill="1" applyBorder="1"/>
    <xf numFmtId="4" fontId="23" fillId="0" borderId="21" xfId="48" applyNumberFormat="1" applyFont="1" applyFill="1" applyBorder="1" applyAlignment="1">
      <alignment horizontal="center" vertical="center"/>
    </xf>
    <xf numFmtId="4" fontId="23" fillId="0" borderId="11" xfId="48" applyNumberFormat="1" applyFont="1" applyFill="1" applyBorder="1" applyAlignment="1">
      <alignment horizontal="center"/>
    </xf>
    <xf numFmtId="4" fontId="23" fillId="0" borderId="12" xfId="48" applyNumberFormat="1" applyFont="1" applyFill="1" applyBorder="1" applyAlignment="1">
      <alignment horizontal="center" vertical="center" wrapText="1"/>
    </xf>
    <xf numFmtId="4" fontId="23" fillId="0" borderId="11" xfId="48" applyNumberFormat="1" applyFont="1" applyFill="1" applyBorder="1" applyAlignment="1">
      <alignment horizontal="left"/>
    </xf>
    <xf numFmtId="4" fontId="23" fillId="0" borderId="14" xfId="48" applyNumberFormat="1" applyFont="1" applyFill="1" applyBorder="1" applyAlignment="1">
      <alignment horizontal="center" vertical="center"/>
    </xf>
    <xf numFmtId="4" fontId="23" fillId="0" borderId="11" xfId="48" applyNumberFormat="1" applyFont="1" applyFill="1" applyBorder="1" applyAlignment="1">
      <alignment horizontal="center" vertical="center"/>
    </xf>
    <xf numFmtId="4" fontId="23" fillId="0" borderId="16" xfId="48" applyNumberFormat="1" applyFont="1" applyFill="1" applyBorder="1" applyAlignment="1">
      <alignment horizontal="right" vertical="center"/>
    </xf>
    <xf numFmtId="4" fontId="23" fillId="0" borderId="11" xfId="48" applyNumberFormat="1" applyFont="1" applyFill="1" applyBorder="1" applyAlignment="1">
      <alignment horizontal="right" vertical="center"/>
    </xf>
    <xf numFmtId="4" fontId="23" fillId="0" borderId="25" xfId="48" applyNumberFormat="1" applyFont="1" applyFill="1" applyBorder="1" applyAlignment="1">
      <alignment horizontal="left" vertical="center"/>
    </xf>
    <xf numFmtId="4" fontId="23" fillId="0" borderId="25" xfId="48" applyNumberFormat="1" applyFont="1" applyFill="1" applyBorder="1" applyAlignment="1">
      <alignment vertical="center"/>
    </xf>
    <xf numFmtId="4" fontId="23" fillId="0" borderId="26" xfId="48" applyNumberFormat="1" applyFont="1" applyFill="1" applyBorder="1" applyAlignment="1">
      <alignment vertical="center"/>
    </xf>
    <xf numFmtId="4" fontId="23" fillId="0" borderId="28" xfId="48" applyNumberFormat="1" applyFont="1" applyFill="1" applyBorder="1" applyAlignment="1">
      <alignment horizontal="right" vertical="center"/>
    </xf>
    <xf numFmtId="4" fontId="23" fillId="0" borderId="12" xfId="33" applyNumberFormat="1" applyFont="1" applyFill="1" applyBorder="1" applyAlignment="1">
      <alignment horizontal="center"/>
    </xf>
    <xf numFmtId="4" fontId="23" fillId="0" borderId="20" xfId="33" applyNumberFormat="1" applyFont="1" applyFill="1" applyBorder="1" applyAlignment="1">
      <alignment horizontal="center"/>
    </xf>
    <xf numFmtId="4" fontId="23" fillId="0" borderId="11" xfId="48" applyNumberFormat="1" applyFont="1" applyFill="1" applyBorder="1" applyAlignment="1">
      <alignment horizontal="center" vertical="center" wrapText="1"/>
    </xf>
    <xf numFmtId="4" fontId="23" fillId="0" borderId="12" xfId="33" applyNumberFormat="1" applyFont="1" applyFill="1" applyBorder="1" applyAlignment="1">
      <alignment horizontal="center" vertical="center" wrapText="1"/>
    </xf>
    <xf numFmtId="4" fontId="23" fillId="0" borderId="18" xfId="48" applyNumberFormat="1" applyFont="1" applyFill="1" applyBorder="1" applyAlignment="1">
      <alignment horizontal="center" vertical="center"/>
    </xf>
    <xf numFmtId="4" fontId="23" fillId="0" borderId="20" xfId="33" applyNumberFormat="1" applyFont="1" applyFill="1" applyBorder="1" applyAlignment="1">
      <alignment horizontal="center" vertical="center"/>
    </xf>
    <xf numFmtId="4" fontId="23" fillId="0" borderId="18" xfId="48" applyNumberFormat="1" applyFont="1" applyFill="1" applyBorder="1" applyAlignment="1">
      <alignment horizontal="center"/>
    </xf>
    <xf numFmtId="4" fontId="23" fillId="0" borderId="20" xfId="48" applyNumberFormat="1" applyFont="1" applyFill="1" applyBorder="1" applyAlignment="1">
      <alignment horizontal="center"/>
    </xf>
    <xf numFmtId="4" fontId="23" fillId="0" borderId="21" xfId="48" applyNumberFormat="1" applyFont="1" applyFill="1" applyBorder="1" applyAlignment="1">
      <alignment horizontal="center"/>
    </xf>
    <xf numFmtId="4" fontId="23" fillId="0" borderId="0" xfId="0" applyNumberFormat="1" applyFont="1" applyFill="1"/>
    <xf numFmtId="4" fontId="23" fillId="0" borderId="20" xfId="48" applyNumberFormat="1" applyFont="1" applyFill="1" applyBorder="1" applyAlignment="1">
      <alignment horizontal="right" vertical="center"/>
    </xf>
    <xf numFmtId="4" fontId="23" fillId="0" borderId="11" xfId="48" applyNumberFormat="1" applyFont="1" applyFill="1" applyBorder="1" applyAlignment="1">
      <alignment horizontal="left" vertical="center" wrapText="1"/>
    </xf>
    <xf numFmtId="4" fontId="23" fillId="0" borderId="0" xfId="0" applyNumberFormat="1" applyFont="1" applyFill="1" applyAlignment="1">
      <alignment horizontal="center"/>
    </xf>
    <xf numFmtId="4" fontId="23" fillId="0" borderId="34" xfId="48" applyNumberFormat="1" applyFont="1" applyFill="1" applyBorder="1" applyAlignment="1">
      <alignment horizontal="center" vertical="center"/>
    </xf>
    <xf numFmtId="4" fontId="23" fillId="0" borderId="35" xfId="48" applyNumberFormat="1" applyFont="1" applyFill="1" applyBorder="1" applyAlignment="1">
      <alignment horizontal="right"/>
    </xf>
    <xf numFmtId="4" fontId="23" fillId="0" borderId="26" xfId="48" applyNumberFormat="1" applyFont="1" applyFill="1" applyBorder="1" applyAlignment="1">
      <alignment horizontal="right"/>
    </xf>
    <xf numFmtId="4" fontId="23" fillId="0" borderId="28" xfId="48" applyNumberFormat="1" applyFont="1" applyFill="1" applyBorder="1" applyAlignment="1">
      <alignment horizontal="justify" vertical="center" wrapText="1"/>
    </xf>
    <xf numFmtId="4" fontId="23" fillId="0" borderId="23" xfId="48" applyNumberFormat="1" applyFont="1" applyFill="1" applyBorder="1" applyAlignment="1">
      <alignment horizontal="right"/>
    </xf>
    <xf numFmtId="4" fontId="23" fillId="0" borderId="33" xfId="48" applyNumberFormat="1" applyFont="1" applyFill="1" applyBorder="1" applyAlignment="1">
      <alignment horizontal="right"/>
    </xf>
    <xf numFmtId="4" fontId="23" fillId="0" borderId="39" xfId="48" applyNumberFormat="1" applyFont="1" applyFill="1" applyBorder="1" applyAlignment="1">
      <alignment horizontal="left" vertical="center" wrapText="1"/>
    </xf>
    <xf numFmtId="4" fontId="23" fillId="0" borderId="40" xfId="48" applyNumberFormat="1" applyFont="1" applyFill="1" applyBorder="1" applyAlignment="1">
      <alignment horizontal="center" vertical="center"/>
    </xf>
    <xf numFmtId="4" fontId="23" fillId="0" borderId="42" xfId="48" applyNumberFormat="1" applyFont="1" applyFill="1" applyBorder="1" applyAlignment="1">
      <alignment horizontal="center" vertical="center"/>
    </xf>
    <xf numFmtId="4" fontId="23" fillId="0" borderId="42" xfId="48" applyNumberFormat="1" applyFont="1" applyFill="1" applyBorder="1" applyAlignment="1">
      <alignment horizontal="justify" vertical="center"/>
    </xf>
    <xf numFmtId="4" fontId="23" fillId="0" borderId="23" xfId="33" applyNumberFormat="1" applyFont="1" applyFill="1" applyBorder="1" applyAlignment="1">
      <alignment horizontal="center"/>
    </xf>
    <xf numFmtId="4" fontId="23" fillId="0" borderId="41" xfId="48" applyNumberFormat="1" applyFont="1" applyFill="1" applyBorder="1" applyAlignment="1">
      <alignment horizontal="center"/>
    </xf>
    <xf numFmtId="4" fontId="23" fillId="0" borderId="43" xfId="48" applyNumberFormat="1" applyFont="1" applyFill="1" applyBorder="1" applyAlignment="1">
      <alignment horizontal="center" vertical="center"/>
    </xf>
    <xf numFmtId="4" fontId="23" fillId="0" borderId="44" xfId="48" applyNumberFormat="1" applyFont="1" applyFill="1" applyBorder="1" applyAlignment="1">
      <alignment horizontal="center"/>
    </xf>
    <xf numFmtId="4" fontId="23" fillId="0" borderId="39" xfId="48" applyNumberFormat="1" applyFont="1" applyFill="1" applyBorder="1" applyAlignment="1">
      <alignment horizontal="left" vertical="center"/>
    </xf>
    <xf numFmtId="4" fontId="23" fillId="0" borderId="37" xfId="48" applyNumberFormat="1" applyFont="1" applyFill="1" applyBorder="1" applyAlignment="1">
      <alignment horizontal="left" vertical="center"/>
    </xf>
    <xf numFmtId="4" fontId="23" fillId="0" borderId="45" xfId="48" applyNumberFormat="1" applyFont="1" applyFill="1" applyBorder="1" applyAlignment="1">
      <alignment horizontal="right" vertical="center"/>
    </xf>
    <xf numFmtId="4" fontId="23" fillId="0" borderId="37" xfId="48" applyNumberFormat="1" applyFont="1" applyFill="1" applyBorder="1" applyAlignment="1">
      <alignment horizontal="right" vertical="center"/>
    </xf>
    <xf numFmtId="3" fontId="23" fillId="0" borderId="39" xfId="0" applyNumberFormat="1" applyFont="1" applyFill="1" applyBorder="1" applyAlignment="1">
      <alignment horizontal="left" vertical="center"/>
    </xf>
    <xf numFmtId="3" fontId="23" fillId="0" borderId="25" xfId="0" applyNumberFormat="1" applyFont="1" applyFill="1" applyBorder="1" applyAlignment="1">
      <alignment horizontal="center" vertical="center"/>
    </xf>
    <xf numFmtId="4" fontId="23" fillId="0" borderId="39" xfId="48" applyNumberFormat="1" applyFont="1" applyFill="1" applyBorder="1" applyAlignment="1">
      <alignment horizontal="center" vertical="center"/>
    </xf>
    <xf numFmtId="4" fontId="18" fillId="0" borderId="24" xfId="48" applyNumberFormat="1" applyFont="1" applyFill="1" applyBorder="1" applyAlignment="1">
      <alignment horizontal="center" vertical="center"/>
    </xf>
    <xf numFmtId="4" fontId="23" fillId="0" borderId="22" xfId="33" applyNumberFormat="1" applyFont="1" applyFill="1" applyBorder="1" applyAlignment="1">
      <alignment horizontal="left"/>
    </xf>
    <xf numFmtId="4" fontId="23" fillId="0" borderId="26" xfId="33" applyNumberFormat="1" applyFont="1" applyFill="1" applyBorder="1" applyAlignment="1">
      <alignment horizontal="center" vertical="center"/>
    </xf>
    <xf numFmtId="4" fontId="23" fillId="0" borderId="15" xfId="33" applyNumberFormat="1" applyFont="1" applyFill="1" applyBorder="1" applyAlignment="1">
      <alignment horizontal="right"/>
    </xf>
    <xf numFmtId="4" fontId="23" fillId="0" borderId="20" xfId="48" applyNumberFormat="1" applyFont="1" applyFill="1" applyBorder="1" applyAlignment="1">
      <alignment horizontal="right"/>
    </xf>
    <xf numFmtId="4" fontId="23" fillId="0" borderId="112" xfId="48" applyNumberFormat="1" applyFont="1" applyFill="1" applyBorder="1" applyAlignment="1">
      <alignment horizontal="right" vertical="center"/>
    </xf>
    <xf numFmtId="4" fontId="23" fillId="0" borderId="25" xfId="48" applyNumberFormat="1" applyFont="1" applyFill="1" applyBorder="1" applyAlignment="1">
      <alignment horizontal="right" vertical="center"/>
    </xf>
    <xf numFmtId="4" fontId="23" fillId="0" borderId="101" xfId="48" applyNumberFormat="1" applyFont="1" applyFill="1" applyBorder="1" applyAlignment="1">
      <alignment horizontal="center" vertical="center"/>
    </xf>
    <xf numFmtId="4" fontId="23" fillId="0" borderId="76" xfId="48" applyNumberFormat="1" applyFont="1" applyFill="1" applyBorder="1" applyAlignment="1">
      <alignment horizontal="center" vertical="center"/>
    </xf>
    <xf numFmtId="4" fontId="23" fillId="0" borderId="20" xfId="40" applyNumberFormat="1" applyFont="1" applyFill="1" applyBorder="1" applyAlignment="1">
      <alignment horizontal="center" vertical="center"/>
    </xf>
    <xf numFmtId="4" fontId="23" fillId="0" borderId="76" xfId="48" applyNumberFormat="1" applyFont="1" applyFill="1" applyBorder="1" applyAlignment="1">
      <alignment horizontal="left" vertical="center"/>
    </xf>
    <xf numFmtId="4" fontId="23" fillId="0" borderId="23" xfId="40" applyNumberFormat="1" applyFont="1" applyFill="1" applyBorder="1" applyAlignment="1">
      <alignment horizontal="center" vertical="center"/>
    </xf>
    <xf numFmtId="4" fontId="23" fillId="0" borderId="12" xfId="40" applyNumberFormat="1" applyFont="1" applyFill="1" applyBorder="1" applyAlignment="1">
      <alignment horizontal="center" vertical="center"/>
    </xf>
    <xf numFmtId="4" fontId="23" fillId="0" borderId="0" xfId="40" applyNumberFormat="1" applyFont="1" applyFill="1" applyBorder="1" applyAlignment="1">
      <alignment horizontal="center" vertical="center"/>
    </xf>
    <xf numFmtId="175" fontId="23" fillId="0" borderId="23" xfId="48" applyNumberFormat="1" applyFont="1" applyFill="1" applyBorder="1" applyAlignment="1">
      <alignment horizontal="center" vertical="center"/>
    </xf>
    <xf numFmtId="4" fontId="23" fillId="0" borderId="98" xfId="48" applyNumberFormat="1" applyFont="1" applyFill="1" applyBorder="1" applyAlignment="1">
      <alignment horizontal="left" vertical="center"/>
    </xf>
    <xf numFmtId="4" fontId="23" fillId="0" borderId="47" xfId="48" applyNumberFormat="1" applyFont="1" applyFill="1" applyBorder="1" applyAlignment="1">
      <alignment horizontal="right" vertical="center"/>
    </xf>
    <xf numFmtId="4" fontId="23" fillId="0" borderId="111" xfId="48" applyNumberFormat="1" applyFont="1" applyFill="1" applyBorder="1" applyAlignment="1">
      <alignment horizontal="center"/>
    </xf>
    <xf numFmtId="4" fontId="23" fillId="0" borderId="14" xfId="48" applyNumberFormat="1" applyFont="1" applyFill="1" applyBorder="1" applyAlignment="1">
      <alignment vertical="center"/>
    </xf>
    <xf numFmtId="4" fontId="23" fillId="0" borderId="14" xfId="48" applyNumberFormat="1" applyFont="1" applyFill="1" applyBorder="1" applyAlignment="1"/>
    <xf numFmtId="4" fontId="23" fillId="0" borderId="11" xfId="48" applyNumberFormat="1" applyFont="1" applyFill="1" applyBorder="1" applyAlignment="1">
      <alignment horizontal="center" wrapText="1"/>
    </xf>
    <xf numFmtId="4" fontId="23" fillId="0" borderId="12" xfId="33" applyNumberFormat="1" applyFont="1" applyFill="1" applyBorder="1" applyAlignment="1">
      <alignment horizontal="center" wrapText="1"/>
    </xf>
    <xf numFmtId="4" fontId="23" fillId="0" borderId="12" xfId="48" applyNumberFormat="1" applyFont="1" applyFill="1" applyBorder="1" applyAlignment="1">
      <alignment horizontal="right" wrapText="1"/>
    </xf>
    <xf numFmtId="4" fontId="23" fillId="0" borderId="12" xfId="48" applyNumberFormat="1" applyFont="1" applyFill="1" applyBorder="1" applyAlignment="1">
      <alignment horizontal="center" wrapText="1"/>
    </xf>
    <xf numFmtId="4" fontId="23" fillId="0" borderId="13" xfId="48" applyNumberFormat="1" applyFont="1" applyFill="1" applyBorder="1" applyAlignment="1">
      <alignment horizontal="center" wrapText="1"/>
    </xf>
    <xf numFmtId="4" fontId="23" fillId="0" borderId="11" xfId="48" applyNumberFormat="1" applyFont="1" applyFill="1" applyBorder="1" applyAlignment="1">
      <alignment vertical="center"/>
    </xf>
    <xf numFmtId="4" fontId="23" fillId="0" borderId="0" xfId="0" applyNumberFormat="1" applyFont="1" applyFill="1" applyAlignment="1">
      <alignment vertical="center"/>
    </xf>
    <xf numFmtId="4" fontId="23" fillId="0" borderId="14" xfId="0" applyNumberFormat="1" applyFont="1" applyFill="1" applyBorder="1" applyAlignment="1">
      <alignment vertical="center" wrapText="1"/>
    </xf>
    <xf numFmtId="4" fontId="23" fillId="0" borderId="14" xfId="0" applyNumberFormat="1" applyFont="1" applyFill="1" applyBorder="1" applyAlignment="1">
      <alignment wrapText="1"/>
    </xf>
    <xf numFmtId="4" fontId="23" fillId="0" borderId="14" xfId="33" applyNumberFormat="1" applyFont="1" applyFill="1" applyBorder="1" applyAlignment="1">
      <alignment horizontal="left"/>
    </xf>
    <xf numFmtId="0" fontId="19" fillId="24" borderId="23" xfId="0" applyFont="1" applyFill="1" applyBorder="1" applyAlignment="1">
      <alignment horizontal="center" vertical="center" wrapText="1"/>
    </xf>
    <xf numFmtId="3" fontId="23" fillId="0" borderId="12" xfId="0" applyNumberFormat="1" applyFont="1" applyFill="1" applyBorder="1" applyAlignment="1">
      <alignment horizontal="right" vertical="center"/>
    </xf>
    <xf numFmtId="4" fontId="23" fillId="0" borderId="14" xfId="48" applyNumberFormat="1" applyFont="1" applyFill="1" applyBorder="1" applyAlignment="1">
      <alignment horizontal="left" vertical="center"/>
    </xf>
    <xf numFmtId="4" fontId="23" fillId="0" borderId="14" xfId="48" applyNumberFormat="1" applyFont="1" applyFill="1" applyBorder="1" applyAlignment="1">
      <alignment horizontal="left" vertical="center" wrapText="1"/>
    </xf>
    <xf numFmtId="4" fontId="23" fillId="0" borderId="12" xfId="48" applyNumberFormat="1" applyFont="1" applyFill="1" applyBorder="1" applyAlignment="1">
      <alignment horizontal="right" vertical="center"/>
    </xf>
    <xf numFmtId="4" fontId="23" fillId="24" borderId="14" xfId="48" applyNumberFormat="1" applyFont="1" applyFill="1" applyBorder="1" applyAlignment="1">
      <alignment horizontal="left" vertical="center"/>
    </xf>
    <xf numFmtId="4" fontId="23" fillId="0" borderId="0" xfId="48" applyNumberFormat="1" applyFont="1" applyFill="1" applyBorder="1" applyAlignment="1">
      <alignment horizontal="center" vertical="center"/>
    </xf>
    <xf numFmtId="4" fontId="23" fillId="0" borderId="0" xfId="48" applyNumberFormat="1" applyFont="1" applyFill="1" applyBorder="1" applyAlignment="1">
      <alignment horizontal="center" vertical="center"/>
    </xf>
    <xf numFmtId="0" fontId="20" fillId="0" borderId="0" xfId="32" applyFont="1"/>
    <xf numFmtId="0" fontId="22" fillId="0" borderId="0" xfId="32" applyFont="1" applyAlignment="1">
      <alignment horizontal="center" vertical="center"/>
    </xf>
    <xf numFmtId="0" fontId="20" fillId="0" borderId="47" xfId="32" applyFont="1" applyBorder="1" applyAlignment="1">
      <alignment horizontal="center"/>
    </xf>
    <xf numFmtId="0" fontId="24" fillId="0" borderId="135" xfId="32" applyFont="1" applyBorder="1"/>
    <xf numFmtId="165" fontId="20" fillId="0" borderId="136" xfId="53" applyFont="1" applyFill="1" applyBorder="1" applyAlignment="1" applyProtection="1"/>
    <xf numFmtId="0" fontId="20" fillId="0" borderId="135" xfId="32" applyFont="1" applyBorder="1"/>
    <xf numFmtId="4" fontId="20" fillId="0" borderId="0" xfId="32" applyNumberFormat="1" applyFont="1"/>
    <xf numFmtId="9" fontId="20" fillId="0" borderId="136" xfId="53" applyNumberFormat="1" applyFont="1" applyFill="1" applyBorder="1" applyAlignment="1" applyProtection="1"/>
    <xf numFmtId="0" fontId="23" fillId="0" borderId="135" xfId="32" applyFont="1" applyBorder="1"/>
    <xf numFmtId="180" fontId="20" fillId="0" borderId="136" xfId="32" applyNumberFormat="1" applyFont="1" applyBorder="1"/>
    <xf numFmtId="0" fontId="20" fillId="0" borderId="136" xfId="32" applyFont="1" applyBorder="1"/>
    <xf numFmtId="0" fontId="20" fillId="0" borderId="137" xfId="32" applyFont="1" applyBorder="1" applyAlignment="1">
      <alignment horizontal="center"/>
    </xf>
    <xf numFmtId="0" fontId="24" fillId="0" borderId="0" xfId="32" applyFont="1" applyBorder="1"/>
    <xf numFmtId="180" fontId="20" fillId="0" borderId="138" xfId="32" applyNumberFormat="1" applyFont="1" applyBorder="1"/>
    <xf numFmtId="0" fontId="20" fillId="0" borderId="0" xfId="32" applyFont="1" applyBorder="1"/>
    <xf numFmtId="0" fontId="20" fillId="0" borderId="139" xfId="32" applyFont="1" applyBorder="1" applyAlignment="1">
      <alignment horizontal="center"/>
    </xf>
    <xf numFmtId="0" fontId="20" fillId="0" borderId="48" xfId="32" applyFont="1" applyBorder="1"/>
    <xf numFmtId="180" fontId="20" fillId="0" borderId="140" xfId="32" applyNumberFormat="1" applyFont="1" applyBorder="1"/>
    <xf numFmtId="0" fontId="39" fillId="0" borderId="135" xfId="32" applyFont="1" applyBorder="1"/>
    <xf numFmtId="0" fontId="18" fillId="0" borderId="23" xfId="39" applyFont="1" applyFill="1" applyBorder="1" applyAlignment="1">
      <alignment horizontal="justify" vertical="center" wrapText="1"/>
    </xf>
    <xf numFmtId="0" fontId="22" fillId="24" borderId="23" xfId="0" applyFont="1" applyFill="1" applyBorder="1" applyAlignment="1">
      <alignment horizontal="justify" vertical="center"/>
    </xf>
    <xf numFmtId="4" fontId="19" fillId="27" borderId="23" xfId="53" applyNumberFormat="1" applyFont="1" applyFill="1" applyBorder="1" applyAlignment="1" applyProtection="1">
      <alignment horizontal="center" vertical="center" wrapText="1"/>
    </xf>
    <xf numFmtId="0" fontId="18" fillId="0" borderId="23" xfId="0" applyFont="1" applyFill="1" applyBorder="1" applyAlignment="1">
      <alignment horizontal="justify" vertical="center" wrapText="1"/>
    </xf>
    <xf numFmtId="4" fontId="23" fillId="24" borderId="11" xfId="48" applyNumberFormat="1" applyFont="1" applyFill="1" applyBorder="1" applyAlignment="1">
      <alignment horizontal="center" vertical="center"/>
    </xf>
    <xf numFmtId="4" fontId="23" fillId="24" borderId="12" xfId="33" applyNumberFormat="1" applyFont="1" applyFill="1" applyBorder="1" applyAlignment="1">
      <alignment horizontal="center"/>
    </xf>
    <xf numFmtId="4" fontId="23" fillId="24" borderId="13" xfId="48" applyNumberFormat="1" applyFont="1" applyFill="1" applyBorder="1" applyAlignment="1">
      <alignment horizontal="center"/>
    </xf>
    <xf numFmtId="4" fontId="23" fillId="24" borderId="11" xfId="48" applyNumberFormat="1" applyFont="1" applyFill="1" applyBorder="1" applyAlignment="1">
      <alignment horizontal="left" vertical="center"/>
    </xf>
    <xf numFmtId="4" fontId="23" fillId="24" borderId="21" xfId="48" applyNumberFormat="1" applyFont="1" applyFill="1" applyBorder="1" applyAlignment="1">
      <alignment horizontal="center" vertical="center"/>
    </xf>
    <xf numFmtId="4" fontId="24" fillId="0" borderId="0" xfId="48" applyNumberFormat="1" applyFont="1" applyFill="1" applyBorder="1" applyAlignment="1">
      <alignment horizontal="left" vertical="center"/>
    </xf>
    <xf numFmtId="4" fontId="23" fillId="24" borderId="18" xfId="48" applyNumberFormat="1" applyFont="1" applyFill="1" applyBorder="1" applyAlignment="1">
      <alignment horizontal="center" vertical="center"/>
    </xf>
    <xf numFmtId="4" fontId="23" fillId="24" borderId="20" xfId="33" applyNumberFormat="1" applyFont="1" applyFill="1" applyBorder="1" applyAlignment="1">
      <alignment horizontal="center" vertical="center"/>
    </xf>
    <xf numFmtId="4" fontId="23" fillId="0" borderId="14" xfId="48" applyNumberFormat="1" applyFont="1" applyBorder="1" applyAlignment="1">
      <alignment horizontal="left" vertical="center" wrapText="1"/>
    </xf>
    <xf numFmtId="4" fontId="23" fillId="24" borderId="20" xfId="48" applyNumberFormat="1" applyFont="1" applyFill="1" applyBorder="1" applyAlignment="1">
      <alignment horizontal="center" vertical="center"/>
    </xf>
    <xf numFmtId="4" fontId="23" fillId="24" borderId="43" xfId="48" applyNumberFormat="1" applyFont="1" applyFill="1" applyBorder="1" applyAlignment="1">
      <alignment horizontal="center" vertical="center"/>
    </xf>
    <xf numFmtId="4" fontId="23" fillId="24" borderId="44" xfId="48" applyNumberFormat="1" applyFont="1" applyFill="1" applyBorder="1" applyAlignment="1">
      <alignment horizontal="center" vertical="center"/>
    </xf>
    <xf numFmtId="4" fontId="23" fillId="24" borderId="38" xfId="48" applyNumberFormat="1" applyFont="1" applyFill="1" applyBorder="1" applyAlignment="1">
      <alignment horizontal="center" vertical="center"/>
    </xf>
    <xf numFmtId="4" fontId="23" fillId="24" borderId="12" xfId="48" applyNumberFormat="1" applyFont="1" applyFill="1" applyBorder="1" applyAlignment="1">
      <alignment horizontal="right"/>
    </xf>
    <xf numFmtId="4" fontId="23" fillId="24" borderId="15" xfId="48" applyNumberFormat="1" applyFont="1" applyFill="1" applyBorder="1" applyAlignment="1">
      <alignment horizontal="center"/>
    </xf>
    <xf numFmtId="4" fontId="23" fillId="24" borderId="15" xfId="33" applyNumberFormat="1" applyFont="1" applyFill="1" applyBorder="1" applyAlignment="1">
      <alignment horizontal="center"/>
    </xf>
    <xf numFmtId="4" fontId="23" fillId="24" borderId="12" xfId="48" applyNumberFormat="1" applyFont="1" applyFill="1" applyBorder="1" applyAlignment="1">
      <alignment horizontal="center"/>
    </xf>
    <xf numFmtId="4" fontId="18" fillId="0" borderId="0" xfId="48" applyNumberFormat="1" applyFont="1" applyFill="1" applyBorder="1" applyAlignment="1">
      <alignment horizontal="center" vertical="center"/>
    </xf>
    <xf numFmtId="0" fontId="23" fillId="0" borderId="141" xfId="0" applyFont="1" applyBorder="1" applyAlignment="1">
      <alignment vertical="center" wrapText="1"/>
    </xf>
    <xf numFmtId="4" fontId="23" fillId="0" borderId="14" xfId="48" applyNumberFormat="1" applyFont="1" applyBorder="1" applyAlignment="1">
      <alignment horizontal="justify" vertical="center" wrapText="1"/>
    </xf>
    <xf numFmtId="4" fontId="23" fillId="24" borderId="18" xfId="48" applyNumberFormat="1" applyFont="1" applyFill="1" applyBorder="1" applyAlignment="1">
      <alignment horizontal="center"/>
    </xf>
    <xf numFmtId="4" fontId="23" fillId="24" borderId="20" xfId="33" applyNumberFormat="1" applyFont="1" applyFill="1" applyBorder="1" applyAlignment="1">
      <alignment horizontal="center"/>
    </xf>
    <xf numFmtId="4" fontId="23" fillId="24" borderId="20" xfId="48" applyNumberFormat="1" applyFont="1" applyFill="1" applyBorder="1" applyAlignment="1">
      <alignment horizontal="center"/>
    </xf>
    <xf numFmtId="4" fontId="23" fillId="24" borderId="18" xfId="48" applyNumberFormat="1" applyFont="1" applyFill="1" applyBorder="1" applyAlignment="1">
      <alignment horizontal="left" vertical="center"/>
    </xf>
    <xf numFmtId="4" fontId="23" fillId="24" borderId="16" xfId="48" applyNumberFormat="1" applyFont="1" applyFill="1" applyBorder="1" applyAlignment="1">
      <alignment horizontal="right" vertical="center"/>
    </xf>
    <xf numFmtId="4" fontId="23" fillId="0" borderId="39" xfId="48" applyNumberFormat="1" applyFont="1" applyBorder="1" applyAlignment="1">
      <alignment horizontal="left" vertical="center" wrapText="1"/>
    </xf>
    <xf numFmtId="4" fontId="23" fillId="24" borderId="42" xfId="48" applyNumberFormat="1" applyFont="1" applyFill="1" applyBorder="1" applyAlignment="1">
      <alignment horizontal="center" vertical="center"/>
    </xf>
    <xf numFmtId="4" fontId="23" fillId="24" borderId="23" xfId="33" applyNumberFormat="1" applyFont="1" applyFill="1" applyBorder="1" applyAlignment="1">
      <alignment horizontal="center" vertical="center"/>
    </xf>
    <xf numFmtId="4" fontId="23" fillId="24" borderId="23" xfId="48" applyNumberFormat="1" applyFont="1" applyFill="1" applyBorder="1" applyAlignment="1">
      <alignment horizontal="right" vertical="center"/>
    </xf>
    <xf numFmtId="4" fontId="23" fillId="24" borderId="41" xfId="48" applyNumberFormat="1" applyFont="1" applyFill="1" applyBorder="1" applyAlignment="1">
      <alignment horizontal="center" vertical="center"/>
    </xf>
    <xf numFmtId="4" fontId="23" fillId="24" borderId="42" xfId="48" applyNumberFormat="1" applyFont="1" applyFill="1" applyBorder="1" applyAlignment="1">
      <alignment horizontal="justify" vertical="center"/>
    </xf>
    <xf numFmtId="4" fontId="23" fillId="24" borderId="23" xfId="48" applyNumberFormat="1" applyFont="1" applyFill="1" applyBorder="1" applyAlignment="1">
      <alignment horizontal="right"/>
    </xf>
    <xf numFmtId="4" fontId="23" fillId="24" borderId="39" xfId="48" applyNumberFormat="1" applyFont="1" applyFill="1" applyBorder="1" applyAlignment="1">
      <alignment horizontal="left" vertical="center"/>
    </xf>
    <xf numFmtId="4" fontId="23" fillId="24" borderId="37" xfId="48" applyNumberFormat="1" applyFont="1" applyFill="1" applyBorder="1" applyAlignment="1">
      <alignment horizontal="left" vertical="center"/>
    </xf>
    <xf numFmtId="175" fontId="23" fillId="0" borderId="12" xfId="0" applyNumberFormat="1" applyFont="1" applyFill="1" applyBorder="1" applyAlignment="1">
      <alignment horizontal="right" vertical="center"/>
    </xf>
    <xf numFmtId="4" fontId="23" fillId="37" borderId="23" xfId="48" applyNumberFormat="1" applyFont="1" applyFill="1" applyBorder="1" applyAlignment="1">
      <alignment horizontal="center" vertical="center"/>
    </xf>
    <xf numFmtId="4" fontId="23" fillId="24" borderId="10" xfId="33" applyNumberFormat="1" applyFont="1" applyFill="1" applyBorder="1" applyAlignment="1">
      <alignment horizontal="left" vertical="center"/>
    </xf>
    <xf numFmtId="4" fontId="23" fillId="24" borderId="17" xfId="33" applyNumberFormat="1" applyFont="1" applyFill="1" applyBorder="1" applyAlignment="1">
      <alignment horizontal="center" vertical="center"/>
    </xf>
    <xf numFmtId="4" fontId="23" fillId="24" borderId="12" xfId="33" applyNumberFormat="1" applyFont="1" applyFill="1" applyBorder="1" applyAlignment="1">
      <alignment horizontal="right"/>
    </xf>
    <xf numFmtId="4" fontId="23" fillId="0" borderId="12" xfId="33" applyNumberFormat="1" applyFont="1" applyFill="1" applyBorder="1" applyAlignment="1">
      <alignment horizontal="right" vertical="center"/>
    </xf>
    <xf numFmtId="4" fontId="23" fillId="0" borderId="13" xfId="33" applyNumberFormat="1" applyFont="1" applyFill="1" applyBorder="1" applyAlignment="1">
      <alignment horizontal="center" vertical="center"/>
    </xf>
    <xf numFmtId="4" fontId="23" fillId="0" borderId="14" xfId="33" applyNumberFormat="1" applyFont="1" applyFill="1" applyBorder="1" applyAlignment="1">
      <alignment horizontal="justify" vertical="center"/>
    </xf>
    <xf numFmtId="4" fontId="23" fillId="0" borderId="0" xfId="33" applyNumberFormat="1" applyFont="1" applyFill="1" applyBorder="1" applyAlignment="1">
      <alignment horizontal="center" vertical="center"/>
    </xf>
    <xf numFmtId="4" fontId="23" fillId="0" borderId="26" xfId="33" applyNumberFormat="1" applyFont="1" applyFill="1" applyBorder="1" applyAlignment="1">
      <alignment horizontal="right" vertical="center"/>
    </xf>
    <xf numFmtId="4" fontId="23" fillId="24" borderId="14" xfId="33" applyNumberFormat="1" applyFont="1" applyFill="1" applyBorder="1" applyAlignment="1">
      <alignment horizontal="justify" vertical="center" wrapText="1"/>
    </xf>
    <xf numFmtId="4" fontId="23" fillId="24" borderId="26" xfId="33" applyNumberFormat="1" applyFont="1" applyFill="1" applyBorder="1" applyAlignment="1">
      <alignment horizontal="right" vertical="center"/>
    </xf>
    <xf numFmtId="4" fontId="23" fillId="24" borderId="12" xfId="33" applyNumberFormat="1" applyFont="1" applyFill="1" applyBorder="1" applyAlignment="1">
      <alignment horizontal="right" vertical="center"/>
    </xf>
    <xf numFmtId="4" fontId="23" fillId="24" borderId="31" xfId="33" applyNumberFormat="1" applyFont="1" applyFill="1" applyBorder="1" applyAlignment="1">
      <alignment horizontal="center" vertical="center"/>
    </xf>
    <xf numFmtId="4" fontId="23" fillId="24" borderId="14" xfId="33" applyNumberFormat="1" applyFont="1" applyFill="1" applyBorder="1" applyAlignment="1">
      <alignment horizontal="center" vertical="center"/>
    </xf>
    <xf numFmtId="4" fontId="23" fillId="24" borderId="11" xfId="33" applyNumberFormat="1" applyFont="1" applyFill="1" applyBorder="1" applyAlignment="1">
      <alignment horizontal="center"/>
    </xf>
    <xf numFmtId="4" fontId="23" fillId="24" borderId="13" xfId="33" applyNumberFormat="1" applyFont="1" applyFill="1" applyBorder="1" applyAlignment="1">
      <alignment horizontal="center" vertical="center"/>
    </xf>
    <xf numFmtId="4" fontId="23" fillId="0" borderId="27" xfId="33" applyNumberFormat="1" applyFont="1" applyFill="1" applyBorder="1" applyAlignment="1">
      <alignment horizontal="center" vertical="center"/>
    </xf>
    <xf numFmtId="4" fontId="23" fillId="24" borderId="14" xfId="33" applyNumberFormat="1" applyFont="1" applyFill="1" applyBorder="1" applyAlignment="1">
      <alignment horizontal="left" vertical="center"/>
    </xf>
    <xf numFmtId="2" fontId="23" fillId="37" borderId="23" xfId="0" applyNumberFormat="1" applyFont="1" applyFill="1" applyBorder="1" applyAlignment="1" applyProtection="1">
      <alignment horizontal="center" vertical="center"/>
      <protection locked="0"/>
    </xf>
    <xf numFmtId="2" fontId="23" fillId="37" borderId="23" xfId="0" applyNumberFormat="1" applyFont="1" applyFill="1" applyBorder="1" applyAlignment="1">
      <alignment horizontal="center" vertical="center"/>
    </xf>
    <xf numFmtId="4" fontId="23" fillId="37" borderId="23" xfId="0" applyNumberFormat="1" applyFont="1" applyFill="1" applyBorder="1" applyAlignment="1" applyProtection="1">
      <alignment horizontal="center" vertical="center"/>
      <protection locked="0"/>
    </xf>
    <xf numFmtId="2" fontId="23" fillId="37" borderId="34" xfId="0" applyNumberFormat="1" applyFont="1" applyFill="1" applyBorder="1" applyAlignment="1">
      <alignment horizontal="center" vertical="center"/>
    </xf>
    <xf numFmtId="4" fontId="23" fillId="37" borderId="23" xfId="53" applyNumberFormat="1" applyFont="1" applyFill="1" applyBorder="1" applyAlignment="1">
      <alignment horizontal="center" vertical="center"/>
    </xf>
    <xf numFmtId="4" fontId="23" fillId="37" borderId="12" xfId="0" applyNumberFormat="1" applyFont="1" applyFill="1" applyBorder="1" applyAlignment="1">
      <alignment horizontal="center" vertical="center"/>
    </xf>
    <xf numFmtId="4" fontId="23" fillId="37" borderId="38" xfId="0" applyNumberFormat="1" applyFont="1" applyFill="1" applyBorder="1" applyAlignment="1">
      <alignment horizontal="center" vertical="center"/>
    </xf>
    <xf numFmtId="179" fontId="23" fillId="37" borderId="12" xfId="0" applyNumberFormat="1" applyFont="1" applyFill="1" applyBorder="1" applyAlignment="1">
      <alignment horizontal="center"/>
    </xf>
    <xf numFmtId="181" fontId="23" fillId="37" borderId="12" xfId="0" applyNumberFormat="1" applyFont="1" applyFill="1" applyBorder="1" applyAlignment="1">
      <alignment horizontal="center"/>
    </xf>
    <xf numFmtId="181" fontId="23" fillId="37" borderId="12" xfId="0" applyNumberFormat="1" applyFont="1" applyFill="1" applyBorder="1" applyAlignment="1">
      <alignment horizontal="center" vertical="center"/>
    </xf>
    <xf numFmtId="4" fontId="23" fillId="37" borderId="43" xfId="0" applyNumberFormat="1" applyFont="1" applyFill="1" applyBorder="1" applyAlignment="1">
      <alignment horizontal="center" vertical="center"/>
    </xf>
    <xf numFmtId="4" fontId="23" fillId="37" borderId="24" xfId="48" applyNumberFormat="1" applyFont="1" applyFill="1" applyBorder="1" applyAlignment="1">
      <alignment horizontal="center" vertical="center"/>
    </xf>
    <xf numFmtId="2" fontId="23" fillId="37" borderId="23" xfId="0" applyNumberFormat="1" applyFont="1" applyFill="1" applyBorder="1" applyAlignment="1">
      <alignment horizontal="center"/>
    </xf>
    <xf numFmtId="2" fontId="23" fillId="37" borderId="0" xfId="0" applyNumberFormat="1" applyFont="1" applyFill="1" applyAlignment="1">
      <alignment horizontal="center"/>
    </xf>
    <xf numFmtId="4" fontId="23" fillId="37" borderId="27" xfId="0" applyNumberFormat="1" applyFont="1" applyFill="1" applyBorder="1" applyAlignment="1">
      <alignment horizontal="center" vertical="center"/>
    </xf>
    <xf numFmtId="2" fontId="23" fillId="37" borderId="12" xfId="0" applyNumberFormat="1" applyFont="1" applyFill="1" applyBorder="1" applyAlignment="1">
      <alignment horizontal="center" vertical="center"/>
    </xf>
    <xf numFmtId="2" fontId="23" fillId="37" borderId="27" xfId="0" applyNumberFormat="1" applyFont="1" applyFill="1" applyBorder="1" applyAlignment="1">
      <alignment horizontal="center" vertical="center"/>
    </xf>
    <xf numFmtId="2" fontId="23" fillId="37" borderId="12" xfId="0" applyNumberFormat="1" applyFont="1" applyFill="1" applyBorder="1" applyAlignment="1">
      <alignment horizontal="center"/>
    </xf>
    <xf numFmtId="3" fontId="23" fillId="0" borderId="46" xfId="0" applyNumberFormat="1" applyFont="1" applyFill="1" applyBorder="1" applyAlignment="1">
      <alignment horizontal="left" vertical="center" wrapText="1"/>
    </xf>
    <xf numFmtId="175" fontId="23" fillId="39" borderId="15" xfId="33" applyNumberFormat="1" applyFont="1" applyFill="1" applyBorder="1" applyAlignment="1">
      <alignment horizontal="center"/>
    </xf>
    <xf numFmtId="175" fontId="23" fillId="39" borderId="23" xfId="48" applyNumberFormat="1" applyFont="1" applyFill="1" applyBorder="1" applyAlignment="1">
      <alignment horizontal="center"/>
    </xf>
    <xf numFmtId="175" fontId="23" fillId="39" borderId="12" xfId="48" applyNumberFormat="1" applyFont="1" applyFill="1" applyBorder="1" applyAlignment="1">
      <alignment horizontal="center" vertical="center"/>
    </xf>
    <xf numFmtId="4" fontId="23" fillId="39" borderId="12" xfId="48" applyNumberFormat="1" applyFont="1" applyFill="1" applyBorder="1" applyAlignment="1">
      <alignment horizontal="center"/>
    </xf>
    <xf numFmtId="4" fontId="23" fillId="40" borderId="23" xfId="48" applyNumberFormat="1" applyFont="1" applyFill="1" applyBorder="1" applyAlignment="1">
      <alignment horizontal="center" vertical="center"/>
    </xf>
    <xf numFmtId="4" fontId="23" fillId="40" borderId="12" xfId="48" applyNumberFormat="1" applyFont="1" applyFill="1" applyBorder="1" applyAlignment="1">
      <alignment horizontal="center" vertical="center"/>
    </xf>
    <xf numFmtId="4" fontId="23" fillId="39" borderId="38" xfId="48" applyNumberFormat="1" applyFont="1" applyFill="1" applyBorder="1" applyAlignment="1">
      <alignment horizontal="center"/>
    </xf>
    <xf numFmtId="4" fontId="23" fillId="39" borderId="40" xfId="48" applyNumberFormat="1" applyFont="1" applyFill="1" applyBorder="1" applyAlignment="1">
      <alignment horizontal="center" vertical="center"/>
    </xf>
    <xf numFmtId="4" fontId="23" fillId="39" borderId="41" xfId="48" applyNumberFormat="1" applyFont="1" applyFill="1" applyBorder="1" applyAlignment="1">
      <alignment horizontal="center" vertical="center"/>
    </xf>
    <xf numFmtId="4" fontId="23" fillId="39" borderId="38" xfId="48" applyNumberFormat="1" applyFont="1" applyFill="1" applyBorder="1" applyAlignment="1">
      <alignment horizontal="center" vertical="center"/>
    </xf>
    <xf numFmtId="4" fontId="23" fillId="37" borderId="43" xfId="48" applyNumberFormat="1" applyFont="1" applyFill="1" applyBorder="1" applyAlignment="1">
      <alignment horizontal="center" vertical="center"/>
    </xf>
    <xf numFmtId="4" fontId="23" fillId="37" borderId="38" xfId="48" applyNumberFormat="1" applyFont="1" applyFill="1" applyBorder="1" applyAlignment="1">
      <alignment horizontal="center" vertical="center"/>
    </xf>
    <xf numFmtId="4" fontId="18" fillId="37" borderId="23" xfId="53" applyNumberFormat="1" applyFont="1" applyFill="1" applyBorder="1" applyAlignment="1" applyProtection="1">
      <alignment horizontal="center" vertical="center" wrapText="1"/>
    </xf>
    <xf numFmtId="4" fontId="23" fillId="24" borderId="18" xfId="33" applyNumberFormat="1" applyFont="1" applyFill="1" applyBorder="1" applyAlignment="1">
      <alignment horizontal="center" vertical="center"/>
    </xf>
    <xf numFmtId="4" fontId="18" fillId="37" borderId="23" xfId="0" applyNumberFormat="1" applyFont="1" applyFill="1" applyBorder="1" applyAlignment="1">
      <alignment horizontal="center" vertical="center" wrapText="1"/>
    </xf>
    <xf numFmtId="4" fontId="18" fillId="37" borderId="23" xfId="0" applyNumberFormat="1" applyFont="1" applyFill="1" applyBorder="1" applyAlignment="1">
      <alignment vertical="center" wrapText="1"/>
    </xf>
    <xf numFmtId="4" fontId="19" fillId="4" borderId="32" xfId="33" applyNumberFormat="1" applyFont="1" applyFill="1" applyBorder="1" applyAlignment="1">
      <alignment horizontal="center" vertical="center"/>
    </xf>
    <xf numFmtId="4" fontId="19" fillId="4" borderId="57" xfId="48" applyNumberFormat="1" applyFont="1" applyFill="1" applyBorder="1" applyAlignment="1">
      <alignment horizontal="center" vertical="center"/>
    </xf>
    <xf numFmtId="4" fontId="19" fillId="4" borderId="57" xfId="48" applyNumberFormat="1" applyFont="1" applyFill="1" applyBorder="1" applyAlignment="1">
      <alignment horizontal="center" vertical="center" wrapText="1"/>
    </xf>
    <xf numFmtId="4" fontId="40" fillId="4" borderId="57" xfId="48" applyNumberFormat="1" applyFont="1" applyFill="1" applyBorder="1" applyAlignment="1">
      <alignment horizontal="center" vertical="center" wrapText="1"/>
    </xf>
    <xf numFmtId="4" fontId="24" fillId="4" borderId="57" xfId="48" applyNumberFormat="1" applyFont="1" applyFill="1" applyBorder="1" applyAlignment="1">
      <alignment horizontal="center" vertical="center" wrapText="1"/>
    </xf>
    <xf numFmtId="4" fontId="23" fillId="37" borderId="12" xfId="48" applyNumberFormat="1" applyFont="1" applyFill="1" applyBorder="1" applyAlignment="1">
      <alignment horizontal="center" vertical="center"/>
    </xf>
    <xf numFmtId="4" fontId="23" fillId="37" borderId="13" xfId="48" applyNumberFormat="1" applyFont="1" applyFill="1" applyBorder="1" applyAlignment="1">
      <alignment horizontal="center" vertical="center"/>
    </xf>
    <xf numFmtId="4" fontId="23" fillId="37" borderId="21" xfId="48" applyNumberFormat="1" applyFont="1" applyFill="1" applyBorder="1" applyAlignment="1">
      <alignment horizontal="center" vertical="center"/>
    </xf>
    <xf numFmtId="4" fontId="23" fillId="39" borderId="12" xfId="33" applyNumberFormat="1" applyFont="1" applyFill="1" applyBorder="1" applyAlignment="1">
      <alignment horizontal="center" vertical="center"/>
    </xf>
    <xf numFmtId="4" fontId="23" fillId="37" borderId="12" xfId="33" applyNumberFormat="1" applyFont="1" applyFill="1" applyBorder="1" applyAlignment="1">
      <alignment horizontal="center" vertical="center"/>
    </xf>
    <xf numFmtId="4" fontId="23" fillId="24" borderId="35" xfId="33" applyNumberFormat="1" applyFont="1" applyFill="1" applyBorder="1" applyAlignment="1">
      <alignment horizontal="right" vertical="center"/>
    </xf>
    <xf numFmtId="4" fontId="23" fillId="24" borderId="23" xfId="33" applyNumberFormat="1" applyFont="1" applyFill="1" applyBorder="1" applyAlignment="1">
      <alignment horizontal="right" vertical="center"/>
    </xf>
    <xf numFmtId="4" fontId="23" fillId="24" borderId="27" xfId="33" applyNumberFormat="1" applyFont="1" applyFill="1" applyBorder="1" applyAlignment="1">
      <alignment horizontal="right" vertical="center"/>
    </xf>
    <xf numFmtId="4" fontId="23" fillId="39" borderId="10" xfId="33" applyNumberFormat="1" applyFont="1" applyFill="1" applyBorder="1" applyAlignment="1">
      <alignment horizontal="center" vertical="center"/>
    </xf>
    <xf numFmtId="4" fontId="24" fillId="24" borderId="0" xfId="33" applyNumberFormat="1" applyFont="1" applyFill="1" applyBorder="1" applyAlignment="1">
      <alignment horizontal="left" vertical="center"/>
    </xf>
    <xf numFmtId="4" fontId="23" fillId="37" borderId="27" xfId="33" applyNumberFormat="1" applyFont="1" applyFill="1" applyBorder="1" applyAlignment="1">
      <alignment horizontal="center" vertical="center"/>
    </xf>
    <xf numFmtId="4" fontId="23" fillId="39" borderId="15" xfId="33" applyNumberFormat="1" applyFont="1" applyFill="1" applyBorder="1" applyAlignment="1">
      <alignment horizontal="center" vertical="center"/>
    </xf>
    <xf numFmtId="4" fontId="23" fillId="40" borderId="12" xfId="33" applyNumberFormat="1" applyFont="1" applyFill="1" applyBorder="1" applyAlignment="1">
      <alignment horizontal="center" vertical="center"/>
    </xf>
    <xf numFmtId="4" fontId="23" fillId="37" borderId="13" xfId="33" applyNumberFormat="1" applyFont="1" applyFill="1" applyBorder="1" applyAlignment="1">
      <alignment horizontal="center" vertical="center"/>
    </xf>
    <xf numFmtId="4" fontId="23" fillId="39" borderId="13" xfId="33" applyNumberFormat="1" applyFont="1" applyFill="1" applyBorder="1" applyAlignment="1">
      <alignment horizontal="center" vertical="center"/>
    </xf>
    <xf numFmtId="4" fontId="23" fillId="37" borderId="21" xfId="33" applyNumberFormat="1" applyFont="1" applyFill="1" applyBorder="1" applyAlignment="1">
      <alignment horizontal="center"/>
    </xf>
    <xf numFmtId="4" fontId="23" fillId="37" borderId="21" xfId="33" applyNumberFormat="1" applyFont="1" applyFill="1" applyBorder="1" applyAlignment="1">
      <alignment horizontal="center" vertical="center"/>
    </xf>
    <xf numFmtId="4" fontId="23" fillId="37" borderId="21" xfId="48" applyNumberFormat="1" applyFont="1" applyFill="1" applyBorder="1" applyAlignment="1">
      <alignment horizontal="center"/>
    </xf>
    <xf numFmtId="4" fontId="23" fillId="39" borderId="21" xfId="48" applyNumberFormat="1" applyFont="1" applyFill="1" applyBorder="1" applyAlignment="1">
      <alignment horizontal="center" vertical="center"/>
    </xf>
    <xf numFmtId="4" fontId="23" fillId="39" borderId="13" xfId="48" applyNumberFormat="1" applyFont="1" applyFill="1" applyBorder="1" applyAlignment="1">
      <alignment horizontal="center" vertical="center"/>
    </xf>
    <xf numFmtId="4" fontId="23" fillId="37" borderId="13" xfId="48" applyNumberFormat="1" applyFont="1" applyFill="1" applyBorder="1" applyAlignment="1">
      <alignment horizontal="center"/>
    </xf>
    <xf numFmtId="4" fontId="23" fillId="37" borderId="12" xfId="48" applyNumberFormat="1" applyFont="1" applyFill="1" applyBorder="1" applyAlignment="1">
      <alignment horizontal="center"/>
    </xf>
    <xf numFmtId="4" fontId="23" fillId="37" borderId="41" xfId="48" applyNumberFormat="1" applyFont="1" applyFill="1" applyBorder="1" applyAlignment="1">
      <alignment horizontal="center" vertical="center"/>
    </xf>
    <xf numFmtId="4" fontId="23" fillId="37" borderId="101" xfId="48" applyNumberFormat="1" applyFont="1" applyFill="1" applyBorder="1" applyAlignment="1">
      <alignment horizontal="center" vertical="center"/>
    </xf>
    <xf numFmtId="4" fontId="23" fillId="37" borderId="36" xfId="48" applyNumberFormat="1" applyFont="1" applyFill="1" applyBorder="1" applyAlignment="1">
      <alignment horizontal="center" vertical="center"/>
    </xf>
    <xf numFmtId="4" fontId="23" fillId="37" borderId="26" xfId="48" applyNumberFormat="1" applyFont="1" applyFill="1" applyBorder="1" applyAlignment="1">
      <alignment horizontal="center" vertical="center"/>
    </xf>
    <xf numFmtId="4" fontId="23" fillId="37" borderId="33" xfId="48" applyNumberFormat="1" applyFont="1" applyFill="1" applyBorder="1" applyAlignment="1">
      <alignment horizontal="center" vertical="center"/>
    </xf>
    <xf numFmtId="4" fontId="23" fillId="40" borderId="13" xfId="48" applyNumberFormat="1" applyFont="1" applyFill="1" applyBorder="1" applyAlignment="1">
      <alignment horizontal="center" vertical="center"/>
    </xf>
    <xf numFmtId="4" fontId="23" fillId="40" borderId="21" xfId="48" applyNumberFormat="1" applyFont="1" applyFill="1" applyBorder="1" applyAlignment="1">
      <alignment horizontal="center" vertical="center"/>
    </xf>
    <xf numFmtId="3" fontId="23" fillId="29" borderId="23" xfId="0" applyNumberFormat="1" applyFont="1" applyFill="1" applyBorder="1" applyAlignment="1">
      <alignment horizontal="justify" vertical="center" wrapText="1"/>
    </xf>
    <xf numFmtId="0" fontId="23" fillId="0" borderId="23" xfId="0" applyFont="1" applyFill="1" applyBorder="1" applyAlignment="1">
      <alignment horizontal="justify" vertical="center" wrapText="1"/>
    </xf>
    <xf numFmtId="4" fontId="23" fillId="29" borderId="23" xfId="48" applyNumberFormat="1" applyFont="1" applyFill="1" applyBorder="1" applyAlignment="1">
      <alignment horizontal="justify" vertical="center"/>
    </xf>
    <xf numFmtId="0" fontId="23" fillId="0" borderId="23" xfId="0" applyFont="1" applyBorder="1" applyAlignment="1">
      <alignment horizontal="justify" vertical="center" wrapText="1"/>
    </xf>
    <xf numFmtId="4" fontId="23" fillId="39" borderId="12" xfId="48" applyNumberFormat="1" applyFont="1" applyFill="1" applyBorder="1" applyAlignment="1">
      <alignment horizontal="center" vertical="center"/>
    </xf>
    <xf numFmtId="166" fontId="23" fillId="39" borderId="12" xfId="48" applyNumberFormat="1" applyFont="1" applyFill="1" applyBorder="1" applyAlignment="1">
      <alignment horizontal="center" vertical="center"/>
    </xf>
    <xf numFmtId="4" fontId="23" fillId="37" borderId="15" xfId="33" applyNumberFormat="1" applyFont="1" applyFill="1" applyBorder="1" applyAlignment="1">
      <alignment horizontal="center" vertical="center"/>
    </xf>
    <xf numFmtId="4" fontId="23" fillId="39" borderId="20" xfId="48" applyNumberFormat="1" applyFont="1" applyFill="1" applyBorder="1" applyAlignment="1">
      <alignment horizontal="center" vertical="center"/>
    </xf>
    <xf numFmtId="179" fontId="23" fillId="37" borderId="12" xfId="0" applyNumberFormat="1" applyFont="1" applyFill="1" applyBorder="1" applyAlignment="1">
      <alignment horizontal="center" vertical="center"/>
    </xf>
    <xf numFmtId="179" fontId="23" fillId="37" borderId="27" xfId="0" applyNumberFormat="1" applyFont="1" applyFill="1" applyBorder="1" applyAlignment="1">
      <alignment horizontal="center" vertical="center"/>
    </xf>
    <xf numFmtId="175" fontId="23" fillId="37" borderId="12" xfId="0" applyNumberFormat="1" applyFont="1" applyFill="1" applyBorder="1" applyAlignment="1">
      <alignment horizontal="center" vertical="center"/>
    </xf>
    <xf numFmtId="4" fontId="23" fillId="37" borderId="15" xfId="48" applyNumberFormat="1" applyFont="1" applyFill="1" applyBorder="1" applyAlignment="1">
      <alignment horizontal="center" vertical="center"/>
    </xf>
    <xf numFmtId="4" fontId="23" fillId="37" borderId="23" xfId="0" applyNumberFormat="1" applyFont="1" applyFill="1" applyBorder="1" applyAlignment="1">
      <alignment horizontal="center" vertical="center"/>
    </xf>
    <xf numFmtId="166" fontId="23" fillId="37" borderId="23" xfId="0" applyNumberFormat="1" applyFont="1" applyFill="1" applyBorder="1" applyAlignment="1">
      <alignment horizontal="center" vertical="center"/>
    </xf>
    <xf numFmtId="4" fontId="23" fillId="37" borderId="20" xfId="48" applyNumberFormat="1" applyFont="1" applyFill="1" applyBorder="1" applyAlignment="1">
      <alignment horizontal="center" vertical="center"/>
    </xf>
    <xf numFmtId="4" fontId="23" fillId="37" borderId="15" xfId="48" applyNumberFormat="1" applyFont="1" applyFill="1" applyBorder="1" applyAlignment="1">
      <alignment horizontal="center"/>
    </xf>
    <xf numFmtId="166" fontId="23" fillId="37" borderId="12" xfId="33" applyNumberFormat="1" applyFont="1" applyFill="1" applyBorder="1" applyAlignment="1">
      <alignment horizontal="center" vertical="center"/>
    </xf>
    <xf numFmtId="4" fontId="23" fillId="37" borderId="23" xfId="33" applyNumberFormat="1" applyFont="1" applyFill="1" applyBorder="1" applyAlignment="1">
      <alignment horizontal="center" vertical="center"/>
    </xf>
    <xf numFmtId="166" fontId="23" fillId="37" borderId="15" xfId="33" applyNumberFormat="1" applyFont="1" applyFill="1" applyBorder="1" applyAlignment="1">
      <alignment horizontal="center" vertical="center"/>
    </xf>
    <xf numFmtId="4" fontId="23" fillId="37" borderId="46" xfId="33" applyNumberFormat="1" applyFont="1" applyFill="1" applyBorder="1" applyAlignment="1">
      <alignment horizontal="center" vertical="center"/>
    </xf>
    <xf numFmtId="175" fontId="23" fillId="37" borderId="34" xfId="48" applyNumberFormat="1" applyFont="1" applyFill="1" applyBorder="1" applyAlignment="1">
      <alignment horizontal="center" vertical="center"/>
    </xf>
    <xf numFmtId="166" fontId="23" fillId="37" borderId="12" xfId="48" applyNumberFormat="1" applyFont="1" applyFill="1" applyBorder="1" applyAlignment="1">
      <alignment horizontal="center" vertical="center"/>
    </xf>
    <xf numFmtId="4" fontId="23" fillId="37" borderId="35" xfId="48" applyNumberFormat="1" applyFont="1" applyFill="1" applyBorder="1" applyAlignment="1">
      <alignment horizontal="center" vertical="center"/>
    </xf>
    <xf numFmtId="4" fontId="23" fillId="37" borderId="15" xfId="33" applyNumberFormat="1" applyFont="1" applyFill="1" applyBorder="1" applyAlignment="1">
      <alignment horizontal="center"/>
    </xf>
    <xf numFmtId="0" fontId="23" fillId="29" borderId="49" xfId="0" applyFont="1" applyFill="1" applyBorder="1" applyAlignment="1">
      <alignment horizontal="center" vertical="center"/>
    </xf>
    <xf numFmtId="0" fontId="23" fillId="41" borderId="23" xfId="0" applyFont="1" applyFill="1" applyBorder="1" applyAlignment="1">
      <alignment horizontal="justify" vertical="center" wrapText="1"/>
    </xf>
    <xf numFmtId="0" fontId="23" fillId="41" borderId="31" xfId="0" applyFont="1" applyFill="1" applyBorder="1" applyAlignment="1">
      <alignment horizontal="center" vertical="center"/>
    </xf>
    <xf numFmtId="0" fontId="23" fillId="0" borderId="144" xfId="0" applyNumberFormat="1" applyFont="1" applyFill="1" applyBorder="1" applyAlignment="1">
      <alignment horizontal="center" vertical="center"/>
    </xf>
    <xf numFmtId="3" fontId="23" fillId="29" borderId="144" xfId="0" applyNumberFormat="1" applyFont="1" applyFill="1" applyBorder="1" applyAlignment="1">
      <alignment horizontal="justify" vertical="center" wrapText="1"/>
    </xf>
    <xf numFmtId="3" fontId="23" fillId="29" borderId="144" xfId="0" applyNumberFormat="1" applyFont="1" applyFill="1" applyBorder="1" applyAlignment="1">
      <alignment horizontal="center" vertical="center"/>
    </xf>
    <xf numFmtId="167" fontId="23" fillId="41" borderId="144" xfId="0" applyNumberFormat="1" applyFont="1" applyFill="1" applyBorder="1" applyAlignment="1">
      <alignment horizontal="center" vertical="center" wrapText="1"/>
    </xf>
    <xf numFmtId="165" fontId="39" fillId="0" borderId="136" xfId="53" applyFont="1" applyFill="1" applyBorder="1" applyAlignment="1" applyProtection="1"/>
    <xf numFmtId="180" fontId="40" fillId="0" borderId="136" xfId="32" applyNumberFormat="1" applyFont="1" applyBorder="1"/>
    <xf numFmtId="0" fontId="0" fillId="0" borderId="129" xfId="0" applyBorder="1"/>
    <xf numFmtId="0" fontId="0" fillId="0" borderId="130" xfId="0" applyBorder="1"/>
    <xf numFmtId="0" fontId="0" fillId="0" borderId="131" xfId="0" applyBorder="1"/>
    <xf numFmtId="0" fontId="0" fillId="0" borderId="47" xfId="0" applyBorder="1"/>
    <xf numFmtId="0" fontId="0" fillId="0" borderId="0" xfId="0" applyBorder="1"/>
    <xf numFmtId="0" fontId="0" fillId="0" borderId="136" xfId="0" applyBorder="1"/>
    <xf numFmtId="0" fontId="0" fillId="0" borderId="126" xfId="0" applyBorder="1"/>
    <xf numFmtId="0" fontId="0" fillId="0" borderId="48" xfId="0" applyBorder="1"/>
    <xf numFmtId="0" fontId="0" fillId="0" borderId="145" xfId="0" applyBorder="1"/>
    <xf numFmtId="44" fontId="19" fillId="0" borderId="0" xfId="72" applyFont="1" applyFill="1" applyBorder="1" applyAlignment="1">
      <alignment vertical="center" wrapText="1"/>
    </xf>
    <xf numFmtId="4" fontId="23" fillId="37" borderId="146" xfId="48" applyNumberFormat="1" applyFont="1" applyFill="1" applyBorder="1" applyAlignment="1">
      <alignment horizontal="center" vertical="center"/>
    </xf>
    <xf numFmtId="4" fontId="23" fillId="37" borderId="147" xfId="48" applyNumberFormat="1" applyFont="1" applyFill="1" applyBorder="1" applyAlignment="1">
      <alignment horizontal="center" vertical="center"/>
    </xf>
    <xf numFmtId="4" fontId="23" fillId="24" borderId="18" xfId="48" applyNumberFormat="1" applyFont="1" applyFill="1" applyBorder="1" applyAlignment="1">
      <alignment horizontal="right" vertical="center"/>
    </xf>
    <xf numFmtId="4" fontId="23" fillId="37" borderId="34" xfId="48" applyNumberFormat="1" applyFont="1" applyFill="1" applyBorder="1" applyAlignment="1">
      <alignment horizontal="center" vertical="center"/>
    </xf>
    <xf numFmtId="4" fontId="23" fillId="24" borderId="112" xfId="48" applyNumberFormat="1" applyFont="1" applyFill="1" applyBorder="1" applyAlignment="1">
      <alignment horizontal="left" vertical="center"/>
    </xf>
    <xf numFmtId="4" fontId="23" fillId="24" borderId="112" xfId="48" applyNumberFormat="1" applyFont="1" applyFill="1" applyBorder="1" applyAlignment="1">
      <alignment vertical="center"/>
    </xf>
    <xf numFmtId="4" fontId="23" fillId="24" borderId="35" xfId="48" applyNumberFormat="1" applyFont="1" applyFill="1" applyBorder="1" applyAlignment="1">
      <alignment vertical="center"/>
    </xf>
    <xf numFmtId="4" fontId="23" fillId="40" borderId="24" xfId="48" applyNumberFormat="1" applyFont="1" applyFill="1" applyBorder="1" applyAlignment="1">
      <alignment horizontal="center" vertical="center"/>
    </xf>
    <xf numFmtId="2" fontId="33" fillId="42" borderId="12" xfId="50" applyNumberFormat="1" applyFont="1" applyFill="1" applyBorder="1"/>
    <xf numFmtId="4" fontId="19" fillId="33" borderId="23" xfId="0" applyNumberFormat="1" applyFont="1" applyFill="1" applyBorder="1" applyAlignment="1">
      <alignment vertical="center" wrapText="1"/>
    </xf>
    <xf numFmtId="0" fontId="32" fillId="25" borderId="23" xfId="0" applyFont="1" applyFill="1" applyBorder="1" applyAlignment="1">
      <alignment horizontal="left" vertical="center"/>
    </xf>
    <xf numFmtId="0" fontId="32" fillId="25" borderId="49" xfId="0" applyFont="1" applyFill="1" applyBorder="1" applyAlignment="1">
      <alignment horizontal="left" vertical="center"/>
    </xf>
    <xf numFmtId="0" fontId="32" fillId="25" borderId="58" xfId="0" applyFont="1" applyFill="1" applyBorder="1" applyAlignment="1">
      <alignment horizontal="left" vertical="center"/>
    </xf>
    <xf numFmtId="14" fontId="19" fillId="0" borderId="23" xfId="0" applyNumberFormat="1" applyFont="1" applyFill="1" applyBorder="1" applyAlignment="1">
      <alignment horizontal="center" vertical="center" wrapText="1"/>
    </xf>
    <xf numFmtId="0" fontId="19" fillId="0" borderId="49" xfId="0" applyFont="1" applyBorder="1" applyAlignment="1">
      <alignment horizontal="center" vertical="center" wrapText="1"/>
    </xf>
    <xf numFmtId="0" fontId="19" fillId="0" borderId="51" xfId="0" applyFont="1" applyBorder="1" applyAlignment="1">
      <alignment horizontal="center" vertical="center" wrapText="1"/>
    </xf>
    <xf numFmtId="0" fontId="19" fillId="0" borderId="49" xfId="0" applyFont="1" applyFill="1" applyBorder="1" applyAlignment="1">
      <alignment horizontal="center" vertical="center" wrapText="1"/>
    </xf>
    <xf numFmtId="0" fontId="19" fillId="0" borderId="51" xfId="0" applyFont="1" applyFill="1" applyBorder="1" applyAlignment="1">
      <alignment horizontal="center" vertical="center" wrapText="1"/>
    </xf>
    <xf numFmtId="0" fontId="19" fillId="0" borderId="23" xfId="0" applyFont="1" applyFill="1" applyBorder="1" applyAlignment="1">
      <alignment horizontal="center" vertical="center" wrapText="1"/>
    </xf>
    <xf numFmtId="4" fontId="19" fillId="0" borderId="23" xfId="0" applyNumberFormat="1" applyFont="1" applyFill="1" applyBorder="1" applyAlignment="1">
      <alignment horizontal="center" vertical="center"/>
    </xf>
    <xf numFmtId="0" fontId="19" fillId="24" borderId="23" xfId="0" applyFont="1" applyFill="1" applyBorder="1" applyAlignment="1">
      <alignment horizontal="center" vertical="center"/>
    </xf>
    <xf numFmtId="0" fontId="19" fillId="33" borderId="23" xfId="0" applyFont="1" applyFill="1" applyBorder="1" applyAlignment="1">
      <alignment horizontal="center" vertical="center"/>
    </xf>
    <xf numFmtId="0" fontId="19" fillId="0" borderId="23" xfId="0" applyFont="1" applyFill="1" applyBorder="1" applyAlignment="1">
      <alignment horizontal="center" vertical="center"/>
    </xf>
    <xf numFmtId="0" fontId="19" fillId="27" borderId="23" xfId="0" applyFont="1" applyFill="1" applyBorder="1" applyAlignment="1">
      <alignment horizontal="left" vertical="center" wrapText="1"/>
    </xf>
    <xf numFmtId="0" fontId="19" fillId="24" borderId="23" xfId="0" applyFont="1" applyFill="1" applyBorder="1" applyAlignment="1">
      <alignment horizontal="center" vertical="center" wrapText="1"/>
    </xf>
    <xf numFmtId="17" fontId="19" fillId="0" borderId="61" xfId="0" quotePrefix="1" applyNumberFormat="1" applyFont="1" applyFill="1" applyBorder="1" applyAlignment="1">
      <alignment horizontal="center" vertical="center"/>
    </xf>
    <xf numFmtId="17" fontId="19" fillId="0" borderId="59" xfId="0" quotePrefix="1" applyNumberFormat="1" applyFont="1" applyFill="1" applyBorder="1" applyAlignment="1">
      <alignment horizontal="center" vertical="center"/>
    </xf>
    <xf numFmtId="17" fontId="19" fillId="0" borderId="60" xfId="0" quotePrefix="1" applyNumberFormat="1" applyFont="1" applyFill="1" applyBorder="1" applyAlignment="1">
      <alignment horizontal="center" vertical="center"/>
    </xf>
    <xf numFmtId="17" fontId="19" fillId="0" borderId="62" xfId="0" quotePrefix="1" applyNumberFormat="1" applyFont="1" applyFill="1" applyBorder="1" applyAlignment="1">
      <alignment horizontal="center" vertical="center" wrapText="1"/>
    </xf>
    <xf numFmtId="17" fontId="19" fillId="0" borderId="0" xfId="0" quotePrefix="1" applyNumberFormat="1" applyFont="1" applyFill="1" applyBorder="1" applyAlignment="1">
      <alignment horizontal="center" vertical="center" wrapText="1"/>
    </xf>
    <xf numFmtId="17" fontId="19" fillId="0" borderId="63" xfId="0" quotePrefix="1" applyNumberFormat="1" applyFont="1" applyFill="1" applyBorder="1" applyAlignment="1">
      <alignment horizontal="center" vertical="center" wrapText="1"/>
    </xf>
    <xf numFmtId="17" fontId="19" fillId="0" borderId="64" xfId="0" quotePrefix="1" applyNumberFormat="1" applyFont="1" applyFill="1" applyBorder="1" applyAlignment="1">
      <alignment horizontal="center" vertical="center" wrapText="1"/>
    </xf>
    <xf numFmtId="17" fontId="19" fillId="0" borderId="90" xfId="0" quotePrefix="1" applyNumberFormat="1" applyFont="1" applyFill="1" applyBorder="1" applyAlignment="1">
      <alignment horizontal="center" vertical="center" wrapText="1"/>
    </xf>
    <xf numFmtId="17" fontId="19" fillId="0" borderId="65" xfId="0" quotePrefix="1" applyNumberFormat="1" applyFont="1" applyFill="1" applyBorder="1" applyAlignment="1">
      <alignment horizontal="center" vertical="center" wrapText="1"/>
    </xf>
    <xf numFmtId="0" fontId="18" fillId="24" borderId="23" xfId="0" applyFont="1" applyFill="1" applyBorder="1" applyAlignment="1">
      <alignment horizontal="center"/>
    </xf>
    <xf numFmtId="0" fontId="19" fillId="0" borderId="61" xfId="0" applyFont="1" applyFill="1" applyBorder="1" applyAlignment="1">
      <alignment horizontal="center" vertical="center"/>
    </xf>
    <xf numFmtId="0" fontId="19" fillId="0" borderId="59" xfId="0" applyFont="1" applyFill="1" applyBorder="1" applyAlignment="1">
      <alignment horizontal="center" vertical="center"/>
    </xf>
    <xf numFmtId="0" fontId="19" fillId="0" borderId="60" xfId="0" applyFont="1" applyFill="1" applyBorder="1" applyAlignment="1">
      <alignment horizontal="center" vertical="center"/>
    </xf>
    <xf numFmtId="0" fontId="19" fillId="0" borderId="64" xfId="0" applyFont="1" applyFill="1" applyBorder="1" applyAlignment="1">
      <alignment horizontal="center" vertical="center"/>
    </xf>
    <xf numFmtId="0" fontId="19" fillId="0" borderId="90" xfId="0" applyFont="1" applyFill="1" applyBorder="1" applyAlignment="1">
      <alignment horizontal="center" vertical="center"/>
    </xf>
    <xf numFmtId="0" fontId="19" fillId="0" borderId="65" xfId="0" applyFont="1" applyFill="1" applyBorder="1" applyAlignment="1">
      <alignment horizontal="center" vertical="center"/>
    </xf>
    <xf numFmtId="0" fontId="19" fillId="0" borderId="34" xfId="0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justify" vertical="center" wrapText="1"/>
    </xf>
    <xf numFmtId="0" fontId="19" fillId="0" borderId="49" xfId="0" applyFont="1" applyBorder="1" applyAlignment="1">
      <alignment horizontal="center" vertical="center"/>
    </xf>
    <xf numFmtId="0" fontId="19" fillId="0" borderId="58" xfId="0" applyFont="1" applyBorder="1" applyAlignment="1">
      <alignment horizontal="center" vertical="center"/>
    </xf>
    <xf numFmtId="0" fontId="19" fillId="0" borderId="51" xfId="0" applyFont="1" applyBorder="1" applyAlignment="1">
      <alignment horizontal="center" vertical="center"/>
    </xf>
    <xf numFmtId="0" fontId="19" fillId="0" borderId="58" xfId="0" applyFont="1" applyFill="1" applyBorder="1" applyAlignment="1">
      <alignment horizontal="center" vertical="center" wrapText="1"/>
    </xf>
    <xf numFmtId="4" fontId="23" fillId="0" borderId="71" xfId="48" applyNumberFormat="1" applyFont="1" applyFill="1" applyBorder="1" applyAlignment="1">
      <alignment horizontal="right" vertical="center"/>
    </xf>
    <xf numFmtId="4" fontId="23" fillId="0" borderId="72" xfId="48" applyNumberFormat="1" applyFont="1" applyFill="1" applyBorder="1" applyAlignment="1">
      <alignment horizontal="right" vertical="center"/>
    </xf>
    <xf numFmtId="4" fontId="23" fillId="0" borderId="33" xfId="48" applyNumberFormat="1" applyFont="1" applyFill="1" applyBorder="1" applyAlignment="1">
      <alignment horizontal="right" vertical="center"/>
    </xf>
    <xf numFmtId="4" fontId="24" fillId="0" borderId="73" xfId="48" applyNumberFormat="1" applyFont="1" applyFill="1" applyBorder="1" applyAlignment="1">
      <alignment horizontal="left" vertical="center"/>
    </xf>
    <xf numFmtId="4" fontId="24" fillId="0" borderId="80" xfId="48" applyNumberFormat="1" applyFont="1" applyFill="1" applyBorder="1" applyAlignment="1">
      <alignment horizontal="center" vertical="center"/>
    </xf>
    <xf numFmtId="4" fontId="23" fillId="24" borderId="85" xfId="48" applyNumberFormat="1" applyFont="1" applyFill="1" applyBorder="1" applyAlignment="1">
      <alignment horizontal="right" vertical="center"/>
    </xf>
    <xf numFmtId="4" fontId="24" fillId="0" borderId="80" xfId="33" applyNumberFormat="1" applyFont="1" applyFill="1" applyBorder="1" applyAlignment="1">
      <alignment horizontal="center" vertical="center"/>
    </xf>
    <xf numFmtId="4" fontId="23" fillId="24" borderId="14" xfId="33" applyNumberFormat="1" applyFont="1" applyFill="1" applyBorder="1" applyAlignment="1">
      <alignment horizontal="right" vertical="center"/>
    </xf>
    <xf numFmtId="4" fontId="23" fillId="24" borderId="71" xfId="48" applyNumberFormat="1" applyFont="1" applyFill="1" applyBorder="1" applyAlignment="1">
      <alignment horizontal="right" vertical="center"/>
    </xf>
    <xf numFmtId="4" fontId="23" fillId="24" borderId="72" xfId="48" applyNumberFormat="1" applyFont="1" applyFill="1" applyBorder="1" applyAlignment="1">
      <alignment horizontal="right" vertical="center"/>
    </xf>
    <xf numFmtId="4" fontId="23" fillId="24" borderId="33" xfId="48" applyNumberFormat="1" applyFont="1" applyFill="1" applyBorder="1" applyAlignment="1">
      <alignment horizontal="right" vertical="center"/>
    </xf>
    <xf numFmtId="4" fontId="23" fillId="0" borderId="69" xfId="48" applyNumberFormat="1" applyFont="1" applyFill="1" applyBorder="1" applyAlignment="1">
      <alignment horizontal="center" vertical="center"/>
    </xf>
    <xf numFmtId="4" fontId="23" fillId="0" borderId="59" xfId="48" applyNumberFormat="1" applyFont="1" applyFill="1" applyBorder="1" applyAlignment="1">
      <alignment horizontal="center" vertical="center"/>
    </xf>
    <xf numFmtId="4" fontId="23" fillId="0" borderId="70" xfId="48" applyNumberFormat="1" applyFont="1" applyFill="1" applyBorder="1" applyAlignment="1">
      <alignment horizontal="center" vertical="center"/>
    </xf>
    <xf numFmtId="4" fontId="24" fillId="0" borderId="67" xfId="48" applyNumberFormat="1" applyFont="1" applyFill="1" applyBorder="1" applyAlignment="1">
      <alignment horizontal="center" vertical="center"/>
    </xf>
    <xf numFmtId="4" fontId="23" fillId="0" borderId="14" xfId="48" applyNumberFormat="1" applyFont="1" applyFill="1" applyBorder="1" applyAlignment="1">
      <alignment horizontal="right" vertical="center"/>
    </xf>
    <xf numFmtId="4" fontId="23" fillId="24" borderId="15" xfId="33" applyNumberFormat="1" applyFont="1" applyFill="1" applyBorder="1" applyAlignment="1">
      <alignment horizontal="center" vertical="center"/>
    </xf>
    <xf numFmtId="4" fontId="23" fillId="24" borderId="75" xfId="33" applyNumberFormat="1" applyFont="1" applyFill="1" applyBorder="1" applyAlignment="1">
      <alignment horizontal="center" vertical="center"/>
    </xf>
    <xf numFmtId="4" fontId="23" fillId="24" borderId="14" xfId="48" applyNumberFormat="1" applyFont="1" applyFill="1" applyBorder="1" applyAlignment="1">
      <alignment horizontal="left" vertical="center" wrapText="1"/>
    </xf>
    <xf numFmtId="4" fontId="23" fillId="24" borderId="11" xfId="33" applyNumberFormat="1" applyFont="1" applyFill="1" applyBorder="1" applyAlignment="1">
      <alignment horizontal="left" vertical="center"/>
    </xf>
    <xf numFmtId="4" fontId="23" fillId="24" borderId="25" xfId="33" applyNumberFormat="1" applyFont="1" applyFill="1" applyBorder="1" applyAlignment="1">
      <alignment horizontal="left" vertical="center"/>
    </xf>
    <xf numFmtId="4" fontId="23" fillId="24" borderId="26" xfId="33" applyNumberFormat="1" applyFont="1" applyFill="1" applyBorder="1" applyAlignment="1">
      <alignment horizontal="left" vertical="center"/>
    </xf>
    <xf numFmtId="4" fontId="24" fillId="4" borderId="105" xfId="0" applyNumberFormat="1" applyFont="1" applyFill="1" applyBorder="1" applyAlignment="1">
      <alignment horizontal="center" vertical="center" wrapText="1"/>
    </xf>
    <xf numFmtId="4" fontId="24" fillId="4" borderId="106" xfId="0" applyNumberFormat="1" applyFont="1" applyFill="1" applyBorder="1" applyAlignment="1">
      <alignment horizontal="center" vertical="center" wrapText="1"/>
    </xf>
    <xf numFmtId="4" fontId="24" fillId="4" borderId="107" xfId="0" applyNumberFormat="1" applyFont="1" applyFill="1" applyBorder="1" applyAlignment="1">
      <alignment horizontal="center" vertical="center" wrapText="1"/>
    </xf>
    <xf numFmtId="4" fontId="23" fillId="24" borderId="11" xfId="48" applyNumberFormat="1" applyFont="1" applyFill="1" applyBorder="1" applyAlignment="1">
      <alignment horizontal="justify" vertical="center" wrapText="1"/>
    </xf>
    <xf numFmtId="4" fontId="23" fillId="24" borderId="25" xfId="48" applyNumberFormat="1" applyFont="1" applyFill="1" applyBorder="1" applyAlignment="1">
      <alignment horizontal="justify" vertical="center" wrapText="1"/>
    </xf>
    <xf numFmtId="4" fontId="23" fillId="24" borderId="26" xfId="48" applyNumberFormat="1" applyFont="1" applyFill="1" applyBorder="1" applyAlignment="1">
      <alignment horizontal="justify" vertical="center" wrapText="1"/>
    </xf>
    <xf numFmtId="4" fontId="23" fillId="0" borderId="12" xfId="48" applyNumberFormat="1" applyFont="1" applyFill="1" applyBorder="1" applyAlignment="1">
      <alignment horizontal="right" vertical="center"/>
    </xf>
    <xf numFmtId="4" fontId="24" fillId="0" borderId="77" xfId="48" applyNumberFormat="1" applyFont="1" applyFill="1" applyBorder="1" applyAlignment="1">
      <alignment horizontal="left" vertical="center"/>
    </xf>
    <xf numFmtId="4" fontId="24" fillId="0" borderId="78" xfId="48" applyNumberFormat="1" applyFont="1" applyFill="1" applyBorder="1" applyAlignment="1">
      <alignment horizontal="left" vertical="center"/>
    </xf>
    <xf numFmtId="4" fontId="24" fillId="4" borderId="74" xfId="0" applyNumberFormat="1" applyFont="1" applyFill="1" applyBorder="1" applyAlignment="1">
      <alignment horizontal="center" vertical="center" wrapText="1"/>
    </xf>
    <xf numFmtId="3" fontId="23" fillId="0" borderId="39" xfId="0" applyNumberFormat="1" applyFont="1" applyFill="1" applyBorder="1" applyAlignment="1">
      <alignment horizontal="right" vertical="center"/>
    </xf>
    <xf numFmtId="3" fontId="23" fillId="0" borderId="12" xfId="0" applyNumberFormat="1" applyFont="1" applyFill="1" applyBorder="1" applyAlignment="1">
      <alignment horizontal="right" vertical="center"/>
    </xf>
    <xf numFmtId="4" fontId="24" fillId="0" borderId="67" xfId="48" applyNumberFormat="1" applyFont="1" applyFill="1" applyBorder="1" applyAlignment="1">
      <alignment horizontal="center"/>
    </xf>
    <xf numFmtId="0" fontId="19" fillId="0" borderId="37" xfId="0" applyNumberFormat="1" applyFont="1" applyFill="1" applyBorder="1" applyAlignment="1">
      <alignment horizontal="center" vertical="center"/>
    </xf>
    <xf numFmtId="0" fontId="19" fillId="0" borderId="25" xfId="0" applyNumberFormat="1" applyFont="1" applyFill="1" applyBorder="1" applyAlignment="1">
      <alignment horizontal="center" vertical="center"/>
    </xf>
    <xf numFmtId="0" fontId="19" fillId="0" borderId="122" xfId="0" applyNumberFormat="1" applyFont="1" applyFill="1" applyBorder="1" applyAlignment="1">
      <alignment horizontal="center" vertical="center"/>
    </xf>
    <xf numFmtId="3" fontId="23" fillId="0" borderId="84" xfId="0" applyNumberFormat="1" applyFont="1" applyFill="1" applyBorder="1" applyAlignment="1">
      <alignment horizontal="right" vertical="center"/>
    </xf>
    <xf numFmtId="3" fontId="23" fillId="0" borderId="27" xfId="0" applyNumberFormat="1" applyFont="1" applyFill="1" applyBorder="1" applyAlignment="1">
      <alignment horizontal="right" vertical="center"/>
    </xf>
    <xf numFmtId="2" fontId="23" fillId="0" borderId="39" xfId="0" applyNumberFormat="1" applyFont="1" applyFill="1" applyBorder="1" applyAlignment="1">
      <alignment horizontal="left" vertical="center"/>
    </xf>
    <xf numFmtId="2" fontId="23" fillId="0" borderId="20" xfId="0" applyNumberFormat="1" applyFont="1" applyFill="1" applyBorder="1" applyAlignment="1">
      <alignment horizontal="left" vertical="center"/>
    </xf>
    <xf numFmtId="2" fontId="23" fillId="0" borderId="12" xfId="0" applyNumberFormat="1" applyFont="1" applyFill="1" applyBorder="1" applyAlignment="1">
      <alignment horizontal="left" vertical="center"/>
    </xf>
    <xf numFmtId="2" fontId="23" fillId="0" borderId="125" xfId="0" applyNumberFormat="1" applyFont="1" applyFill="1" applyBorder="1" applyAlignment="1">
      <alignment horizontal="left" vertical="center"/>
    </xf>
    <xf numFmtId="2" fontId="23" fillId="0" borderId="25" xfId="0" applyNumberFormat="1" applyFont="1" applyFill="1" applyBorder="1" applyAlignment="1">
      <alignment horizontal="left" vertical="center"/>
    </xf>
    <xf numFmtId="2" fontId="23" fillId="0" borderId="26" xfId="0" applyNumberFormat="1" applyFont="1" applyFill="1" applyBorder="1" applyAlignment="1">
      <alignment horizontal="left" vertical="center"/>
    </xf>
    <xf numFmtId="2" fontId="24" fillId="0" borderId="126" xfId="0" applyNumberFormat="1" applyFont="1" applyFill="1" applyBorder="1" applyAlignment="1">
      <alignment horizontal="left" vertical="center"/>
    </xf>
    <xf numFmtId="2" fontId="24" fillId="0" borderId="48" xfId="0" applyNumberFormat="1" applyFont="1" applyFill="1" applyBorder="1" applyAlignment="1">
      <alignment horizontal="left" vertical="center"/>
    </xf>
    <xf numFmtId="2" fontId="24" fillId="0" borderId="127" xfId="0" applyNumberFormat="1" applyFont="1" applyFill="1" applyBorder="1" applyAlignment="1">
      <alignment horizontal="left" vertical="center"/>
    </xf>
    <xf numFmtId="4" fontId="24" fillId="0" borderId="86" xfId="48" applyNumberFormat="1" applyFont="1" applyFill="1" applyBorder="1" applyAlignment="1">
      <alignment horizontal="left" vertical="center"/>
    </xf>
    <xf numFmtId="4" fontId="23" fillId="24" borderId="39" xfId="48" applyNumberFormat="1" applyFont="1" applyFill="1" applyBorder="1" applyAlignment="1">
      <alignment horizontal="left" vertical="center" wrapText="1"/>
    </xf>
    <xf numFmtId="4" fontId="24" fillId="0" borderId="66" xfId="48" applyNumberFormat="1" applyFont="1" applyFill="1" applyBorder="1" applyAlignment="1">
      <alignment horizontal="center" vertical="center"/>
    </xf>
    <xf numFmtId="4" fontId="24" fillId="0" borderId="68" xfId="48" applyNumberFormat="1" applyFont="1" applyFill="1" applyBorder="1" applyAlignment="1">
      <alignment horizontal="center" vertical="center"/>
    </xf>
    <xf numFmtId="4" fontId="23" fillId="0" borderId="39" xfId="48" applyNumberFormat="1" applyFont="1" applyFill="1" applyBorder="1" applyAlignment="1">
      <alignment horizontal="right" vertical="center"/>
    </xf>
    <xf numFmtId="4" fontId="23" fillId="0" borderId="22" xfId="48" applyNumberFormat="1" applyFont="1" applyFill="1" applyBorder="1" applyAlignment="1">
      <alignment horizontal="right" vertical="center"/>
    </xf>
    <xf numFmtId="4" fontId="23" fillId="0" borderId="76" xfId="48" applyNumberFormat="1" applyFont="1" applyFill="1" applyBorder="1" applyAlignment="1">
      <alignment horizontal="center" vertical="center"/>
    </xf>
    <xf numFmtId="4" fontId="23" fillId="24" borderId="14" xfId="48" applyNumberFormat="1" applyFont="1" applyFill="1" applyBorder="1" applyAlignment="1">
      <alignment horizontal="right" vertical="center"/>
    </xf>
    <xf numFmtId="4" fontId="23" fillId="0" borderId="11" xfId="48" applyNumberFormat="1" applyFont="1" applyFill="1" applyBorder="1" applyAlignment="1">
      <alignment horizontal="justify" vertical="center" wrapText="1"/>
    </xf>
    <xf numFmtId="4" fontId="23" fillId="0" borderId="25" xfId="48" applyNumberFormat="1" applyFont="1" applyFill="1" applyBorder="1" applyAlignment="1">
      <alignment horizontal="justify" vertical="center" wrapText="1"/>
    </xf>
    <xf numFmtId="4" fontId="23" fillId="0" borderId="26" xfId="48" applyNumberFormat="1" applyFont="1" applyFill="1" applyBorder="1" applyAlignment="1">
      <alignment horizontal="justify" vertical="center" wrapText="1"/>
    </xf>
    <xf numFmtId="4" fontId="23" fillId="0" borderId="14" xfId="48" applyNumberFormat="1" applyFont="1" applyFill="1" applyBorder="1" applyAlignment="1">
      <alignment horizontal="left" vertical="center"/>
    </xf>
    <xf numFmtId="4" fontId="24" fillId="0" borderId="76" xfId="48" applyNumberFormat="1" applyFont="1" applyFill="1" applyBorder="1" applyAlignment="1">
      <alignment horizontal="center" vertical="center"/>
    </xf>
    <xf numFmtId="4" fontId="24" fillId="0" borderId="59" xfId="48" applyNumberFormat="1" applyFont="1" applyFill="1" applyBorder="1" applyAlignment="1">
      <alignment horizontal="center" vertical="center"/>
    </xf>
    <xf numFmtId="4" fontId="24" fillId="0" borderId="100" xfId="48" applyNumberFormat="1" applyFont="1" applyFill="1" applyBorder="1" applyAlignment="1">
      <alignment horizontal="center" vertical="center"/>
    </xf>
    <xf numFmtId="4" fontId="23" fillId="0" borderId="98" xfId="48" applyNumberFormat="1" applyFont="1" applyFill="1" applyBorder="1" applyAlignment="1">
      <alignment horizontal="right" vertical="center"/>
    </xf>
    <xf numFmtId="4" fontId="23" fillId="0" borderId="58" xfId="48" applyNumberFormat="1" applyFont="1" applyFill="1" applyBorder="1" applyAlignment="1">
      <alignment horizontal="right" vertical="center"/>
    </xf>
    <xf numFmtId="4" fontId="23" fillId="0" borderId="51" xfId="48" applyNumberFormat="1" applyFont="1" applyFill="1" applyBorder="1" applyAlignment="1">
      <alignment horizontal="right" vertical="center"/>
    </xf>
    <xf numFmtId="4" fontId="23" fillId="0" borderId="14" xfId="48" applyNumberFormat="1" applyFont="1" applyFill="1" applyBorder="1" applyAlignment="1">
      <alignment horizontal="left" vertical="center" wrapText="1"/>
    </xf>
    <xf numFmtId="4" fontId="23" fillId="0" borderId="20" xfId="48" applyNumberFormat="1" applyFont="1" applyFill="1" applyBorder="1" applyAlignment="1">
      <alignment horizontal="right" vertical="center"/>
    </xf>
    <xf numFmtId="4" fontId="24" fillId="24" borderId="73" xfId="48" applyNumberFormat="1" applyFont="1" applyFill="1" applyBorder="1" applyAlignment="1">
      <alignment horizontal="left" vertical="center"/>
    </xf>
    <xf numFmtId="4" fontId="24" fillId="24" borderId="86" xfId="48" applyNumberFormat="1" applyFont="1" applyFill="1" applyBorder="1" applyAlignment="1">
      <alignment horizontal="left" vertical="center"/>
    </xf>
    <xf numFmtId="4" fontId="23" fillId="0" borderId="85" xfId="48" applyNumberFormat="1" applyFont="1" applyFill="1" applyBorder="1" applyAlignment="1">
      <alignment horizontal="right" vertical="center"/>
    </xf>
    <xf numFmtId="4" fontId="24" fillId="4" borderId="74" xfId="33" applyNumberFormat="1" applyFont="1" applyFill="1" applyBorder="1" applyAlignment="1">
      <alignment horizontal="center" vertical="center" wrapText="1"/>
    </xf>
    <xf numFmtId="4" fontId="23" fillId="24" borderId="14" xfId="33" applyNumberFormat="1" applyFont="1" applyFill="1" applyBorder="1" applyAlignment="1">
      <alignment horizontal="left" vertical="center" wrapText="1"/>
    </xf>
    <xf numFmtId="4" fontId="23" fillId="24" borderId="69" xfId="48" applyNumberFormat="1" applyFont="1" applyFill="1" applyBorder="1" applyAlignment="1">
      <alignment horizontal="center" vertical="center"/>
    </xf>
    <xf numFmtId="4" fontId="23" fillId="24" borderId="59" xfId="48" applyNumberFormat="1" applyFont="1" applyFill="1" applyBorder="1" applyAlignment="1">
      <alignment horizontal="center" vertical="center"/>
    </xf>
    <xf numFmtId="4" fontId="23" fillId="24" borderId="70" xfId="48" applyNumberFormat="1" applyFont="1" applyFill="1" applyBorder="1" applyAlignment="1">
      <alignment horizontal="center" vertical="center"/>
    </xf>
    <xf numFmtId="4" fontId="24" fillId="24" borderId="73" xfId="33" applyNumberFormat="1" applyFont="1" applyFill="1" applyBorder="1" applyAlignment="1">
      <alignment horizontal="left" vertical="center"/>
    </xf>
    <xf numFmtId="4" fontId="24" fillId="24" borderId="0" xfId="48" applyNumberFormat="1" applyFont="1" applyFill="1" applyBorder="1" applyAlignment="1">
      <alignment horizontal="right" vertical="center"/>
    </xf>
    <xf numFmtId="4" fontId="23" fillId="0" borderId="16" xfId="48" applyNumberFormat="1" applyFont="1" applyFill="1" applyBorder="1" applyAlignment="1">
      <alignment horizontal="center" vertical="center"/>
    </xf>
    <xf numFmtId="4" fontId="23" fillId="0" borderId="0" xfId="48" applyNumberFormat="1" applyFont="1" applyFill="1" applyBorder="1" applyAlignment="1">
      <alignment horizontal="center" vertical="center"/>
    </xf>
    <xf numFmtId="4" fontId="23" fillId="0" borderId="52" xfId="48" applyNumberFormat="1" applyFont="1" applyFill="1" applyBorder="1" applyAlignment="1">
      <alignment horizontal="center" vertical="center"/>
    </xf>
    <xf numFmtId="4" fontId="23" fillId="24" borderId="37" xfId="48" applyNumberFormat="1" applyFont="1" applyFill="1" applyBorder="1" applyAlignment="1">
      <alignment horizontal="justify" vertical="center" wrapText="1"/>
    </xf>
    <xf numFmtId="4" fontId="23" fillId="0" borderId="83" xfId="48" applyNumberFormat="1" applyFont="1" applyFill="1" applyBorder="1" applyAlignment="1">
      <alignment horizontal="right" vertical="center"/>
    </xf>
    <xf numFmtId="4" fontId="23" fillId="0" borderId="50" xfId="48" applyNumberFormat="1" applyFont="1" applyFill="1" applyBorder="1" applyAlignment="1">
      <alignment horizontal="right" vertical="center"/>
    </xf>
    <xf numFmtId="4" fontId="24" fillId="0" borderId="42" xfId="48" applyNumberFormat="1" applyFont="1" applyFill="1" applyBorder="1" applyAlignment="1">
      <alignment horizontal="center" vertical="center"/>
    </xf>
    <xf numFmtId="4" fontId="24" fillId="0" borderId="23" xfId="48" applyNumberFormat="1" applyFont="1" applyFill="1" applyBorder="1" applyAlignment="1">
      <alignment horizontal="center" vertical="center"/>
    </xf>
    <xf numFmtId="4" fontId="24" fillId="0" borderId="41" xfId="48" applyNumberFormat="1" applyFont="1" applyFill="1" applyBorder="1" applyAlignment="1">
      <alignment horizontal="center" vertical="center"/>
    </xf>
    <xf numFmtId="4" fontId="23" fillId="0" borderId="84" xfId="48" applyNumberFormat="1" applyFont="1" applyFill="1" applyBorder="1" applyAlignment="1">
      <alignment horizontal="right" vertical="center"/>
    </xf>
    <xf numFmtId="4" fontId="23" fillId="0" borderId="42" xfId="48" applyNumberFormat="1" applyFont="1" applyFill="1" applyBorder="1" applyAlignment="1">
      <alignment horizontal="right" vertical="center"/>
    </xf>
    <xf numFmtId="4" fontId="23" fillId="0" borderId="23" xfId="48" applyNumberFormat="1" applyFont="1" applyFill="1" applyBorder="1" applyAlignment="1">
      <alignment horizontal="right" vertical="center"/>
    </xf>
    <xf numFmtId="4" fontId="24" fillId="4" borderId="81" xfId="0" applyNumberFormat="1" applyFont="1" applyFill="1" applyBorder="1" applyAlignment="1">
      <alignment horizontal="center" vertical="center" wrapText="1"/>
    </xf>
    <xf numFmtId="4" fontId="24" fillId="4" borderId="82" xfId="0" applyNumberFormat="1" applyFont="1" applyFill="1" applyBorder="1" applyAlignment="1">
      <alignment horizontal="center" vertical="center" wrapText="1"/>
    </xf>
    <xf numFmtId="4" fontId="23" fillId="24" borderId="11" xfId="48" applyNumberFormat="1" applyFont="1" applyFill="1" applyBorder="1" applyAlignment="1">
      <alignment horizontal="left" vertical="center" wrapText="1"/>
    </xf>
    <xf numFmtId="4" fontId="23" fillId="24" borderId="25" xfId="48" applyNumberFormat="1" applyFont="1" applyFill="1" applyBorder="1" applyAlignment="1">
      <alignment horizontal="left" vertical="center" wrapText="1"/>
    </xf>
    <xf numFmtId="4" fontId="23" fillId="24" borderId="26" xfId="48" applyNumberFormat="1" applyFont="1" applyFill="1" applyBorder="1" applyAlignment="1">
      <alignment horizontal="left" vertical="center" wrapText="1"/>
    </xf>
    <xf numFmtId="4" fontId="24" fillId="0" borderId="11" xfId="48" applyNumberFormat="1" applyFont="1" applyFill="1" applyBorder="1" applyAlignment="1">
      <alignment horizontal="center"/>
    </xf>
    <xf numFmtId="4" fontId="24" fillId="0" borderId="25" xfId="48" applyNumberFormat="1" applyFont="1" applyFill="1" applyBorder="1" applyAlignment="1">
      <alignment horizontal="center"/>
    </xf>
    <xf numFmtId="4" fontId="24" fillId="0" borderId="75" xfId="48" applyNumberFormat="1" applyFont="1" applyFill="1" applyBorder="1" applyAlignment="1">
      <alignment horizontal="center"/>
    </xf>
    <xf numFmtId="4" fontId="23" fillId="0" borderId="11" xfId="48" applyNumberFormat="1" applyFont="1" applyFill="1" applyBorder="1" applyAlignment="1">
      <alignment horizontal="right" vertical="center"/>
    </xf>
    <xf numFmtId="4" fontId="23" fillId="0" borderId="25" xfId="48" applyNumberFormat="1" applyFont="1" applyFill="1" applyBorder="1" applyAlignment="1">
      <alignment horizontal="right" vertical="center"/>
    </xf>
    <xf numFmtId="4" fontId="23" fillId="0" borderId="26" xfId="48" applyNumberFormat="1" applyFont="1" applyFill="1" applyBorder="1" applyAlignment="1">
      <alignment horizontal="right" vertical="center"/>
    </xf>
    <xf numFmtId="4" fontId="24" fillId="24" borderId="91" xfId="48" applyNumberFormat="1" applyFont="1" applyFill="1" applyBorder="1" applyAlignment="1">
      <alignment horizontal="left" vertical="center"/>
    </xf>
    <xf numFmtId="4" fontId="24" fillId="24" borderId="92" xfId="48" applyNumberFormat="1" applyFont="1" applyFill="1" applyBorder="1" applyAlignment="1">
      <alignment horizontal="left" vertical="center"/>
    </xf>
    <xf numFmtId="4" fontId="24" fillId="24" borderId="79" xfId="48" applyNumberFormat="1" applyFont="1" applyFill="1" applyBorder="1" applyAlignment="1">
      <alignment horizontal="left" vertical="center"/>
    </xf>
    <xf numFmtId="3" fontId="19" fillId="4" borderId="94" xfId="0" applyNumberFormat="1" applyFont="1" applyFill="1" applyBorder="1" applyAlignment="1">
      <alignment horizontal="center" vertical="center" wrapText="1"/>
    </xf>
    <xf numFmtId="3" fontId="19" fillId="4" borderId="128" xfId="0" applyNumberFormat="1" applyFont="1" applyFill="1" applyBorder="1" applyAlignment="1">
      <alignment horizontal="center" vertical="center" wrapText="1"/>
    </xf>
    <xf numFmtId="3" fontId="23" fillId="0" borderId="102" xfId="0" applyNumberFormat="1" applyFont="1" applyFill="1" applyBorder="1" applyAlignment="1">
      <alignment horizontal="justify" vertical="center" wrapText="1"/>
    </xf>
    <xf numFmtId="3" fontId="23" fillId="0" borderId="103" xfId="0" applyNumberFormat="1" applyFont="1" applyFill="1" applyBorder="1" applyAlignment="1">
      <alignment horizontal="justify" vertical="center" wrapText="1"/>
    </xf>
    <xf numFmtId="3" fontId="23" fillId="0" borderId="121" xfId="0" applyNumberFormat="1" applyFont="1" applyFill="1" applyBorder="1" applyAlignment="1">
      <alignment horizontal="justify" vertical="center" wrapText="1"/>
    </xf>
    <xf numFmtId="3" fontId="23" fillId="0" borderId="123" xfId="0" applyNumberFormat="1" applyFont="1" applyFill="1" applyBorder="1" applyAlignment="1">
      <alignment horizontal="right" vertical="center"/>
    </xf>
    <xf numFmtId="3" fontId="23" fillId="0" borderId="119" xfId="0" applyNumberFormat="1" applyFont="1" applyFill="1" applyBorder="1" applyAlignment="1">
      <alignment horizontal="right" vertical="center"/>
    </xf>
    <xf numFmtId="4" fontId="24" fillId="24" borderId="23" xfId="48" applyNumberFormat="1" applyFont="1" applyFill="1" applyBorder="1" applyAlignment="1">
      <alignment horizontal="right" vertical="center"/>
    </xf>
    <xf numFmtId="4" fontId="23" fillId="24" borderId="29" xfId="48" applyNumberFormat="1" applyFont="1" applyFill="1" applyBorder="1" applyAlignment="1">
      <alignment horizontal="right" vertical="center"/>
    </xf>
    <xf numFmtId="4" fontId="23" fillId="24" borderId="16" xfId="48" applyNumberFormat="1" applyFont="1" applyFill="1" applyBorder="1" applyAlignment="1">
      <alignment horizontal="center" vertical="center"/>
    </xf>
    <xf numFmtId="4" fontId="23" fillId="24" borderId="0" xfId="48" applyNumberFormat="1" applyFont="1" applyFill="1" applyBorder="1" applyAlignment="1">
      <alignment horizontal="center" vertical="center"/>
    </xf>
    <xf numFmtId="4" fontId="23" fillId="24" borderId="52" xfId="48" applyNumberFormat="1" applyFont="1" applyFill="1" applyBorder="1" applyAlignment="1">
      <alignment horizontal="center" vertical="center"/>
    </xf>
    <xf numFmtId="4" fontId="23" fillId="0" borderId="46" xfId="48" applyNumberFormat="1" applyFont="1" applyFill="1" applyBorder="1" applyAlignment="1">
      <alignment horizontal="right" vertical="center"/>
    </xf>
    <xf numFmtId="2" fontId="23" fillId="0" borderId="102" xfId="0" applyNumberFormat="1" applyFont="1" applyFill="1" applyBorder="1" applyAlignment="1">
      <alignment horizontal="right" vertical="center"/>
    </xf>
    <xf numFmtId="2" fontId="23" fillId="0" borderId="103" xfId="0" applyNumberFormat="1" applyFont="1" applyFill="1" applyBorder="1" applyAlignment="1">
      <alignment horizontal="right" vertical="center"/>
    </xf>
    <xf numFmtId="2" fontId="23" fillId="0" borderId="104" xfId="0" applyNumberFormat="1" applyFont="1" applyFill="1" applyBorder="1" applyAlignment="1">
      <alignment horizontal="right" vertical="center"/>
    </xf>
    <xf numFmtId="4" fontId="24" fillId="31" borderId="95" xfId="0" applyNumberFormat="1" applyFont="1" applyFill="1" applyBorder="1" applyAlignment="1">
      <alignment horizontal="center" vertical="center" wrapText="1"/>
    </xf>
    <xf numFmtId="4" fontId="24" fillId="31" borderId="96" xfId="0" applyNumberFormat="1" applyFont="1" applyFill="1" applyBorder="1" applyAlignment="1">
      <alignment horizontal="center" vertical="center" wrapText="1"/>
    </xf>
    <xf numFmtId="4" fontId="24" fillId="31" borderId="97" xfId="0" applyNumberFormat="1" applyFont="1" applyFill="1" applyBorder="1" applyAlignment="1">
      <alignment horizontal="center" vertical="center" wrapText="1"/>
    </xf>
    <xf numFmtId="4" fontId="23" fillId="0" borderId="98" xfId="48" applyNumberFormat="1" applyFont="1" applyFill="1" applyBorder="1" applyAlignment="1">
      <alignment horizontal="left" vertical="center" wrapText="1"/>
    </xf>
    <xf numFmtId="4" fontId="23" fillId="0" borderId="58" xfId="48" applyNumberFormat="1" applyFont="1" applyFill="1" applyBorder="1" applyAlignment="1">
      <alignment horizontal="left" vertical="center" wrapText="1"/>
    </xf>
    <xf numFmtId="4" fontId="23" fillId="0" borderId="51" xfId="48" applyNumberFormat="1" applyFont="1" applyFill="1" applyBorder="1" applyAlignment="1">
      <alignment horizontal="left" vertical="center" wrapText="1"/>
    </xf>
    <xf numFmtId="4" fontId="24" fillId="30" borderId="93" xfId="0" applyNumberFormat="1" applyFont="1" applyFill="1" applyBorder="1" applyAlignment="1">
      <alignment horizontal="center" vertical="center" wrapText="1"/>
    </xf>
    <xf numFmtId="4" fontId="23" fillId="0" borderId="15" xfId="48" applyNumberFormat="1" applyFont="1" applyFill="1" applyBorder="1" applyAlignment="1">
      <alignment horizontal="right" vertical="center"/>
    </xf>
    <xf numFmtId="4" fontId="24" fillId="24" borderId="108" xfId="48" applyNumberFormat="1" applyFont="1" applyFill="1" applyBorder="1" applyAlignment="1">
      <alignment horizontal="left" vertical="center"/>
    </xf>
    <xf numFmtId="4" fontId="24" fillId="24" borderId="109" xfId="48" applyNumberFormat="1" applyFont="1" applyFill="1" applyBorder="1" applyAlignment="1">
      <alignment horizontal="left" vertical="center"/>
    </xf>
    <xf numFmtId="4" fontId="24" fillId="24" borderId="110" xfId="48" applyNumberFormat="1" applyFont="1" applyFill="1" applyBorder="1" applyAlignment="1">
      <alignment horizontal="left" vertical="center"/>
    </xf>
    <xf numFmtId="4" fontId="23" fillId="24" borderId="12" xfId="48" applyNumberFormat="1" applyFont="1" applyFill="1" applyBorder="1" applyAlignment="1">
      <alignment horizontal="right" vertical="center"/>
    </xf>
    <xf numFmtId="4" fontId="23" fillId="24" borderId="42" xfId="48" applyNumberFormat="1" applyFont="1" applyFill="1" applyBorder="1" applyAlignment="1">
      <alignment horizontal="right" vertical="center"/>
    </xf>
    <xf numFmtId="4" fontId="23" fillId="24" borderId="23" xfId="48" applyNumberFormat="1" applyFont="1" applyFill="1" applyBorder="1" applyAlignment="1">
      <alignment horizontal="right" vertical="center"/>
    </xf>
    <xf numFmtId="4" fontId="23" fillId="24" borderId="84" xfId="48" applyNumberFormat="1" applyFont="1" applyFill="1" applyBorder="1" applyAlignment="1">
      <alignment horizontal="right" vertical="center"/>
    </xf>
    <xf numFmtId="4" fontId="23" fillId="24" borderId="22" xfId="48" applyNumberFormat="1" applyFont="1" applyFill="1" applyBorder="1" applyAlignment="1">
      <alignment horizontal="right" vertical="center"/>
    </xf>
    <xf numFmtId="4" fontId="24" fillId="24" borderId="77" xfId="48" applyNumberFormat="1" applyFont="1" applyFill="1" applyBorder="1" applyAlignment="1">
      <alignment horizontal="left" vertical="center"/>
    </xf>
    <xf numFmtId="4" fontId="24" fillId="24" borderId="78" xfId="48" applyNumberFormat="1" applyFont="1" applyFill="1" applyBorder="1" applyAlignment="1">
      <alignment horizontal="left" vertical="center"/>
    </xf>
    <xf numFmtId="4" fontId="24" fillId="4" borderId="142" xfId="0" applyNumberFormat="1" applyFont="1" applyFill="1" applyBorder="1" applyAlignment="1">
      <alignment horizontal="center" vertical="center" wrapText="1"/>
    </xf>
    <xf numFmtId="4" fontId="24" fillId="4" borderId="143" xfId="0" applyNumberFormat="1" applyFont="1" applyFill="1" applyBorder="1" applyAlignment="1">
      <alignment horizontal="center" vertical="center" wrapText="1"/>
    </xf>
    <xf numFmtId="4" fontId="23" fillId="24" borderId="83" xfId="48" applyNumberFormat="1" applyFont="1" applyFill="1" applyBorder="1" applyAlignment="1">
      <alignment horizontal="right" vertical="center"/>
    </xf>
    <xf numFmtId="4" fontId="23" fillId="24" borderId="50" xfId="48" applyNumberFormat="1" applyFont="1" applyFill="1" applyBorder="1" applyAlignment="1">
      <alignment horizontal="right" vertical="center"/>
    </xf>
    <xf numFmtId="4" fontId="24" fillId="4" borderId="87" xfId="0" applyNumberFormat="1" applyFont="1" applyFill="1" applyBorder="1" applyAlignment="1">
      <alignment horizontal="center" vertical="center"/>
    </xf>
    <xf numFmtId="4" fontId="24" fillId="4" borderId="88" xfId="0" applyNumberFormat="1" applyFont="1" applyFill="1" applyBorder="1" applyAlignment="1">
      <alignment horizontal="center" vertical="center"/>
    </xf>
    <xf numFmtId="4" fontId="24" fillId="4" borderId="89" xfId="0" applyNumberFormat="1" applyFont="1" applyFill="1" applyBorder="1" applyAlignment="1">
      <alignment horizontal="center" vertical="center"/>
    </xf>
    <xf numFmtId="4" fontId="23" fillId="4" borderId="61" xfId="0" applyNumberFormat="1" applyFont="1" applyFill="1" applyBorder="1" applyAlignment="1">
      <alignment horizontal="center"/>
    </xf>
    <xf numFmtId="4" fontId="23" fillId="4" borderId="59" xfId="0" applyNumberFormat="1" applyFont="1" applyFill="1" applyBorder="1" applyAlignment="1">
      <alignment horizontal="center"/>
    </xf>
    <xf numFmtId="4" fontId="23" fillId="4" borderId="60" xfId="0" applyNumberFormat="1" applyFont="1" applyFill="1" applyBorder="1" applyAlignment="1">
      <alignment horizontal="center"/>
    </xf>
    <xf numFmtId="4" fontId="23" fillId="4" borderId="62" xfId="0" applyNumberFormat="1" applyFont="1" applyFill="1" applyBorder="1" applyAlignment="1">
      <alignment horizontal="center"/>
    </xf>
    <xf numFmtId="4" fontId="23" fillId="4" borderId="0" xfId="0" applyNumberFormat="1" applyFont="1" applyFill="1" applyBorder="1" applyAlignment="1">
      <alignment horizontal="center"/>
    </xf>
    <xf numFmtId="4" fontId="23" fillId="4" borderId="63" xfId="0" applyNumberFormat="1" applyFont="1" applyFill="1" applyBorder="1" applyAlignment="1">
      <alignment horizontal="center"/>
    </xf>
    <xf numFmtId="4" fontId="23" fillId="4" borderId="64" xfId="0" applyNumberFormat="1" applyFont="1" applyFill="1" applyBorder="1" applyAlignment="1">
      <alignment horizontal="center"/>
    </xf>
    <xf numFmtId="4" fontId="23" fillId="4" borderId="90" xfId="0" applyNumberFormat="1" applyFont="1" applyFill="1" applyBorder="1" applyAlignment="1">
      <alignment horizontal="center"/>
    </xf>
    <xf numFmtId="4" fontId="23" fillId="4" borderId="65" xfId="0" applyNumberFormat="1" applyFont="1" applyFill="1" applyBorder="1" applyAlignment="1">
      <alignment horizontal="center"/>
    </xf>
    <xf numFmtId="0" fontId="37" fillId="0" borderId="112" xfId="0" applyFont="1" applyBorder="1" applyAlignment="1"/>
    <xf numFmtId="0" fontId="26" fillId="0" borderId="64" xfId="39" applyFont="1" applyBorder="1" applyAlignment="1">
      <alignment horizontal="center" vertical="center" wrapText="1"/>
    </xf>
    <xf numFmtId="0" fontId="26" fillId="0" borderId="90" xfId="39" applyFont="1" applyBorder="1" applyAlignment="1">
      <alignment horizontal="center" vertical="center" wrapText="1"/>
    </xf>
    <xf numFmtId="0" fontId="26" fillId="0" borderId="65" xfId="39" applyFont="1" applyBorder="1" applyAlignment="1">
      <alignment horizontal="center" vertical="center" wrapText="1"/>
    </xf>
    <xf numFmtId="0" fontId="33" fillId="35" borderId="113" xfId="0" applyFont="1" applyFill="1" applyBorder="1" applyAlignment="1">
      <alignment horizontal="center" vertical="center"/>
    </xf>
    <xf numFmtId="0" fontId="33" fillId="35" borderId="114" xfId="0" applyFont="1" applyFill="1" applyBorder="1" applyAlignment="1">
      <alignment horizontal="center" vertical="center"/>
    </xf>
    <xf numFmtId="0" fontId="33" fillId="36" borderId="12" xfId="0" applyFont="1" applyFill="1" applyBorder="1" applyAlignment="1">
      <alignment horizontal="center" vertical="center" wrapText="1"/>
    </xf>
    <xf numFmtId="0" fontId="33" fillId="0" borderId="12" xfId="0" applyFont="1" applyFill="1" applyBorder="1" applyAlignment="1">
      <alignment horizontal="left" vertical="center"/>
    </xf>
    <xf numFmtId="0" fontId="33" fillId="0" borderId="12" xfId="0" applyFont="1" applyFill="1" applyBorder="1" applyAlignment="1"/>
    <xf numFmtId="0" fontId="33" fillId="0" borderId="113" xfId="0" applyFont="1" applyBorder="1" applyAlignment="1">
      <alignment horizontal="center"/>
    </xf>
    <xf numFmtId="0" fontId="41" fillId="0" borderId="112" xfId="73" applyFont="1" applyBorder="1" applyAlignment="1">
      <alignment horizontal="center"/>
    </xf>
    <xf numFmtId="0" fontId="33" fillId="34" borderId="23" xfId="0" applyFont="1" applyFill="1" applyBorder="1" applyAlignment="1">
      <alignment horizontal="center"/>
    </xf>
    <xf numFmtId="0" fontId="33" fillId="0" borderId="16" xfId="0" applyFont="1" applyBorder="1" applyAlignment="1"/>
    <xf numFmtId="0" fontId="19" fillId="16" borderId="129" xfId="32" applyFont="1" applyFill="1" applyBorder="1" applyAlignment="1">
      <alignment horizontal="center" vertical="center"/>
    </xf>
    <xf numFmtId="0" fontId="19" fillId="16" borderId="130" xfId="32" applyFont="1" applyFill="1" applyBorder="1" applyAlignment="1">
      <alignment horizontal="center" vertical="center"/>
    </xf>
    <xf numFmtId="0" fontId="19" fillId="16" borderId="131" xfId="32" applyFont="1" applyFill="1" applyBorder="1" applyAlignment="1">
      <alignment horizontal="center" vertical="center"/>
    </xf>
    <xf numFmtId="0" fontId="20" fillId="0" borderId="132" xfId="32" applyFont="1" applyBorder="1" applyAlignment="1">
      <alignment horizontal="center" vertical="center" wrapText="1"/>
    </xf>
    <xf numFmtId="0" fontId="20" fillId="0" borderId="133" xfId="32" applyFont="1" applyBorder="1" applyAlignment="1">
      <alignment horizontal="center" vertical="center" wrapText="1"/>
    </xf>
    <xf numFmtId="0" fontId="20" fillId="0" borderId="134" xfId="32" applyFont="1" applyBorder="1" applyAlignment="1">
      <alignment horizontal="center" vertical="center" wrapText="1"/>
    </xf>
    <xf numFmtId="0" fontId="24" fillId="0" borderId="132" xfId="32" applyFont="1" applyBorder="1" applyAlignment="1">
      <alignment horizontal="center"/>
    </xf>
    <xf numFmtId="0" fontId="24" fillId="0" borderId="133" xfId="32" applyFont="1" applyBorder="1" applyAlignment="1">
      <alignment horizontal="center"/>
    </xf>
    <xf numFmtId="0" fontId="24" fillId="0" borderId="134" xfId="32" applyFont="1" applyBorder="1" applyAlignment="1">
      <alignment horizontal="center"/>
    </xf>
  </cellXfs>
  <cellStyles count="74">
    <cellStyle name="20% - Ênfase1 2" xfId="1"/>
    <cellStyle name="20% - Ênfase2 2" xfId="2"/>
    <cellStyle name="20% - Ênfase3 2" xfId="3"/>
    <cellStyle name="20% - Ênfase4 2" xfId="4"/>
    <cellStyle name="20% - Ênfase5 2" xfId="5"/>
    <cellStyle name="20% - Ênfase6 2" xfId="6"/>
    <cellStyle name="40% - Ênfase1 2" xfId="7"/>
    <cellStyle name="40% - Ênfase2 2" xfId="8"/>
    <cellStyle name="40% - Ênfase3 2" xfId="9"/>
    <cellStyle name="40% - Ênfase4 2" xfId="10"/>
    <cellStyle name="40% - Ênfase5 2" xfId="11"/>
    <cellStyle name="40% - Ênfase6 2" xfId="12"/>
    <cellStyle name="60% - Ênfase1 2" xfId="13"/>
    <cellStyle name="60% - Ênfase2 2" xfId="14"/>
    <cellStyle name="60% - Ênfase3 2" xfId="15"/>
    <cellStyle name="60% - Ênfase4 2" xfId="16"/>
    <cellStyle name="60% - Ênfase5 2" xfId="17"/>
    <cellStyle name="60% - Ênfase6 2" xfId="18"/>
    <cellStyle name="Bom 2" xfId="19"/>
    <cellStyle name="Cálculo 2" xfId="20"/>
    <cellStyle name="Célula de Verificação 2" xfId="21"/>
    <cellStyle name="Célula Vinculada 2" xfId="22"/>
    <cellStyle name="Comma 2" xfId="23"/>
    <cellStyle name="Ênfase1 2" xfId="24"/>
    <cellStyle name="Ênfase2 2" xfId="25"/>
    <cellStyle name="Ênfase3 2" xfId="26"/>
    <cellStyle name="Ênfase4 2" xfId="27"/>
    <cellStyle name="Ênfase5 2" xfId="28"/>
    <cellStyle name="Ênfase6 2" xfId="29"/>
    <cellStyle name="Entrada 2" xfId="30"/>
    <cellStyle name="Euro" xfId="31"/>
    <cellStyle name="Excel Built-in Normal" xfId="32"/>
    <cellStyle name="Excel_BuiltIn_Normal 2" xfId="33"/>
    <cellStyle name="Incorreto 2" xfId="34"/>
    <cellStyle name="Indefinido" xfId="35"/>
    <cellStyle name="Moeda" xfId="72" builtinId="4"/>
    <cellStyle name="Moeda 2" xfId="36"/>
    <cellStyle name="Neutra 2" xfId="37"/>
    <cellStyle name="Normal" xfId="0" builtinId="0"/>
    <cellStyle name="Normal 2" xfId="38"/>
    <cellStyle name="Normal 2 2" xfId="39"/>
    <cellStyle name="Normal 2 3" xfId="40"/>
    <cellStyle name="Normal 2_Material" xfId="41"/>
    <cellStyle name="Normal 3" xfId="42"/>
    <cellStyle name="Normal 3 2" xfId="43"/>
    <cellStyle name="Normal 3 3" xfId="73"/>
    <cellStyle name="Normal 3_Material" xfId="44"/>
    <cellStyle name="Normal 4" xfId="45"/>
    <cellStyle name="Normal 5" xfId="46"/>
    <cellStyle name="Normal 6" xfId="47"/>
    <cellStyle name="Normal_Estrutura_de_preço_-_CODEVASF_versão8" xfId="48"/>
    <cellStyle name="Nota 2" xfId="49"/>
    <cellStyle name="Porcentagem" xfId="50" builtinId="5"/>
    <cellStyle name="Porcentagem 2" xfId="51"/>
    <cellStyle name="Saída 2" xfId="52"/>
    <cellStyle name="Separador de milhares [0] 2" xfId="54"/>
    <cellStyle name="Separador de milhares [0] 3" xfId="55"/>
    <cellStyle name="Separador de milhares 2" xfId="56"/>
    <cellStyle name="Separador de milhares 2 2" xfId="57"/>
    <cellStyle name="Separador de milhares 3" xfId="58"/>
    <cellStyle name="Separador de milhares 3 2" xfId="59"/>
    <cellStyle name="Separador de milhares 4" xfId="60"/>
    <cellStyle name="Separador de milhares 4 2" xfId="61"/>
    <cellStyle name="Separador de milhares 5" xfId="62"/>
    <cellStyle name="Texto de Aviso 2" xfId="63"/>
    <cellStyle name="Texto Explicativo 2" xfId="64"/>
    <cellStyle name="Título 1 1" xfId="65"/>
    <cellStyle name="Título 1 2" xfId="66"/>
    <cellStyle name="Título 2 2" xfId="67"/>
    <cellStyle name="Título 3 2" xfId="68"/>
    <cellStyle name="Título 4 2" xfId="69"/>
    <cellStyle name="Total 2" xfId="70"/>
    <cellStyle name="Vírgula" xfId="53" builtinId="3"/>
    <cellStyle name="Vírgula 2" xfId="71"/>
  </cellStyles>
  <dxfs count="0"/>
  <tableStyles count="0" defaultTableStyle="TableStyleMedium9" defaultPivotStyle="PivotStyleLight16"/>
  <colors>
    <mruColors>
      <color rgb="FF66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59530</xdr:colOff>
      <xdr:row>1</xdr:row>
      <xdr:rowOff>95248</xdr:rowOff>
    </xdr:from>
    <xdr:to>
      <xdr:col>3</xdr:col>
      <xdr:colOff>161923</xdr:colOff>
      <xdr:row>4</xdr:row>
      <xdr:rowOff>152398</xdr:rowOff>
    </xdr:to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530" y="297654"/>
          <a:ext cx="1471612" cy="5334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3</xdr:col>
      <xdr:colOff>190496</xdr:colOff>
      <xdr:row>1</xdr:row>
      <xdr:rowOff>95248</xdr:rowOff>
    </xdr:from>
    <xdr:to>
      <xdr:col>7</xdr:col>
      <xdr:colOff>698539</xdr:colOff>
      <xdr:row>4</xdr:row>
      <xdr:rowOff>182489</xdr:rowOff>
    </xdr:to>
    <xdr:sp macro="" textlink="" fLocksText="0">
      <xdr:nvSpPr>
        <xdr:cNvPr id="3" name="Text Box 5"/>
        <xdr:cNvSpPr txBox="1">
          <a:spLocks noChangeArrowheads="1"/>
        </xdr:cNvSpPr>
      </xdr:nvSpPr>
      <xdr:spPr bwMode="auto">
        <a:xfrm>
          <a:off x="1559715" y="297654"/>
          <a:ext cx="6949324" cy="563491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da Integração Nacional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3ª GRD/UEP - 3ª Superintendência Regional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1</xdr:row>
      <xdr:rowOff>85725</xdr:rowOff>
    </xdr:from>
    <xdr:to>
      <xdr:col>2</xdr:col>
      <xdr:colOff>881062</xdr:colOff>
      <xdr:row>4</xdr:row>
      <xdr:rowOff>152400</xdr:rowOff>
    </xdr:to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2900" y="247650"/>
          <a:ext cx="1471612" cy="5334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2</xdr:col>
      <xdr:colOff>923925</xdr:colOff>
      <xdr:row>1</xdr:row>
      <xdr:rowOff>114300</xdr:rowOff>
    </xdr:from>
    <xdr:to>
      <xdr:col>5</xdr:col>
      <xdr:colOff>1190625</xdr:colOff>
      <xdr:row>5</xdr:row>
      <xdr:rowOff>11041</xdr:rowOff>
    </xdr:to>
    <xdr:sp macro="" textlink="" fLocksText="0">
      <xdr:nvSpPr>
        <xdr:cNvPr id="3" name="Text Box 5"/>
        <xdr:cNvSpPr txBox="1">
          <a:spLocks noChangeArrowheads="1"/>
        </xdr:cNvSpPr>
      </xdr:nvSpPr>
      <xdr:spPr bwMode="auto">
        <a:xfrm>
          <a:off x="1857375" y="276225"/>
          <a:ext cx="4800600" cy="563491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da Integração Nacional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3ª GRD/UEP - 3ª Superintendência Regional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</xdr:colOff>
      <xdr:row>1</xdr:row>
      <xdr:rowOff>23811</xdr:rowOff>
    </xdr:from>
    <xdr:to>
      <xdr:col>2</xdr:col>
      <xdr:colOff>1638384</xdr:colOff>
      <xdr:row>5</xdr:row>
      <xdr:rowOff>166686</xdr:rowOff>
    </xdr:to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1031" y="190499"/>
          <a:ext cx="2233697" cy="8096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2</xdr:col>
      <xdr:colOff>1690690</xdr:colOff>
      <xdr:row>1</xdr:row>
      <xdr:rowOff>119063</xdr:rowOff>
    </xdr:from>
    <xdr:to>
      <xdr:col>11</xdr:col>
      <xdr:colOff>547687</xdr:colOff>
      <xdr:row>5</xdr:row>
      <xdr:rowOff>119063</xdr:rowOff>
    </xdr:to>
    <xdr:sp macro="" textlink="" fLocksText="0">
      <xdr:nvSpPr>
        <xdr:cNvPr id="3" name="Text Box 5"/>
        <xdr:cNvSpPr txBox="1">
          <a:spLocks noChangeArrowheads="1"/>
        </xdr:cNvSpPr>
      </xdr:nvSpPr>
      <xdr:spPr bwMode="auto">
        <a:xfrm>
          <a:off x="2917034" y="285751"/>
          <a:ext cx="6429372" cy="66675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da Integração Nacional</a:t>
          </a:r>
        </a:p>
        <a:p>
          <a:pPr algn="l" rtl="0">
            <a:defRPr sz="1000"/>
          </a:pPr>
          <a:r>
            <a:rPr lang="pt-BR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3ª GRD/UEP - 3ª Superintendência Regional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PATE/Desktop/CODEVASF%20-%20diversos/Quadra%20Poliesportiva%20-%20Ilha%20de%20Massangano/OR&#199;AMENTO%20-%20QUADRA%20POLIESPORTIVA%20DA%20COMUNIDADE%20ILHA%20MASSANGAN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GIULIA~1.COD/CONFIG~1/Temp/Rar$DI00.344/Barragens/1%20Barragem%20da%20&#193;gua%20Fria/Or&#231;amento%20Barragem%20da%20&#193;gua%20Fr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"/>
      <sheetName val="CPU"/>
      <sheetName val="Insumos"/>
      <sheetName val="BDI"/>
      <sheetName val="Mem. Cálc."/>
      <sheetName val="Horista"/>
      <sheetName val="Mensalista"/>
      <sheetName val="Veiculo"/>
      <sheetName val="PO - I"/>
    </sheetNames>
    <sheetDataSet>
      <sheetData sheetId="0" refreshError="1"/>
      <sheetData sheetId="1"/>
      <sheetData sheetId="2">
        <row r="81">
          <cell r="D81">
            <v>3.8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  <sheetName val="SAA-Santana-OrçamentoREV01_D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5">
          <cell r="D5">
            <v>0.25</v>
          </cell>
        </row>
      </sheetData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CPU"/>
      <sheetName val="Insumos"/>
      <sheetName val="Veiculo"/>
      <sheetName val="Veículo Fiscalização"/>
    </sheetNames>
    <sheetDataSet>
      <sheetData sheetId="0" refreshError="1"/>
      <sheetData sheetId="1"/>
      <sheetData sheetId="2" refreshError="1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2:K74"/>
  <sheetViews>
    <sheetView tabSelected="1" view="pageBreakPreview" zoomScale="80" zoomScaleNormal="80" zoomScaleSheetLayoutView="80" workbookViewId="0">
      <selection activeCell="G21" sqref="G21:G74"/>
    </sheetView>
  </sheetViews>
  <sheetFormatPr defaultColWidth="11.42578125" defaultRowHeight="15.75" x14ac:dyDescent="0.25"/>
  <cols>
    <col min="1" max="1" width="13" style="269" customWidth="1"/>
    <col min="2" max="2" width="7.42578125" style="1" customWidth="1"/>
    <col min="3" max="3" width="12.140625" style="1" hidden="1" customWidth="1"/>
    <col min="4" max="4" width="61.140625" style="2" customWidth="1"/>
    <col min="5" max="5" width="10.28515625" style="1" customWidth="1"/>
    <col min="6" max="6" width="11.7109375" style="3" customWidth="1"/>
    <col min="7" max="7" width="13.42578125" style="1" customWidth="1"/>
    <col min="8" max="8" width="15.42578125" style="1" customWidth="1"/>
    <col min="9" max="9" width="14.7109375" style="66" customWidth="1"/>
    <col min="10" max="10" width="28.28515625" style="1" customWidth="1"/>
    <col min="11" max="11" width="7.7109375" style="1" customWidth="1"/>
    <col min="12" max="16384" width="11.42578125" style="1"/>
  </cols>
  <sheetData>
    <row r="2" spans="1:10" ht="12" customHeight="1" x14ac:dyDescent="0.25">
      <c r="A2" s="641"/>
      <c r="B2" s="641"/>
      <c r="C2" s="641"/>
      <c r="D2" s="641"/>
      <c r="E2" s="641"/>
      <c r="F2" s="641"/>
      <c r="G2" s="641"/>
      <c r="H2" s="641"/>
    </row>
    <row r="3" spans="1:10" s="4" customFormat="1" ht="12" customHeight="1" x14ac:dyDescent="0.25">
      <c r="A3" s="641"/>
      <c r="B3" s="641"/>
      <c r="C3" s="641"/>
      <c r="D3" s="641"/>
      <c r="E3" s="641"/>
      <c r="F3" s="641"/>
      <c r="G3" s="641"/>
      <c r="H3" s="641"/>
      <c r="I3" s="67"/>
    </row>
    <row r="4" spans="1:10" s="4" customFormat="1" ht="12.75" customHeight="1" x14ac:dyDescent="0.25">
      <c r="A4" s="641"/>
      <c r="B4" s="641"/>
      <c r="C4" s="641"/>
      <c r="D4" s="641"/>
      <c r="E4" s="641"/>
      <c r="F4" s="641"/>
      <c r="G4" s="641"/>
      <c r="H4" s="641"/>
      <c r="I4" s="67"/>
    </row>
    <row r="5" spans="1:10" s="4" customFormat="1" ht="15.75" customHeight="1" x14ac:dyDescent="0.25">
      <c r="A5" s="641"/>
      <c r="B5" s="641"/>
      <c r="C5" s="641"/>
      <c r="D5" s="641"/>
      <c r="E5" s="641"/>
      <c r="F5" s="641"/>
      <c r="G5" s="641"/>
      <c r="H5" s="641"/>
      <c r="I5" s="67"/>
    </row>
    <row r="6" spans="1:10" s="4" customFormat="1" ht="12.75" customHeight="1" x14ac:dyDescent="0.25">
      <c r="A6" s="629" t="s">
        <v>0</v>
      </c>
      <c r="B6" s="629"/>
      <c r="C6" s="629"/>
      <c r="D6" s="642" t="s">
        <v>554</v>
      </c>
      <c r="E6" s="643"/>
      <c r="F6" s="643"/>
      <c r="G6" s="643"/>
      <c r="H6" s="644"/>
    </row>
    <row r="7" spans="1:10" s="4" customFormat="1" ht="12.75" customHeight="1" x14ac:dyDescent="0.25">
      <c r="A7" s="648"/>
      <c r="B7" s="648"/>
      <c r="C7" s="648"/>
      <c r="D7" s="645"/>
      <c r="E7" s="646"/>
      <c r="F7" s="646"/>
      <c r="G7" s="646"/>
      <c r="H7" s="647"/>
      <c r="I7" s="67"/>
    </row>
    <row r="8" spans="1:10" s="4" customFormat="1" ht="18.75" customHeight="1" x14ac:dyDescent="0.25">
      <c r="A8" s="629" t="s">
        <v>139</v>
      </c>
      <c r="B8" s="629"/>
      <c r="C8" s="629"/>
      <c r="D8" s="649" t="s">
        <v>553</v>
      </c>
      <c r="E8" s="649"/>
      <c r="F8" s="649"/>
      <c r="G8" s="649"/>
      <c r="H8" s="649"/>
      <c r="I8" s="67"/>
    </row>
    <row r="9" spans="1:10" s="4" customFormat="1" ht="37.5" customHeight="1" x14ac:dyDescent="0.25">
      <c r="A9" s="629"/>
      <c r="B9" s="629"/>
      <c r="C9" s="629"/>
      <c r="D9" s="649"/>
      <c r="E9" s="649"/>
      <c r="F9" s="649"/>
      <c r="G9" s="649"/>
      <c r="H9" s="649"/>
      <c r="I9" s="67"/>
      <c r="J9" s="4">
        <f>9000000*0.95</f>
        <v>8550000</v>
      </c>
    </row>
    <row r="10" spans="1:10" s="4" customFormat="1" ht="15.75" customHeight="1" x14ac:dyDescent="0.25">
      <c r="A10" s="620" t="s">
        <v>202</v>
      </c>
      <c r="B10" s="620"/>
      <c r="C10" s="620"/>
      <c r="D10" s="620"/>
      <c r="E10" s="650" t="s">
        <v>141</v>
      </c>
      <c r="F10" s="651"/>
      <c r="G10" s="651"/>
      <c r="H10" s="652"/>
      <c r="I10" s="67"/>
    </row>
    <row r="11" spans="1:10" s="4" customFormat="1" x14ac:dyDescent="0.25">
      <c r="A11" s="620"/>
      <c r="B11" s="620"/>
      <c r="C11" s="620"/>
      <c r="D11" s="620"/>
      <c r="E11" s="623">
        <v>27</v>
      </c>
      <c r="F11" s="653"/>
      <c r="G11" s="653"/>
      <c r="H11" s="624"/>
      <c r="I11" s="67"/>
    </row>
    <row r="12" spans="1:10" s="4" customFormat="1" ht="15.75" customHeight="1" x14ac:dyDescent="0.25">
      <c r="A12" s="620" t="s">
        <v>203</v>
      </c>
      <c r="B12" s="620"/>
      <c r="C12" s="620"/>
      <c r="D12" s="620"/>
      <c r="E12" s="621" t="s">
        <v>204</v>
      </c>
      <c r="F12" s="622"/>
      <c r="G12" s="621" t="s">
        <v>205</v>
      </c>
      <c r="H12" s="622"/>
      <c r="I12" s="67"/>
    </row>
    <row r="13" spans="1:10" s="4" customFormat="1" x14ac:dyDescent="0.25">
      <c r="A13" s="620"/>
      <c r="B13" s="620"/>
      <c r="C13" s="620"/>
      <c r="D13" s="620"/>
      <c r="E13" s="623">
        <v>0</v>
      </c>
      <c r="F13" s="624"/>
      <c r="G13" s="623">
        <v>27</v>
      </c>
      <c r="H13" s="624"/>
      <c r="I13" s="67"/>
    </row>
    <row r="14" spans="1:10" s="4" customFormat="1" ht="22.5" customHeight="1" x14ac:dyDescent="0.25">
      <c r="A14" s="632" t="s">
        <v>476</v>
      </c>
      <c r="B14" s="633"/>
      <c r="C14" s="633"/>
      <c r="D14" s="634"/>
      <c r="E14" s="625" t="s">
        <v>200</v>
      </c>
      <c r="F14" s="625"/>
      <c r="G14" s="626">
        <f>H20+H26</f>
        <v>0</v>
      </c>
      <c r="H14" s="626"/>
      <c r="I14" s="67"/>
    </row>
    <row r="15" spans="1:10" s="4" customFormat="1" ht="18.75" customHeight="1" x14ac:dyDescent="0.25">
      <c r="A15" s="635" t="s">
        <v>530</v>
      </c>
      <c r="B15" s="636"/>
      <c r="C15" s="636"/>
      <c r="D15" s="637"/>
      <c r="E15" s="625" t="s">
        <v>201</v>
      </c>
      <c r="F15" s="625"/>
      <c r="G15" s="626">
        <f>H42+H60</f>
        <v>0</v>
      </c>
      <c r="H15" s="626"/>
      <c r="I15" s="67"/>
    </row>
    <row r="16" spans="1:10" s="4" customFormat="1" ht="31.5" customHeight="1" x14ac:dyDescent="0.25">
      <c r="A16" s="638"/>
      <c r="B16" s="639"/>
      <c r="C16" s="639"/>
      <c r="D16" s="640"/>
      <c r="E16" s="625" t="s">
        <v>206</v>
      </c>
      <c r="F16" s="625"/>
      <c r="G16" s="626">
        <f>G14+G15</f>
        <v>0</v>
      </c>
      <c r="H16" s="626"/>
    </row>
    <row r="17" spans="1:10" s="4" customFormat="1" x14ac:dyDescent="0.25">
      <c r="A17" s="628" t="s">
        <v>1</v>
      </c>
      <c r="B17" s="628"/>
      <c r="C17" s="628"/>
      <c r="D17" s="628"/>
      <c r="E17" s="628"/>
      <c r="F17" s="628"/>
      <c r="G17" s="628"/>
      <c r="H17" s="628"/>
      <c r="I17" s="186"/>
      <c r="J17" s="606">
        <f>G16/E11</f>
        <v>0</v>
      </c>
    </row>
    <row r="18" spans="1:10" s="6" customFormat="1" ht="20.25" customHeight="1" x14ac:dyDescent="0.2">
      <c r="A18" s="627" t="s">
        <v>440</v>
      </c>
      <c r="B18" s="631" t="s">
        <v>2</v>
      </c>
      <c r="C18" s="124" t="s">
        <v>3</v>
      </c>
      <c r="D18" s="627" t="s">
        <v>4</v>
      </c>
      <c r="E18" s="627" t="s">
        <v>5</v>
      </c>
      <c r="F18" s="627" t="s">
        <v>6</v>
      </c>
      <c r="G18" s="629" t="s">
        <v>7</v>
      </c>
      <c r="H18" s="629"/>
      <c r="J18" s="5"/>
    </row>
    <row r="19" spans="1:10" s="6" customFormat="1" ht="45.75" customHeight="1" x14ac:dyDescent="0.2">
      <c r="A19" s="627"/>
      <c r="B19" s="631"/>
      <c r="C19" s="124"/>
      <c r="D19" s="627"/>
      <c r="E19" s="627"/>
      <c r="F19" s="627"/>
      <c r="G19" s="224" t="s">
        <v>286</v>
      </c>
      <c r="H19" s="206" t="s">
        <v>252</v>
      </c>
      <c r="J19" s="5"/>
    </row>
    <row r="20" spans="1:10" s="8" customFormat="1" x14ac:dyDescent="0.2">
      <c r="A20" s="89"/>
      <c r="B20" s="164">
        <v>1</v>
      </c>
      <c r="C20" s="165">
        <v>10101</v>
      </c>
      <c r="D20" s="630" t="s">
        <v>8</v>
      </c>
      <c r="E20" s="630"/>
      <c r="F20" s="630"/>
      <c r="G20" s="225"/>
      <c r="H20" s="616">
        <f>SUM(H21:H25)</f>
        <v>0</v>
      </c>
      <c r="I20" s="68"/>
      <c r="J20" s="5"/>
    </row>
    <row r="21" spans="1:10" s="8" customFormat="1" ht="23.25" customHeight="1" x14ac:dyDescent="0.2">
      <c r="A21" s="227" t="s">
        <v>250</v>
      </c>
      <c r="B21" s="82" t="s">
        <v>9</v>
      </c>
      <c r="C21" s="86"/>
      <c r="D21" s="87" t="s">
        <v>10</v>
      </c>
      <c r="E21" s="84" t="s">
        <v>142</v>
      </c>
      <c r="F21" s="526">
        <v>6</v>
      </c>
      <c r="G21" s="526"/>
      <c r="H21" s="528">
        <f>G21*F21</f>
        <v>0</v>
      </c>
      <c r="I21" s="69"/>
      <c r="J21" s="5"/>
    </row>
    <row r="22" spans="1:10" s="8" customFormat="1" ht="23.25" customHeight="1" x14ac:dyDescent="0.2">
      <c r="A22" s="227" t="s">
        <v>250</v>
      </c>
      <c r="B22" s="82" t="s">
        <v>12</v>
      </c>
      <c r="C22" s="86"/>
      <c r="D22" s="87" t="s">
        <v>251</v>
      </c>
      <c r="E22" s="84" t="s">
        <v>142</v>
      </c>
      <c r="F22" s="526">
        <v>1</v>
      </c>
      <c r="G22" s="526"/>
      <c r="H22" s="528">
        <f t="shared" ref="H22:H25" si="0">G22*F22</f>
        <v>0</v>
      </c>
      <c r="I22" s="69"/>
      <c r="J22" s="5"/>
    </row>
    <row r="23" spans="1:10" s="8" customFormat="1" ht="32.25" customHeight="1" x14ac:dyDescent="0.2">
      <c r="A23" s="411" t="s">
        <v>250</v>
      </c>
      <c r="B23" s="82" t="s">
        <v>354</v>
      </c>
      <c r="C23" s="86"/>
      <c r="D23" s="87" t="s">
        <v>214</v>
      </c>
      <c r="E23" s="82" t="s">
        <v>52</v>
      </c>
      <c r="F23" s="526">
        <v>27</v>
      </c>
      <c r="G23" s="526"/>
      <c r="H23" s="528">
        <f t="shared" si="0"/>
        <v>0</v>
      </c>
      <c r="I23" s="68"/>
    </row>
    <row r="24" spans="1:10" s="8" customFormat="1" ht="54" customHeight="1" x14ac:dyDescent="0.2">
      <c r="A24" s="411" t="s">
        <v>250</v>
      </c>
      <c r="B24" s="82" t="s">
        <v>433</v>
      </c>
      <c r="C24" s="86"/>
      <c r="D24" s="438" t="s">
        <v>435</v>
      </c>
      <c r="E24" s="82" t="s">
        <v>13</v>
      </c>
      <c r="F24" s="526">
        <f>'CPU POÇOS'!I131</f>
        <v>8</v>
      </c>
      <c r="G24" s="526"/>
      <c r="H24" s="528">
        <f t="shared" si="0"/>
        <v>0</v>
      </c>
      <c r="I24" s="68"/>
    </row>
    <row r="25" spans="1:10" s="8" customFormat="1" ht="32.25" customHeight="1" x14ac:dyDescent="0.2">
      <c r="A25" s="411" t="s">
        <v>250</v>
      </c>
      <c r="B25" s="82" t="s">
        <v>434</v>
      </c>
      <c r="C25" s="86"/>
      <c r="D25" s="439" t="s">
        <v>436</v>
      </c>
      <c r="E25" s="84" t="s">
        <v>142</v>
      </c>
      <c r="F25" s="526">
        <v>1</v>
      </c>
      <c r="G25" s="526"/>
      <c r="H25" s="528">
        <f t="shared" si="0"/>
        <v>0</v>
      </c>
      <c r="I25" s="68"/>
      <c r="J25" s="8">
        <f>8*30</f>
        <v>240</v>
      </c>
    </row>
    <row r="26" spans="1:10" s="8" customFormat="1" ht="20.25" customHeight="1" x14ac:dyDescent="0.2">
      <c r="A26" s="89"/>
      <c r="B26" s="89">
        <v>2</v>
      </c>
      <c r="C26" s="90"/>
      <c r="D26" s="223" t="s">
        <v>437</v>
      </c>
      <c r="E26" s="223"/>
      <c r="F26" s="223"/>
      <c r="G26" s="223"/>
      <c r="H26" s="616">
        <f>SUM(H27:H41)</f>
        <v>0</v>
      </c>
      <c r="I26" s="68"/>
      <c r="J26" s="5"/>
    </row>
    <row r="27" spans="1:10" s="9" customFormat="1" ht="33.75" customHeight="1" x14ac:dyDescent="0.2">
      <c r="A27" s="227" t="s">
        <v>250</v>
      </c>
      <c r="B27" s="82" t="s">
        <v>14</v>
      </c>
      <c r="C27" s="91"/>
      <c r="D27" s="92" t="s">
        <v>309</v>
      </c>
      <c r="E27" s="84" t="s">
        <v>142</v>
      </c>
      <c r="F27" s="526">
        <f>E11</f>
        <v>27</v>
      </c>
      <c r="G27" s="526"/>
      <c r="H27" s="529">
        <f t="shared" ref="H27:H41" si="1">G27*F27</f>
        <v>0</v>
      </c>
      <c r="I27" s="70"/>
      <c r="J27" s="5"/>
    </row>
    <row r="28" spans="1:10" s="9" customFormat="1" ht="31.5" x14ac:dyDescent="0.2">
      <c r="A28" s="227" t="s">
        <v>250</v>
      </c>
      <c r="B28" s="82" t="s">
        <v>15</v>
      </c>
      <c r="C28" s="86"/>
      <c r="D28" s="93" t="s">
        <v>308</v>
      </c>
      <c r="E28" s="82" t="s">
        <v>52</v>
      </c>
      <c r="F28" s="526">
        <f>E11*4</f>
        <v>108</v>
      </c>
      <c r="G28" s="526"/>
      <c r="H28" s="529">
        <f t="shared" si="1"/>
        <v>0</v>
      </c>
      <c r="I28" s="70"/>
      <c r="J28" s="5"/>
    </row>
    <row r="29" spans="1:10" s="9" customFormat="1" ht="24" customHeight="1" x14ac:dyDescent="0.2">
      <c r="A29" s="227" t="s">
        <v>250</v>
      </c>
      <c r="B29" s="82" t="s">
        <v>16</v>
      </c>
      <c r="C29" s="91"/>
      <c r="D29" s="95" t="s">
        <v>169</v>
      </c>
      <c r="E29" s="84" t="s">
        <v>142</v>
      </c>
      <c r="F29" s="526">
        <f>E11</f>
        <v>27</v>
      </c>
      <c r="G29" s="526"/>
      <c r="H29" s="529">
        <f t="shared" si="1"/>
        <v>0</v>
      </c>
      <c r="I29" s="70"/>
      <c r="J29" s="5"/>
    </row>
    <row r="30" spans="1:10" s="8" customFormat="1" ht="31.5" x14ac:dyDescent="0.2">
      <c r="A30" s="227" t="s">
        <v>250</v>
      </c>
      <c r="B30" s="82" t="s">
        <v>17</v>
      </c>
      <c r="C30" s="91"/>
      <c r="D30" s="93" t="s">
        <v>18</v>
      </c>
      <c r="E30" s="82" t="s">
        <v>19</v>
      </c>
      <c r="F30" s="526">
        <f>E11*10</f>
        <v>270</v>
      </c>
      <c r="G30" s="526"/>
      <c r="H30" s="529">
        <f t="shared" si="1"/>
        <v>0</v>
      </c>
      <c r="I30" s="68"/>
      <c r="J30" s="5"/>
    </row>
    <row r="31" spans="1:10" s="9" customFormat="1" ht="34.5" customHeight="1" x14ac:dyDescent="0.2">
      <c r="A31" s="227" t="s">
        <v>250</v>
      </c>
      <c r="B31" s="82" t="s">
        <v>20</v>
      </c>
      <c r="C31" s="91"/>
      <c r="D31" s="93" t="s">
        <v>21</v>
      </c>
      <c r="E31" s="82" t="s">
        <v>19</v>
      </c>
      <c r="F31" s="526">
        <f>E11*50</f>
        <v>1350</v>
      </c>
      <c r="G31" s="526"/>
      <c r="H31" s="529">
        <f t="shared" si="1"/>
        <v>0</v>
      </c>
      <c r="I31" s="70"/>
      <c r="J31" s="5"/>
    </row>
    <row r="32" spans="1:10" s="9" customFormat="1" ht="31.5" x14ac:dyDescent="0.2">
      <c r="A32" s="227" t="s">
        <v>250</v>
      </c>
      <c r="B32" s="82" t="s">
        <v>22</v>
      </c>
      <c r="C32" s="91"/>
      <c r="D32" s="87" t="s">
        <v>217</v>
      </c>
      <c r="E32" s="82" t="s">
        <v>19</v>
      </c>
      <c r="F32" s="526">
        <f>F30</f>
        <v>270</v>
      </c>
      <c r="G32" s="526"/>
      <c r="H32" s="529">
        <f t="shared" si="1"/>
        <v>0</v>
      </c>
      <c r="I32" s="70"/>
      <c r="J32" s="5"/>
    </row>
    <row r="33" spans="1:11" s="9" customFormat="1" ht="31.5" x14ac:dyDescent="0.2">
      <c r="A33" s="316" t="s">
        <v>250</v>
      </c>
      <c r="B33" s="82" t="s">
        <v>188</v>
      </c>
      <c r="C33" s="316"/>
      <c r="D33" s="322" t="s">
        <v>356</v>
      </c>
      <c r="E33" s="82" t="s">
        <v>23</v>
      </c>
      <c r="F33" s="526">
        <f>(E11*10*3.1416*(0.1016*0.1016-0.0762*0.0762))</f>
        <v>3.83</v>
      </c>
      <c r="G33" s="526"/>
      <c r="H33" s="529">
        <f t="shared" si="1"/>
        <v>0</v>
      </c>
      <c r="I33" s="70"/>
      <c r="J33" s="5"/>
    </row>
    <row r="34" spans="1:11" s="9" customFormat="1" ht="63" x14ac:dyDescent="0.2">
      <c r="A34" s="227" t="s">
        <v>250</v>
      </c>
      <c r="B34" s="82" t="s">
        <v>189</v>
      </c>
      <c r="C34" s="205"/>
      <c r="D34" s="83" t="s">
        <v>198</v>
      </c>
      <c r="E34" s="84" t="s">
        <v>142</v>
      </c>
      <c r="F34" s="526">
        <f>E11</f>
        <v>27</v>
      </c>
      <c r="G34" s="526"/>
      <c r="H34" s="529">
        <f t="shared" si="1"/>
        <v>0</v>
      </c>
      <c r="I34" s="70"/>
    </row>
    <row r="35" spans="1:11" s="9" customFormat="1" ht="66" customHeight="1" x14ac:dyDescent="0.2">
      <c r="A35" s="227" t="s">
        <v>250</v>
      </c>
      <c r="B35" s="82" t="s">
        <v>24</v>
      </c>
      <c r="C35" s="205"/>
      <c r="D35" s="83" t="s">
        <v>310</v>
      </c>
      <c r="E35" s="84" t="s">
        <v>142</v>
      </c>
      <c r="F35" s="526">
        <f>E11</f>
        <v>27</v>
      </c>
      <c r="G35" s="526"/>
      <c r="H35" s="529">
        <f t="shared" si="1"/>
        <v>0</v>
      </c>
      <c r="I35" s="70"/>
    </row>
    <row r="36" spans="1:11" s="7" customFormat="1" ht="58.5" customHeight="1" x14ac:dyDescent="0.2">
      <c r="A36" s="227" t="s">
        <v>250</v>
      </c>
      <c r="B36" s="82" t="s">
        <v>133</v>
      </c>
      <c r="C36" s="91"/>
      <c r="D36" s="93" t="s">
        <v>148</v>
      </c>
      <c r="E36" s="84" t="s">
        <v>142</v>
      </c>
      <c r="F36" s="526">
        <f>F27</f>
        <v>27</v>
      </c>
      <c r="G36" s="526"/>
      <c r="H36" s="529">
        <f t="shared" si="1"/>
        <v>0</v>
      </c>
      <c r="I36" s="64"/>
      <c r="J36" s="63"/>
    </row>
    <row r="37" spans="1:11" s="9" customFormat="1" ht="51" customHeight="1" x14ac:dyDescent="0.2">
      <c r="A37" s="227" t="s">
        <v>250</v>
      </c>
      <c r="B37" s="82" t="s">
        <v>149</v>
      </c>
      <c r="C37" s="91"/>
      <c r="D37" s="93" t="s">
        <v>311</v>
      </c>
      <c r="E37" s="84" t="s">
        <v>142</v>
      </c>
      <c r="F37" s="526">
        <f>E11</f>
        <v>27</v>
      </c>
      <c r="G37" s="526"/>
      <c r="H37" s="529">
        <f t="shared" si="1"/>
        <v>0</v>
      </c>
      <c r="I37" s="70"/>
    </row>
    <row r="38" spans="1:11" s="9" customFormat="1" ht="47.25" x14ac:dyDescent="0.2">
      <c r="A38" s="227" t="s">
        <v>250</v>
      </c>
      <c r="B38" s="82" t="s">
        <v>150</v>
      </c>
      <c r="C38" s="205"/>
      <c r="D38" s="95" t="s">
        <v>498</v>
      </c>
      <c r="E38" s="84" t="s">
        <v>142</v>
      </c>
      <c r="F38" s="526">
        <f>E11</f>
        <v>27</v>
      </c>
      <c r="G38" s="526"/>
      <c r="H38" s="529">
        <f t="shared" si="1"/>
        <v>0</v>
      </c>
      <c r="I38" s="70"/>
    </row>
    <row r="39" spans="1:11" s="9" customFormat="1" ht="51" customHeight="1" x14ac:dyDescent="0.2">
      <c r="A39" s="227" t="s">
        <v>250</v>
      </c>
      <c r="B39" s="82" t="s">
        <v>151</v>
      </c>
      <c r="C39" s="91"/>
      <c r="D39" s="93" t="s">
        <v>312</v>
      </c>
      <c r="E39" s="84" t="s">
        <v>142</v>
      </c>
      <c r="F39" s="526">
        <f>E11</f>
        <v>27</v>
      </c>
      <c r="G39" s="526"/>
      <c r="H39" s="529">
        <f t="shared" si="1"/>
        <v>0</v>
      </c>
      <c r="I39" s="70"/>
    </row>
    <row r="40" spans="1:11" s="9" customFormat="1" ht="37.5" customHeight="1" x14ac:dyDescent="0.2">
      <c r="A40" s="227" t="s">
        <v>250</v>
      </c>
      <c r="B40" s="82" t="s">
        <v>166</v>
      </c>
      <c r="C40" s="205"/>
      <c r="D40" s="95" t="s">
        <v>197</v>
      </c>
      <c r="E40" s="84" t="s">
        <v>142</v>
      </c>
      <c r="F40" s="526">
        <f>E11</f>
        <v>27</v>
      </c>
      <c r="G40" s="526"/>
      <c r="H40" s="529">
        <f t="shared" si="1"/>
        <v>0</v>
      </c>
      <c r="I40" s="71"/>
    </row>
    <row r="41" spans="1:11" s="7" customFormat="1" ht="98.25" customHeight="1" x14ac:dyDescent="0.2">
      <c r="A41" s="227" t="s">
        <v>250</v>
      </c>
      <c r="B41" s="82" t="s">
        <v>355</v>
      </c>
      <c r="C41" s="205"/>
      <c r="D41" s="83" t="s">
        <v>313</v>
      </c>
      <c r="E41" s="82" t="s">
        <v>23</v>
      </c>
      <c r="F41" s="526">
        <f>E11*0.15</f>
        <v>4.05</v>
      </c>
      <c r="G41" s="526"/>
      <c r="H41" s="529">
        <f t="shared" si="1"/>
        <v>0</v>
      </c>
      <c r="I41" s="64"/>
      <c r="J41" s="63"/>
    </row>
    <row r="42" spans="1:11" s="7" customFormat="1" x14ac:dyDescent="0.2">
      <c r="A42" s="89"/>
      <c r="B42" s="89">
        <v>3</v>
      </c>
      <c r="C42" s="90"/>
      <c r="D42" s="617" t="s">
        <v>193</v>
      </c>
      <c r="E42" s="617"/>
      <c r="F42" s="617"/>
      <c r="G42" s="226"/>
      <c r="H42" s="616">
        <f>SUM(H43:H59)</f>
        <v>0</v>
      </c>
      <c r="I42" s="64"/>
      <c r="J42" s="63"/>
    </row>
    <row r="43" spans="1:11" ht="47.25" x14ac:dyDescent="0.25">
      <c r="A43" s="227" t="s">
        <v>250</v>
      </c>
      <c r="B43" s="82" t="s">
        <v>25</v>
      </c>
      <c r="C43" s="88"/>
      <c r="D43" s="83" t="s">
        <v>444</v>
      </c>
      <c r="E43" s="84" t="s">
        <v>19</v>
      </c>
      <c r="F43" s="526">
        <f>(E13)*30</f>
        <v>0</v>
      </c>
      <c r="G43" s="526"/>
      <c r="H43" s="529">
        <f t="shared" ref="H43:H73" si="2">G43*F43</f>
        <v>0</v>
      </c>
      <c r="I43" s="72"/>
      <c r="J43" s="44"/>
      <c r="K43" s="10"/>
    </row>
    <row r="44" spans="1:11" s="7" customFormat="1" ht="81" customHeight="1" x14ac:dyDescent="0.2">
      <c r="A44" s="227" t="s">
        <v>250</v>
      </c>
      <c r="B44" s="82" t="s">
        <v>26</v>
      </c>
      <c r="C44" s="88"/>
      <c r="D44" s="94" t="s">
        <v>446</v>
      </c>
      <c r="E44" s="84" t="s">
        <v>142</v>
      </c>
      <c r="F44" s="526">
        <f>E13</f>
        <v>0</v>
      </c>
      <c r="G44" s="526"/>
      <c r="H44" s="529">
        <f t="shared" si="2"/>
        <v>0</v>
      </c>
      <c r="I44" s="64"/>
      <c r="J44" s="63"/>
    </row>
    <row r="45" spans="1:11" s="7" customFormat="1" ht="55.5" customHeight="1" x14ac:dyDescent="0.2">
      <c r="A45" s="227" t="s">
        <v>250</v>
      </c>
      <c r="B45" s="82" t="s">
        <v>27</v>
      </c>
      <c r="C45" s="86"/>
      <c r="D45" s="83" t="s">
        <v>510</v>
      </c>
      <c r="E45" s="82" t="s">
        <v>52</v>
      </c>
      <c r="F45" s="526">
        <f>(E13)*10.25</f>
        <v>0</v>
      </c>
      <c r="G45" s="526"/>
      <c r="H45" s="529">
        <f t="shared" si="2"/>
        <v>0</v>
      </c>
      <c r="I45" s="64"/>
      <c r="J45" s="63"/>
    </row>
    <row r="46" spans="1:11" s="7" customFormat="1" ht="63" x14ac:dyDescent="0.2">
      <c r="A46" s="272" t="s">
        <v>250</v>
      </c>
      <c r="B46" s="82" t="s">
        <v>28</v>
      </c>
      <c r="C46" s="88"/>
      <c r="D46" s="121" t="s">
        <v>532</v>
      </c>
      <c r="E46" s="84" t="s">
        <v>23</v>
      </c>
      <c r="F46" s="526">
        <f>E13*(1.4+1.4+1.4+1.4+0.7+0.7+0.7+0.7+3+3+1.2+1.2)*0.4*0.3</f>
        <v>0</v>
      </c>
      <c r="G46" s="526"/>
      <c r="H46" s="529">
        <f t="shared" si="2"/>
        <v>0</v>
      </c>
      <c r="I46" s="64"/>
      <c r="J46" s="63"/>
    </row>
    <row r="47" spans="1:11" s="7" customFormat="1" ht="47.25" x14ac:dyDescent="0.2">
      <c r="A47" s="272" t="s">
        <v>250</v>
      </c>
      <c r="B47" s="82" t="s">
        <v>29</v>
      </c>
      <c r="C47" s="88"/>
      <c r="D47" s="121" t="s">
        <v>306</v>
      </c>
      <c r="E47" s="84" t="s">
        <v>23</v>
      </c>
      <c r="F47" s="526">
        <f>F46</f>
        <v>0</v>
      </c>
      <c r="G47" s="526"/>
      <c r="H47" s="529">
        <f t="shared" si="2"/>
        <v>0</v>
      </c>
      <c r="I47" s="64"/>
      <c r="J47" s="63"/>
    </row>
    <row r="48" spans="1:11" s="7" customFormat="1" ht="84" customHeight="1" x14ac:dyDescent="0.2">
      <c r="A48" s="272" t="s">
        <v>250</v>
      </c>
      <c r="B48" s="82" t="s">
        <v>177</v>
      </c>
      <c r="C48" s="88"/>
      <c r="D48" s="83" t="s">
        <v>534</v>
      </c>
      <c r="E48" s="84" t="s">
        <v>23</v>
      </c>
      <c r="F48" s="526">
        <f>F43*0.4*0.3</f>
        <v>0</v>
      </c>
      <c r="G48" s="526"/>
      <c r="H48" s="529">
        <f t="shared" si="2"/>
        <v>0</v>
      </c>
      <c r="I48" s="64"/>
      <c r="J48" s="63"/>
    </row>
    <row r="49" spans="1:10" s="7" customFormat="1" ht="48.75" customHeight="1" x14ac:dyDescent="0.2">
      <c r="A49" s="272" t="s">
        <v>250</v>
      </c>
      <c r="B49" s="82" t="s">
        <v>178</v>
      </c>
      <c r="C49" s="88"/>
      <c r="D49" s="121" t="s">
        <v>307</v>
      </c>
      <c r="E49" s="84" t="s">
        <v>23</v>
      </c>
      <c r="F49" s="526">
        <f>F48</f>
        <v>0</v>
      </c>
      <c r="G49" s="526"/>
      <c r="H49" s="529">
        <f t="shared" si="2"/>
        <v>0</v>
      </c>
      <c r="I49" s="64"/>
      <c r="J49" s="63"/>
    </row>
    <row r="50" spans="1:10" s="7" customFormat="1" ht="31.5" x14ac:dyDescent="0.2">
      <c r="A50" s="227" t="s">
        <v>250</v>
      </c>
      <c r="B50" s="82" t="s">
        <v>179</v>
      </c>
      <c r="C50" s="88"/>
      <c r="D50" s="121" t="s">
        <v>314</v>
      </c>
      <c r="E50" s="84" t="s">
        <v>19</v>
      </c>
      <c r="F50" s="526">
        <f>E13*20</f>
        <v>0</v>
      </c>
      <c r="G50" s="526"/>
      <c r="H50" s="529">
        <f t="shared" si="2"/>
        <v>0</v>
      </c>
      <c r="I50" s="64"/>
      <c r="J50" s="63"/>
    </row>
    <row r="51" spans="1:10" s="7" customFormat="1" ht="58.5" customHeight="1" x14ac:dyDescent="0.2">
      <c r="A51" s="227" t="s">
        <v>250</v>
      </c>
      <c r="B51" s="82" t="s">
        <v>180</v>
      </c>
      <c r="C51" s="88"/>
      <c r="D51" s="121" t="s">
        <v>315</v>
      </c>
      <c r="E51" s="84" t="s">
        <v>142</v>
      </c>
      <c r="F51" s="526">
        <f>E13</f>
        <v>0</v>
      </c>
      <c r="G51" s="526"/>
      <c r="H51" s="529">
        <f t="shared" si="2"/>
        <v>0</v>
      </c>
      <c r="I51" s="64"/>
      <c r="J51" s="63"/>
    </row>
    <row r="52" spans="1:10" s="7" customFormat="1" ht="63" customHeight="1" x14ac:dyDescent="0.2">
      <c r="A52" s="272" t="s">
        <v>250</v>
      </c>
      <c r="B52" s="82" t="s">
        <v>181</v>
      </c>
      <c r="C52" s="282"/>
      <c r="D52" s="121" t="s">
        <v>346</v>
      </c>
      <c r="E52" s="122" t="s">
        <v>19</v>
      </c>
      <c r="F52" s="526">
        <f>E13*14.7</f>
        <v>0</v>
      </c>
      <c r="G52" s="526"/>
      <c r="H52" s="529">
        <f t="shared" si="2"/>
        <v>0</v>
      </c>
      <c r="I52" s="64"/>
      <c r="J52" s="63"/>
    </row>
    <row r="53" spans="1:10" s="7" customFormat="1" ht="64.5" customHeight="1" x14ac:dyDescent="0.2">
      <c r="A53" s="272" t="s">
        <v>250</v>
      </c>
      <c r="B53" s="82" t="s">
        <v>182</v>
      </c>
      <c r="C53" s="207"/>
      <c r="D53" s="83" t="s">
        <v>347</v>
      </c>
      <c r="E53" s="207" t="s">
        <v>142</v>
      </c>
      <c r="F53" s="528">
        <f>E13</f>
        <v>0</v>
      </c>
      <c r="G53" s="528"/>
      <c r="H53" s="529">
        <f t="shared" si="2"/>
        <v>0</v>
      </c>
      <c r="I53" s="64"/>
      <c r="J53" s="63"/>
    </row>
    <row r="54" spans="1:10" s="7" customFormat="1" ht="31.5" x14ac:dyDescent="0.2">
      <c r="A54" s="227" t="s">
        <v>250</v>
      </c>
      <c r="B54" s="82" t="s">
        <v>183</v>
      </c>
      <c r="C54" s="120"/>
      <c r="D54" s="83" t="s">
        <v>316</v>
      </c>
      <c r="E54" s="122" t="s">
        <v>142</v>
      </c>
      <c r="F54" s="528">
        <f>E13</f>
        <v>0</v>
      </c>
      <c r="G54" s="526"/>
      <c r="H54" s="529">
        <f t="shared" si="2"/>
        <v>0</v>
      </c>
      <c r="I54" s="64"/>
      <c r="J54" s="63"/>
    </row>
    <row r="55" spans="1:10" s="7" customFormat="1" ht="42" customHeight="1" x14ac:dyDescent="0.2">
      <c r="A55" s="227" t="s">
        <v>250</v>
      </c>
      <c r="B55" s="82" t="s">
        <v>184</v>
      </c>
      <c r="C55" s="119"/>
      <c r="D55" s="83" t="s">
        <v>317</v>
      </c>
      <c r="E55" s="207" t="s">
        <v>142</v>
      </c>
      <c r="F55" s="528">
        <f>E13</f>
        <v>0</v>
      </c>
      <c r="G55" s="528"/>
      <c r="H55" s="529">
        <f t="shared" si="2"/>
        <v>0</v>
      </c>
      <c r="I55" s="64"/>
      <c r="J55" s="63"/>
    </row>
    <row r="56" spans="1:10" s="7" customFormat="1" ht="38.25" customHeight="1" x14ac:dyDescent="0.2">
      <c r="A56" s="227" t="s">
        <v>250</v>
      </c>
      <c r="B56" s="82" t="s">
        <v>185</v>
      </c>
      <c r="C56" s="120"/>
      <c r="D56" s="83" t="s">
        <v>288</v>
      </c>
      <c r="E56" s="122" t="s">
        <v>142</v>
      </c>
      <c r="F56" s="528">
        <f>E13</f>
        <v>0</v>
      </c>
      <c r="G56" s="526"/>
      <c r="H56" s="529">
        <f t="shared" si="2"/>
        <v>0</v>
      </c>
      <c r="I56" s="64"/>
      <c r="J56" s="63"/>
    </row>
    <row r="57" spans="1:10" s="7" customFormat="1" ht="31.5" x14ac:dyDescent="0.2">
      <c r="A57" s="227" t="s">
        <v>250</v>
      </c>
      <c r="B57" s="82" t="s">
        <v>186</v>
      </c>
      <c r="C57" s="120"/>
      <c r="D57" s="83" t="s">
        <v>350</v>
      </c>
      <c r="E57" s="122" t="s">
        <v>19</v>
      </c>
      <c r="F57" s="526">
        <f>E13*200</f>
        <v>0</v>
      </c>
      <c r="G57" s="526"/>
      <c r="H57" s="529">
        <f t="shared" si="2"/>
        <v>0</v>
      </c>
      <c r="I57" s="64"/>
      <c r="J57" s="63"/>
    </row>
    <row r="58" spans="1:10" s="7" customFormat="1" ht="70.5" customHeight="1" x14ac:dyDescent="0.2">
      <c r="A58" s="316" t="s">
        <v>250</v>
      </c>
      <c r="B58" s="82" t="s">
        <v>187</v>
      </c>
      <c r="C58" s="119"/>
      <c r="D58" s="83" t="s">
        <v>304</v>
      </c>
      <c r="E58" s="207" t="s">
        <v>142</v>
      </c>
      <c r="F58" s="528">
        <f>E13</f>
        <v>0</v>
      </c>
      <c r="G58" s="528"/>
      <c r="H58" s="529">
        <f t="shared" si="2"/>
        <v>0</v>
      </c>
      <c r="I58" s="64"/>
      <c r="J58" s="63"/>
    </row>
    <row r="59" spans="1:10" s="7" customFormat="1" ht="31.5" x14ac:dyDescent="0.2">
      <c r="A59" s="227" t="s">
        <v>250</v>
      </c>
      <c r="B59" s="82" t="s">
        <v>287</v>
      </c>
      <c r="C59" s="120"/>
      <c r="D59" s="83" t="s">
        <v>249</v>
      </c>
      <c r="E59" s="207" t="s">
        <v>142</v>
      </c>
      <c r="F59" s="526">
        <f>E13</f>
        <v>0</v>
      </c>
      <c r="G59" s="526"/>
      <c r="H59" s="529">
        <f t="shared" si="2"/>
        <v>0</v>
      </c>
      <c r="I59" s="64"/>
      <c r="J59" s="63"/>
    </row>
    <row r="60" spans="1:10" s="7" customFormat="1" x14ac:dyDescent="0.2">
      <c r="A60" s="89"/>
      <c r="B60" s="89">
        <v>4</v>
      </c>
      <c r="C60" s="90"/>
      <c r="D60" s="618" t="s">
        <v>438</v>
      </c>
      <c r="E60" s="619"/>
      <c r="F60" s="619"/>
      <c r="G60" s="440"/>
      <c r="H60" s="616">
        <f>SUM(H61:H73)</f>
        <v>0</v>
      </c>
      <c r="I60" s="64"/>
      <c r="J60" s="63"/>
    </row>
    <row r="61" spans="1:10" s="7" customFormat="1" ht="58.5" customHeight="1" x14ac:dyDescent="0.25">
      <c r="A61" s="411" t="s">
        <v>250</v>
      </c>
      <c r="B61" s="82" t="s">
        <v>456</v>
      </c>
      <c r="C61" s="1"/>
      <c r="D61" s="441" t="s">
        <v>444</v>
      </c>
      <c r="E61" s="84" t="s">
        <v>19</v>
      </c>
      <c r="F61" s="526">
        <f>G13*30</f>
        <v>810</v>
      </c>
      <c r="G61" s="526"/>
      <c r="H61" s="529">
        <f t="shared" si="2"/>
        <v>0</v>
      </c>
      <c r="I61" s="117"/>
      <c r="J61" s="117"/>
    </row>
    <row r="62" spans="1:10" s="7" customFormat="1" ht="86.25" customHeight="1" x14ac:dyDescent="0.25">
      <c r="A62" s="411" t="s">
        <v>250</v>
      </c>
      <c r="B62" s="82" t="s">
        <v>457</v>
      </c>
      <c r="C62" s="1"/>
      <c r="D62" s="94" t="s">
        <v>439</v>
      </c>
      <c r="E62" s="84" t="s">
        <v>142</v>
      </c>
      <c r="F62" s="526">
        <f>G13</f>
        <v>27</v>
      </c>
      <c r="G62" s="526"/>
      <c r="H62" s="529">
        <f t="shared" si="2"/>
        <v>0</v>
      </c>
      <c r="I62" s="117"/>
      <c r="J62" s="117"/>
    </row>
    <row r="63" spans="1:10" s="7" customFormat="1" ht="51" customHeight="1" x14ac:dyDescent="0.25">
      <c r="A63" s="411" t="s">
        <v>250</v>
      </c>
      <c r="B63" s="82" t="s">
        <v>458</v>
      </c>
      <c r="C63" s="1"/>
      <c r="D63" s="441" t="s">
        <v>510</v>
      </c>
      <c r="E63" s="82" t="s">
        <v>52</v>
      </c>
      <c r="F63" s="526">
        <f>G13*10.25</f>
        <v>276.75</v>
      </c>
      <c r="G63" s="526"/>
      <c r="H63" s="529">
        <f t="shared" si="2"/>
        <v>0</v>
      </c>
      <c r="I63" s="64"/>
      <c r="J63" s="63"/>
    </row>
    <row r="64" spans="1:10" s="7" customFormat="1" ht="70.5" customHeight="1" x14ac:dyDescent="0.25">
      <c r="A64" s="411" t="s">
        <v>250</v>
      </c>
      <c r="B64" s="82" t="s">
        <v>459</v>
      </c>
      <c r="C64" s="1"/>
      <c r="D64" s="121" t="s">
        <v>532</v>
      </c>
      <c r="E64" s="84" t="s">
        <v>23</v>
      </c>
      <c r="F64" s="526">
        <f>G13*(1.4+1.4+1.4+1.4+0.7+0.7+0.7+0.7+3+3+1.2+1.2)*0.4*0.3</f>
        <v>54.43</v>
      </c>
      <c r="G64" s="526"/>
      <c r="H64" s="529">
        <f t="shared" si="2"/>
        <v>0</v>
      </c>
      <c r="I64" s="64"/>
      <c r="J64" s="63"/>
    </row>
    <row r="65" spans="1:11" ht="59.25" customHeight="1" x14ac:dyDescent="0.25">
      <c r="A65" s="411" t="s">
        <v>250</v>
      </c>
      <c r="B65" s="82" t="s">
        <v>460</v>
      </c>
      <c r="D65" s="121" t="s">
        <v>306</v>
      </c>
      <c r="E65" s="84" t="s">
        <v>23</v>
      </c>
      <c r="F65" s="526">
        <f>F64</f>
        <v>54.43</v>
      </c>
      <c r="G65" s="526"/>
      <c r="H65" s="529">
        <f t="shared" si="2"/>
        <v>0</v>
      </c>
      <c r="I65" s="72"/>
      <c r="J65" s="44"/>
      <c r="K65" s="10"/>
    </row>
    <row r="66" spans="1:11" s="9" customFormat="1" ht="86.25" customHeight="1" x14ac:dyDescent="0.25">
      <c r="A66" s="411" t="s">
        <v>250</v>
      </c>
      <c r="B66" s="82" t="s">
        <v>461</v>
      </c>
      <c r="C66" s="1"/>
      <c r="D66" s="441" t="s">
        <v>534</v>
      </c>
      <c r="E66" s="84" t="s">
        <v>23</v>
      </c>
      <c r="F66" s="526">
        <f>F61*0.4*0.3</f>
        <v>97.2</v>
      </c>
      <c r="G66" s="526"/>
      <c r="H66" s="529">
        <f t="shared" si="2"/>
        <v>0</v>
      </c>
      <c r="I66" s="70"/>
      <c r="J66" s="5"/>
    </row>
    <row r="67" spans="1:11" s="9" customFormat="1" ht="57.75" customHeight="1" x14ac:dyDescent="0.25">
      <c r="A67" s="411" t="s">
        <v>250</v>
      </c>
      <c r="B67" s="82" t="s">
        <v>462</v>
      </c>
      <c r="C67" s="1"/>
      <c r="D67" s="121" t="s">
        <v>307</v>
      </c>
      <c r="E67" s="84" t="s">
        <v>23</v>
      </c>
      <c r="F67" s="526">
        <f>F66</f>
        <v>97.2</v>
      </c>
      <c r="G67" s="526"/>
      <c r="H67" s="529">
        <f t="shared" si="2"/>
        <v>0</v>
      </c>
      <c r="I67" s="70"/>
    </row>
    <row r="68" spans="1:11" s="9" customFormat="1" ht="42.75" customHeight="1" x14ac:dyDescent="0.25">
      <c r="A68" s="411" t="s">
        <v>250</v>
      </c>
      <c r="B68" s="82" t="s">
        <v>463</v>
      </c>
      <c r="C68" s="1"/>
      <c r="D68" s="121" t="s">
        <v>314</v>
      </c>
      <c r="E68" s="84" t="s">
        <v>19</v>
      </c>
      <c r="F68" s="526">
        <f>G13*20</f>
        <v>540</v>
      </c>
      <c r="G68" s="526"/>
      <c r="H68" s="529">
        <f t="shared" si="2"/>
        <v>0</v>
      </c>
      <c r="I68" s="70"/>
    </row>
    <row r="69" spans="1:11" s="8" customFormat="1" ht="54" customHeight="1" x14ac:dyDescent="0.25">
      <c r="A69" s="411" t="s">
        <v>250</v>
      </c>
      <c r="B69" s="82" t="s">
        <v>464</v>
      </c>
      <c r="C69" s="1"/>
      <c r="D69" s="121" t="s">
        <v>315</v>
      </c>
      <c r="E69" s="84" t="s">
        <v>142</v>
      </c>
      <c r="F69" s="526">
        <f>G13</f>
        <v>27</v>
      </c>
      <c r="G69" s="526"/>
      <c r="H69" s="529">
        <f t="shared" si="2"/>
        <v>0</v>
      </c>
      <c r="I69" s="68"/>
    </row>
    <row r="70" spans="1:11" s="9" customFormat="1" ht="63" customHeight="1" x14ac:dyDescent="0.25">
      <c r="A70" s="411" t="s">
        <v>250</v>
      </c>
      <c r="B70" s="82" t="s">
        <v>465</v>
      </c>
      <c r="C70" s="1"/>
      <c r="D70" s="121" t="s">
        <v>346</v>
      </c>
      <c r="E70" s="122" t="s">
        <v>19</v>
      </c>
      <c r="F70" s="526">
        <f>G13*14.7</f>
        <v>396.9</v>
      </c>
      <c r="G70" s="526"/>
      <c r="H70" s="529">
        <f t="shared" si="2"/>
        <v>0</v>
      </c>
      <c r="I70" s="70"/>
    </row>
    <row r="71" spans="1:11" s="9" customFormat="1" ht="69.75" customHeight="1" x14ac:dyDescent="0.25">
      <c r="A71" s="411" t="s">
        <v>250</v>
      </c>
      <c r="B71" s="82" t="s">
        <v>466</v>
      </c>
      <c r="C71" s="1"/>
      <c r="D71" s="441" t="s">
        <v>347</v>
      </c>
      <c r="E71" s="207" t="s">
        <v>142</v>
      </c>
      <c r="F71" s="528">
        <f>G13</f>
        <v>27</v>
      </c>
      <c r="G71" s="528"/>
      <c r="H71" s="529">
        <f t="shared" si="2"/>
        <v>0</v>
      </c>
      <c r="I71" s="70"/>
    </row>
    <row r="72" spans="1:11" s="9" customFormat="1" ht="45.75" customHeight="1" x14ac:dyDescent="0.25">
      <c r="A72" s="411" t="s">
        <v>250</v>
      </c>
      <c r="B72" s="82" t="s">
        <v>467</v>
      </c>
      <c r="C72" s="1"/>
      <c r="D72" s="441" t="s">
        <v>316</v>
      </c>
      <c r="E72" s="122" t="s">
        <v>142</v>
      </c>
      <c r="F72" s="526">
        <f>G13</f>
        <v>27</v>
      </c>
      <c r="G72" s="526"/>
      <c r="H72" s="529">
        <f t="shared" si="2"/>
        <v>0</v>
      </c>
      <c r="I72" s="70"/>
    </row>
    <row r="73" spans="1:11" s="9" customFormat="1" ht="48.75" customHeight="1" x14ac:dyDescent="0.25">
      <c r="A73" s="411" t="s">
        <v>250</v>
      </c>
      <c r="B73" s="82" t="s">
        <v>468</v>
      </c>
      <c r="C73" s="1"/>
      <c r="D73" s="441" t="s">
        <v>317</v>
      </c>
      <c r="E73" s="207" t="s">
        <v>142</v>
      </c>
      <c r="F73" s="528">
        <f>G13</f>
        <v>27</v>
      </c>
      <c r="G73" s="528"/>
      <c r="H73" s="529">
        <f t="shared" si="2"/>
        <v>0</v>
      </c>
      <c r="I73" s="70"/>
    </row>
    <row r="74" spans="1:11" s="9" customFormat="1" ht="53.25" customHeight="1" x14ac:dyDescent="0.25">
      <c r="A74" s="270"/>
      <c r="B74" s="1"/>
      <c r="C74" s="1"/>
      <c r="D74" s="2"/>
      <c r="E74" s="1"/>
      <c r="F74" s="3"/>
      <c r="G74" s="1"/>
      <c r="I74" s="70"/>
    </row>
  </sheetData>
  <mergeCells count="31">
    <mergeCell ref="E12:F12"/>
    <mergeCell ref="E13:F13"/>
    <mergeCell ref="A2:H5"/>
    <mergeCell ref="D6:H7"/>
    <mergeCell ref="A10:D11"/>
    <mergeCell ref="A6:C7"/>
    <mergeCell ref="A8:C9"/>
    <mergeCell ref="D8:H9"/>
    <mergeCell ref="E10:H10"/>
    <mergeCell ref="E11:H11"/>
    <mergeCell ref="D18:D19"/>
    <mergeCell ref="E18:E19"/>
    <mergeCell ref="F18:F19"/>
    <mergeCell ref="A14:D14"/>
    <mergeCell ref="A15:D16"/>
    <mergeCell ref="D42:F42"/>
    <mergeCell ref="D60:F60"/>
    <mergeCell ref="A12:D13"/>
    <mergeCell ref="G12:H12"/>
    <mergeCell ref="G13:H13"/>
    <mergeCell ref="E14:F14"/>
    <mergeCell ref="E15:F15"/>
    <mergeCell ref="E16:F16"/>
    <mergeCell ref="G14:H14"/>
    <mergeCell ref="G15:H15"/>
    <mergeCell ref="A18:A19"/>
    <mergeCell ref="G16:H16"/>
    <mergeCell ref="A17:H17"/>
    <mergeCell ref="G18:H18"/>
    <mergeCell ref="D20:F20"/>
    <mergeCell ref="B18:B19"/>
  </mergeCells>
  <printOptions horizontalCentered="1"/>
  <pageMargins left="0.47244094488188981" right="0.19685039370078741" top="0.27559055118110237" bottom="0.19685039370078741" header="0.51181102362204722" footer="0.51181102362204722"/>
  <pageSetup paperSize="9" scale="65" firstPageNumber="0" fitToWidth="2" fitToHeight="3" orientation="portrait" r:id="rId1"/>
  <headerFooter alignWithMargins="0"/>
  <rowBreaks count="2" manualBreakCount="2">
    <brk id="41" max="7" man="1"/>
    <brk id="59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K1107"/>
  <sheetViews>
    <sheetView view="pageBreakPreview" zoomScale="90" zoomScaleNormal="100" zoomScaleSheetLayoutView="90" workbookViewId="0">
      <selection activeCell="C78" sqref="C78"/>
    </sheetView>
  </sheetViews>
  <sheetFormatPr defaultRowHeight="12.75" x14ac:dyDescent="0.2"/>
  <cols>
    <col min="1" max="1" width="3.85546875" style="11" customWidth="1"/>
    <col min="2" max="2" width="52.140625" style="11" customWidth="1"/>
    <col min="3" max="3" width="11.140625" style="50" customWidth="1"/>
    <col min="4" max="4" width="11.28515625" style="50" customWidth="1"/>
    <col min="5" max="5" width="9" style="11" customWidth="1"/>
    <col min="6" max="6" width="9.28515625" style="11" customWidth="1"/>
    <col min="7" max="7" width="10.85546875" style="11" customWidth="1"/>
    <col min="8" max="8" width="10.42578125" style="11" customWidth="1"/>
    <col min="9" max="9" width="12" style="50" customWidth="1"/>
    <col min="10" max="10" width="7.140625" style="11" customWidth="1"/>
    <col min="11" max="11" width="9.140625" style="11"/>
    <col min="12" max="12" width="9.42578125" style="11" bestFit="1" customWidth="1"/>
    <col min="13" max="16384" width="9.140625" style="11"/>
  </cols>
  <sheetData>
    <row r="1" spans="2:10" s="47" customFormat="1" ht="19.5" customHeight="1" x14ac:dyDescent="0.2">
      <c r="B1" s="530" t="s">
        <v>357</v>
      </c>
      <c r="C1" s="531" t="str">
        <f>'Planilha Orçamentária'!B21</f>
        <v>1.1</v>
      </c>
      <c r="D1" s="685" t="s">
        <v>30</v>
      </c>
      <c r="E1" s="685"/>
      <c r="F1" s="685"/>
      <c r="G1" s="685"/>
      <c r="H1" s="685"/>
      <c r="I1" s="685"/>
    </row>
    <row r="2" spans="2:10" s="47" customFormat="1" ht="15" customHeight="1" x14ac:dyDescent="0.2">
      <c r="B2" s="673" t="s">
        <v>134</v>
      </c>
      <c r="C2" s="674"/>
      <c r="D2" s="674"/>
      <c r="E2" s="674"/>
      <c r="F2" s="674"/>
      <c r="G2" s="675"/>
      <c r="H2" s="670" t="s">
        <v>494</v>
      </c>
      <c r="I2" s="671"/>
    </row>
    <row r="3" spans="2:10" s="47" customFormat="1" ht="17.25" customHeight="1" x14ac:dyDescent="0.2">
      <c r="B3" s="721" t="s">
        <v>318</v>
      </c>
      <c r="C3" s="721"/>
      <c r="D3" s="721"/>
      <c r="E3" s="721"/>
      <c r="F3" s="721"/>
      <c r="G3" s="721"/>
      <c r="H3" s="12" t="s">
        <v>31</v>
      </c>
      <c r="I3" s="46" t="s">
        <v>142</v>
      </c>
    </row>
    <row r="4" spans="2:10" s="47" customFormat="1" ht="18.75" customHeight="1" x14ac:dyDescent="0.2">
      <c r="B4" s="658" t="s">
        <v>32</v>
      </c>
      <c r="C4" s="658"/>
      <c r="D4" s="658"/>
      <c r="E4" s="658"/>
      <c r="F4" s="658"/>
      <c r="G4" s="658"/>
      <c r="H4" s="658"/>
      <c r="I4" s="658"/>
    </row>
    <row r="5" spans="2:10" ht="27.75" customHeight="1" x14ac:dyDescent="0.2">
      <c r="B5" s="13" t="s">
        <v>33</v>
      </c>
      <c r="C5" s="14" t="s">
        <v>34</v>
      </c>
      <c r="D5" s="14" t="s">
        <v>6</v>
      </c>
      <c r="E5" s="14" t="s">
        <v>35</v>
      </c>
      <c r="F5" s="14" t="s">
        <v>36</v>
      </c>
      <c r="G5" s="14" t="s">
        <v>37</v>
      </c>
      <c r="H5" s="14" t="s">
        <v>38</v>
      </c>
      <c r="I5" s="15" t="s">
        <v>39</v>
      </c>
    </row>
    <row r="6" spans="2:10" ht="21" customHeight="1" x14ac:dyDescent="0.2">
      <c r="B6" s="16" t="s">
        <v>40</v>
      </c>
      <c r="C6" s="31" t="s">
        <v>41</v>
      </c>
      <c r="D6" s="31">
        <v>2.5</v>
      </c>
      <c r="E6" s="18">
        <v>1</v>
      </c>
      <c r="F6" s="18"/>
      <c r="G6" s="535">
        <f>INSUMOS!E59</f>
        <v>67.5</v>
      </c>
      <c r="H6" s="18"/>
      <c r="I6" s="536">
        <f>D6*E6*G6+D6*F6*H6</f>
        <v>168.75</v>
      </c>
    </row>
    <row r="7" spans="2:10" ht="18.75" customHeight="1" x14ac:dyDescent="0.2">
      <c r="B7" s="16" t="s">
        <v>42</v>
      </c>
      <c r="C7" s="31" t="s">
        <v>41</v>
      </c>
      <c r="D7" s="31">
        <v>2.5</v>
      </c>
      <c r="E7" s="18">
        <v>1</v>
      </c>
      <c r="F7" s="18"/>
      <c r="G7" s="535">
        <f>INSUMOS!E54</f>
        <v>15.78</v>
      </c>
      <c r="H7" s="18"/>
      <c r="I7" s="536">
        <f>D7*E7*G7+D7*F7*H7</f>
        <v>39.450000000000003</v>
      </c>
    </row>
    <row r="8" spans="2:10" ht="18" customHeight="1" x14ac:dyDescent="0.2">
      <c r="B8" s="659" t="s">
        <v>43</v>
      </c>
      <c r="C8" s="659"/>
      <c r="D8" s="659"/>
      <c r="E8" s="659"/>
      <c r="F8" s="659"/>
      <c r="G8" s="659"/>
      <c r="H8" s="659"/>
      <c r="I8" s="537">
        <f>SUM(I6:I7)</f>
        <v>208.2</v>
      </c>
    </row>
    <row r="9" spans="2:10" s="47" customFormat="1" ht="20.25" customHeight="1" x14ac:dyDescent="0.2">
      <c r="B9" s="658" t="s">
        <v>44</v>
      </c>
      <c r="C9" s="658"/>
      <c r="D9" s="658"/>
      <c r="E9" s="658"/>
      <c r="F9" s="658"/>
      <c r="G9" s="658"/>
      <c r="H9" s="658"/>
      <c r="I9" s="658"/>
    </row>
    <row r="10" spans="2:10" x14ac:dyDescent="0.2">
      <c r="B10" s="336" t="s">
        <v>33</v>
      </c>
      <c r="C10" s="24" t="s">
        <v>34</v>
      </c>
      <c r="D10" s="24" t="s">
        <v>6</v>
      </c>
      <c r="E10" s="25"/>
      <c r="F10" s="25"/>
      <c r="G10" s="337"/>
      <c r="H10" s="24" t="s">
        <v>45</v>
      </c>
      <c r="I10" s="36" t="s">
        <v>39</v>
      </c>
    </row>
    <row r="11" spans="2:10" x14ac:dyDescent="0.2">
      <c r="B11" s="338"/>
      <c r="C11" s="24"/>
      <c r="D11" s="24"/>
      <c r="E11" s="25"/>
      <c r="F11" s="25"/>
      <c r="G11" s="25"/>
      <c r="H11" s="24"/>
      <c r="I11" s="36"/>
    </row>
    <row r="12" spans="2:10" ht="12.75" customHeight="1" x14ac:dyDescent="0.2">
      <c r="B12" s="669" t="s">
        <v>43</v>
      </c>
      <c r="C12" s="669"/>
      <c r="D12" s="669"/>
      <c r="E12" s="669"/>
      <c r="F12" s="669"/>
      <c r="G12" s="669"/>
      <c r="H12" s="669"/>
      <c r="I12" s="36"/>
    </row>
    <row r="13" spans="2:10" s="47" customFormat="1" ht="22.5" customHeight="1" x14ac:dyDescent="0.2">
      <c r="B13" s="658" t="s">
        <v>46</v>
      </c>
      <c r="C13" s="658"/>
      <c r="D13" s="658"/>
      <c r="E13" s="658"/>
      <c r="F13" s="658"/>
      <c r="G13" s="658"/>
      <c r="H13" s="658"/>
      <c r="I13" s="658"/>
    </row>
    <row r="14" spans="2:10" s="47" customFormat="1" ht="15.95" customHeight="1" x14ac:dyDescent="0.2">
      <c r="B14" s="339" t="s">
        <v>33</v>
      </c>
      <c r="C14" s="20" t="s">
        <v>34</v>
      </c>
      <c r="D14" s="20" t="s">
        <v>6</v>
      </c>
      <c r="E14" s="21"/>
      <c r="F14" s="21"/>
      <c r="G14" s="21"/>
      <c r="H14" s="20" t="s">
        <v>45</v>
      </c>
      <c r="I14" s="30" t="s">
        <v>39</v>
      </c>
    </row>
    <row r="15" spans="2:10" s="47" customFormat="1" ht="15.95" customHeight="1" x14ac:dyDescent="0.2">
      <c r="B15" s="80"/>
      <c r="C15" s="20"/>
      <c r="D15" s="20"/>
      <c r="E15" s="20"/>
      <c r="F15" s="20"/>
      <c r="G15" s="20"/>
      <c r="H15" s="20"/>
      <c r="I15" s="30"/>
      <c r="J15" s="65"/>
    </row>
    <row r="16" spans="2:10" s="47" customFormat="1" ht="15.95" customHeight="1" x14ac:dyDescent="0.2">
      <c r="B16" s="669" t="s">
        <v>43</v>
      </c>
      <c r="C16" s="669"/>
      <c r="D16" s="669"/>
      <c r="E16" s="669"/>
      <c r="F16" s="669"/>
      <c r="G16" s="669"/>
      <c r="H16" s="669"/>
      <c r="I16" s="30"/>
    </row>
    <row r="17" spans="2:9" s="47" customFormat="1" ht="21.75" customHeight="1" x14ac:dyDescent="0.2">
      <c r="B17" s="658" t="s">
        <v>47</v>
      </c>
      <c r="C17" s="658"/>
      <c r="D17" s="658"/>
      <c r="E17" s="658"/>
      <c r="F17" s="658"/>
      <c r="G17" s="658"/>
      <c r="H17" s="658"/>
      <c r="I17" s="658"/>
    </row>
    <row r="18" spans="2:9" s="47" customFormat="1" ht="15.95" customHeight="1" x14ac:dyDescent="0.2">
      <c r="B18" s="340" t="s">
        <v>33</v>
      </c>
      <c r="C18" s="20" t="s">
        <v>34</v>
      </c>
      <c r="D18" s="20" t="s">
        <v>6</v>
      </c>
      <c r="E18" s="21"/>
      <c r="F18" s="21"/>
      <c r="G18" s="21"/>
      <c r="H18" s="20" t="s">
        <v>45</v>
      </c>
      <c r="I18" s="30" t="s">
        <v>39</v>
      </c>
    </row>
    <row r="19" spans="2:9" s="47" customFormat="1" ht="15.95" customHeight="1" x14ac:dyDescent="0.2">
      <c r="B19" s="201" t="s">
        <v>48</v>
      </c>
      <c r="C19" s="20" t="s">
        <v>41</v>
      </c>
      <c r="D19" s="20">
        <v>5</v>
      </c>
      <c r="E19" s="21"/>
      <c r="F19" s="21"/>
      <c r="G19" s="21"/>
      <c r="H19" s="535">
        <f>INSUMOS!E13</f>
        <v>7.81</v>
      </c>
      <c r="I19" s="536">
        <f>D19*H19</f>
        <v>39.049999999999997</v>
      </c>
    </row>
    <row r="20" spans="2:9" s="47" customFormat="1" ht="15.95" customHeight="1" x14ac:dyDescent="0.2">
      <c r="B20" s="714"/>
      <c r="C20" s="714"/>
      <c r="D20" s="714"/>
      <c r="E20" s="714"/>
      <c r="F20" s="714"/>
      <c r="G20" s="714"/>
      <c r="H20" s="714"/>
      <c r="I20" s="30"/>
    </row>
    <row r="21" spans="2:9" s="47" customFormat="1" ht="15.95" customHeight="1" x14ac:dyDescent="0.2">
      <c r="B21" s="669" t="s">
        <v>43</v>
      </c>
      <c r="C21" s="669"/>
      <c r="D21" s="669"/>
      <c r="E21" s="669"/>
      <c r="F21" s="669"/>
      <c r="G21" s="669"/>
      <c r="H21" s="669"/>
      <c r="I21" s="537">
        <f>SUM(I19:I20)</f>
        <v>39.049999999999997</v>
      </c>
    </row>
    <row r="22" spans="2:9" s="47" customFormat="1" ht="15.95" customHeight="1" x14ac:dyDescent="0.2">
      <c r="B22" s="341" t="s">
        <v>49</v>
      </c>
      <c r="C22" s="321">
        <v>1</v>
      </c>
      <c r="D22" s="722" t="s">
        <v>50</v>
      </c>
      <c r="E22" s="722"/>
      <c r="F22" s="722"/>
      <c r="G22" s="722"/>
      <c r="H22" s="722"/>
      <c r="I22" s="537">
        <f>I21+I16+I12+I8</f>
        <v>247.25</v>
      </c>
    </row>
    <row r="23" spans="2:9" s="47" customFormat="1" ht="15.95" customHeight="1" x14ac:dyDescent="0.2">
      <c r="B23" s="665"/>
      <c r="C23" s="666"/>
      <c r="D23" s="666"/>
      <c r="E23" s="666"/>
      <c r="F23" s="666"/>
      <c r="G23" s="666"/>
      <c r="H23" s="667"/>
      <c r="I23" s="537">
        <f>I22/C22</f>
        <v>247.25</v>
      </c>
    </row>
    <row r="24" spans="2:9" s="47" customFormat="1" ht="15.95" customHeight="1" x14ac:dyDescent="0.2">
      <c r="B24" s="342" t="s">
        <v>135</v>
      </c>
      <c r="C24" s="477">
        <f>BDI!C$36</f>
        <v>25</v>
      </c>
      <c r="D24" s="343" t="s">
        <v>103</v>
      </c>
      <c r="E24" s="344"/>
      <c r="F24" s="344"/>
      <c r="G24" s="344"/>
      <c r="H24" s="345"/>
      <c r="I24" s="536">
        <f>C24/100*I23</f>
        <v>61.81</v>
      </c>
    </row>
    <row r="25" spans="2:9" s="47" customFormat="1" ht="17.25" customHeight="1" thickBot="1" x14ac:dyDescent="0.25">
      <c r="B25" s="723" t="s">
        <v>51</v>
      </c>
      <c r="C25" s="724"/>
      <c r="D25" s="723"/>
      <c r="E25" s="723"/>
      <c r="F25" s="723"/>
      <c r="G25" s="723"/>
      <c r="H25" s="723"/>
      <c r="I25" s="506">
        <f>SUM(I23:I24)</f>
        <v>309.06</v>
      </c>
    </row>
    <row r="26" spans="2:9" ht="13.5" thickBot="1" x14ac:dyDescent="0.25">
      <c r="B26" s="23"/>
      <c r="C26" s="48"/>
      <c r="D26" s="48"/>
      <c r="E26" s="23"/>
      <c r="F26" s="23"/>
      <c r="G26" s="23"/>
      <c r="H26" s="23"/>
      <c r="I26" s="48"/>
    </row>
    <row r="27" spans="2:9" s="47" customFormat="1" ht="21.75" customHeight="1" x14ac:dyDescent="0.2">
      <c r="B27" s="530" t="s">
        <v>357</v>
      </c>
      <c r="C27" s="531" t="s">
        <v>12</v>
      </c>
      <c r="D27" s="685" t="s">
        <v>30</v>
      </c>
      <c r="E27" s="685"/>
      <c r="F27" s="685"/>
      <c r="G27" s="685"/>
      <c r="H27" s="685"/>
      <c r="I27" s="685"/>
    </row>
    <row r="28" spans="2:9" s="47" customFormat="1" ht="22.5" customHeight="1" x14ac:dyDescent="0.2">
      <c r="B28" s="673" t="s">
        <v>134</v>
      </c>
      <c r="C28" s="674"/>
      <c r="D28" s="674"/>
      <c r="E28" s="674"/>
      <c r="F28" s="674"/>
      <c r="G28" s="675"/>
      <c r="H28" s="670" t="s">
        <v>494</v>
      </c>
      <c r="I28" s="671"/>
    </row>
    <row r="29" spans="2:9" s="47" customFormat="1" ht="30" customHeight="1" x14ac:dyDescent="0.2">
      <c r="B29" s="721" t="s">
        <v>319</v>
      </c>
      <c r="C29" s="721"/>
      <c r="D29" s="721"/>
      <c r="E29" s="721"/>
      <c r="F29" s="721"/>
      <c r="G29" s="721"/>
      <c r="H29" s="12" t="s">
        <v>31</v>
      </c>
      <c r="I29" s="46" t="s">
        <v>142</v>
      </c>
    </row>
    <row r="30" spans="2:9" s="47" customFormat="1" ht="20.25" customHeight="1" x14ac:dyDescent="0.2">
      <c r="B30" s="658" t="s">
        <v>32</v>
      </c>
      <c r="C30" s="658"/>
      <c r="D30" s="658"/>
      <c r="E30" s="658"/>
      <c r="F30" s="658"/>
      <c r="G30" s="658"/>
      <c r="H30" s="658"/>
      <c r="I30" s="658"/>
    </row>
    <row r="31" spans="2:9" ht="28.5" customHeight="1" x14ac:dyDescent="0.2">
      <c r="B31" s="13" t="s">
        <v>33</v>
      </c>
      <c r="C31" s="14" t="s">
        <v>34</v>
      </c>
      <c r="D31" s="14" t="s">
        <v>6</v>
      </c>
      <c r="E31" s="14" t="s">
        <v>35</v>
      </c>
      <c r="F31" s="14" t="s">
        <v>36</v>
      </c>
      <c r="G31" s="14" t="s">
        <v>37</v>
      </c>
      <c r="H31" s="14" t="s">
        <v>38</v>
      </c>
      <c r="I31" s="15" t="s">
        <v>39</v>
      </c>
    </row>
    <row r="32" spans="2:9" s="47" customFormat="1" ht="15" customHeight="1" x14ac:dyDescent="0.2">
      <c r="B32" s="35" t="s">
        <v>40</v>
      </c>
      <c r="C32" s="28" t="s">
        <v>41</v>
      </c>
      <c r="D32" s="28">
        <v>6</v>
      </c>
      <c r="E32" s="20">
        <v>1</v>
      </c>
      <c r="F32" s="20"/>
      <c r="G32" s="535">
        <f>INSUMOS!E59</f>
        <v>67.5</v>
      </c>
      <c r="H32" s="20"/>
      <c r="I32" s="536">
        <f>D32*E32*G32+D32*F32*H32</f>
        <v>405</v>
      </c>
    </row>
    <row r="33" spans="2:10" s="47" customFormat="1" ht="15" customHeight="1" x14ac:dyDescent="0.2">
      <c r="B33" s="35" t="s">
        <v>42</v>
      </c>
      <c r="C33" s="28" t="s">
        <v>41</v>
      </c>
      <c r="D33" s="28">
        <v>6</v>
      </c>
      <c r="E33" s="20">
        <v>1</v>
      </c>
      <c r="F33" s="20"/>
      <c r="G33" s="535">
        <f>INSUMOS!E54</f>
        <v>15.78</v>
      </c>
      <c r="H33" s="20"/>
      <c r="I33" s="536">
        <f>D33*E33*G33+D33*F33*H33</f>
        <v>94.68</v>
      </c>
    </row>
    <row r="34" spans="2:10" s="47" customFormat="1" ht="15" customHeight="1" x14ac:dyDescent="0.2">
      <c r="B34" s="725" t="s">
        <v>43</v>
      </c>
      <c r="C34" s="725"/>
      <c r="D34" s="725"/>
      <c r="E34" s="725"/>
      <c r="F34" s="725"/>
      <c r="G34" s="725"/>
      <c r="H34" s="725"/>
      <c r="I34" s="537">
        <f>SUM(I32:I33)</f>
        <v>499.68</v>
      </c>
    </row>
    <row r="35" spans="2:10" s="47" customFormat="1" ht="15" customHeight="1" x14ac:dyDescent="0.2">
      <c r="B35" s="658" t="s">
        <v>44</v>
      </c>
      <c r="C35" s="658"/>
      <c r="D35" s="658"/>
      <c r="E35" s="658"/>
      <c r="F35" s="658"/>
      <c r="G35" s="658"/>
      <c r="H35" s="658"/>
      <c r="I35" s="658"/>
    </row>
    <row r="36" spans="2:10" x14ac:dyDescent="0.2">
      <c r="B36" s="336" t="s">
        <v>33</v>
      </c>
      <c r="C36" s="24" t="s">
        <v>34</v>
      </c>
      <c r="D36" s="24" t="s">
        <v>6</v>
      </c>
      <c r="E36" s="25"/>
      <c r="F36" s="25"/>
      <c r="G36" s="25"/>
      <c r="H36" s="24" t="s">
        <v>45</v>
      </c>
      <c r="I36" s="36" t="s">
        <v>39</v>
      </c>
    </row>
    <row r="37" spans="2:10" x14ac:dyDescent="0.2">
      <c r="B37" s="338"/>
      <c r="C37" s="24"/>
      <c r="D37" s="24"/>
      <c r="E37" s="25"/>
      <c r="F37" s="25"/>
      <c r="G37" s="25"/>
      <c r="H37" s="24"/>
      <c r="I37" s="36"/>
    </row>
    <row r="38" spans="2:10" ht="12.75" customHeight="1" x14ac:dyDescent="0.2">
      <c r="B38" s="669" t="s">
        <v>43</v>
      </c>
      <c r="C38" s="669"/>
      <c r="D38" s="669"/>
      <c r="E38" s="669"/>
      <c r="F38" s="669"/>
      <c r="G38" s="669"/>
      <c r="H38" s="669"/>
      <c r="I38" s="36"/>
    </row>
    <row r="39" spans="2:10" s="47" customFormat="1" ht="12.75" customHeight="1" x14ac:dyDescent="0.2">
      <c r="B39" s="658" t="s">
        <v>46</v>
      </c>
      <c r="C39" s="658"/>
      <c r="D39" s="658"/>
      <c r="E39" s="658"/>
      <c r="F39" s="658"/>
      <c r="G39" s="658"/>
      <c r="H39" s="658"/>
      <c r="I39" s="658"/>
    </row>
    <row r="40" spans="2:10" ht="15" customHeight="1" x14ac:dyDescent="0.2">
      <c r="B40" s="339" t="s">
        <v>33</v>
      </c>
      <c r="C40" s="321" t="s">
        <v>34</v>
      </c>
      <c r="D40" s="20" t="s">
        <v>6</v>
      </c>
      <c r="E40" s="21"/>
      <c r="F40" s="21"/>
      <c r="G40" s="21"/>
      <c r="H40" s="20" t="s">
        <v>45</v>
      </c>
      <c r="I40" s="36" t="s">
        <v>39</v>
      </c>
    </row>
    <row r="41" spans="2:10" ht="15" customHeight="1" x14ac:dyDescent="0.2">
      <c r="B41" s="118"/>
      <c r="C41" s="59"/>
      <c r="D41" s="85"/>
      <c r="E41" s="21"/>
      <c r="F41" s="21"/>
      <c r="G41" s="21"/>
      <c r="H41" s="20"/>
      <c r="I41" s="36"/>
      <c r="J41" s="22"/>
    </row>
    <row r="42" spans="2:10" ht="15" customHeight="1" x14ac:dyDescent="0.2">
      <c r="B42" s="669" t="s">
        <v>43</v>
      </c>
      <c r="C42" s="708"/>
      <c r="D42" s="669"/>
      <c r="E42" s="669"/>
      <c r="F42" s="669"/>
      <c r="G42" s="669"/>
      <c r="H42" s="669"/>
      <c r="I42" s="36"/>
    </row>
    <row r="43" spans="2:10" s="47" customFormat="1" ht="18" customHeight="1" x14ac:dyDescent="0.2">
      <c r="B43" s="658" t="s">
        <v>47</v>
      </c>
      <c r="C43" s="658"/>
      <c r="D43" s="658"/>
      <c r="E43" s="658"/>
      <c r="F43" s="658"/>
      <c r="G43" s="658"/>
      <c r="H43" s="658"/>
      <c r="I43" s="658"/>
    </row>
    <row r="44" spans="2:10" ht="15" customHeight="1" x14ac:dyDescent="0.2">
      <c r="B44" s="340" t="s">
        <v>33</v>
      </c>
      <c r="C44" s="20" t="s">
        <v>34</v>
      </c>
      <c r="D44" s="20" t="s">
        <v>6</v>
      </c>
      <c r="E44" s="21"/>
      <c r="F44" s="21"/>
      <c r="G44" s="21"/>
      <c r="H44" s="20" t="s">
        <v>45</v>
      </c>
      <c r="I44" s="30" t="s">
        <v>39</v>
      </c>
    </row>
    <row r="45" spans="2:10" ht="15" customHeight="1" x14ac:dyDescent="0.2">
      <c r="B45" s="201" t="s">
        <v>48</v>
      </c>
      <c r="C45" s="20" t="s">
        <v>41</v>
      </c>
      <c r="D45" s="20">
        <v>12</v>
      </c>
      <c r="E45" s="21"/>
      <c r="F45" s="21"/>
      <c r="G45" s="21"/>
      <c r="H45" s="535">
        <f>INSUMOS!E13</f>
        <v>7.81</v>
      </c>
      <c r="I45" s="536">
        <f>D45*H45</f>
        <v>93.72</v>
      </c>
    </row>
    <row r="46" spans="2:10" ht="15" customHeight="1" x14ac:dyDescent="0.2">
      <c r="B46" s="714"/>
      <c r="C46" s="714"/>
      <c r="D46" s="714"/>
      <c r="E46" s="714"/>
      <c r="F46" s="714"/>
      <c r="G46" s="714"/>
      <c r="H46" s="714"/>
      <c r="I46" s="30"/>
    </row>
    <row r="47" spans="2:10" ht="15" customHeight="1" x14ac:dyDescent="0.2">
      <c r="B47" s="669" t="s">
        <v>43</v>
      </c>
      <c r="C47" s="669"/>
      <c r="D47" s="669"/>
      <c r="E47" s="669"/>
      <c r="F47" s="669"/>
      <c r="G47" s="669"/>
      <c r="H47" s="669"/>
      <c r="I47" s="537">
        <f>SUM(I45:I46)</f>
        <v>93.72</v>
      </c>
    </row>
    <row r="48" spans="2:10" ht="15" customHeight="1" x14ac:dyDescent="0.2">
      <c r="B48" s="346" t="s">
        <v>49</v>
      </c>
      <c r="C48" s="271">
        <v>1</v>
      </c>
      <c r="D48" s="682" t="s">
        <v>50</v>
      </c>
      <c r="E48" s="682"/>
      <c r="F48" s="682"/>
      <c r="G48" s="682"/>
      <c r="H48" s="682"/>
      <c r="I48" s="537">
        <f>I47+I42+I38+I34</f>
        <v>593.4</v>
      </c>
    </row>
    <row r="49" spans="2:9" ht="15" customHeight="1" x14ac:dyDescent="0.2">
      <c r="B49" s="733"/>
      <c r="C49" s="734"/>
      <c r="D49" s="734"/>
      <c r="E49" s="734"/>
      <c r="F49" s="734"/>
      <c r="G49" s="734"/>
      <c r="H49" s="735"/>
      <c r="I49" s="537">
        <f>I48/C48</f>
        <v>593.4</v>
      </c>
    </row>
    <row r="50" spans="2:9" ht="15" customHeight="1" x14ac:dyDescent="0.2">
      <c r="B50" s="342" t="s">
        <v>135</v>
      </c>
      <c r="C50" s="477">
        <f>BDI!C$36</f>
        <v>25</v>
      </c>
      <c r="D50" s="343" t="s">
        <v>103</v>
      </c>
      <c r="E50" s="344"/>
      <c r="F50" s="344"/>
      <c r="G50" s="344"/>
      <c r="H50" s="345"/>
      <c r="I50" s="536">
        <f>C50/100*I49</f>
        <v>148.35</v>
      </c>
    </row>
    <row r="51" spans="2:9" s="47" customFormat="1" ht="18" customHeight="1" thickBot="1" x14ac:dyDescent="0.25">
      <c r="B51" s="657" t="s">
        <v>51</v>
      </c>
      <c r="C51" s="657"/>
      <c r="D51" s="657"/>
      <c r="E51" s="657"/>
      <c r="F51" s="657"/>
      <c r="G51" s="657"/>
      <c r="H51" s="657"/>
      <c r="I51" s="506">
        <f>SUM(I49:I50)</f>
        <v>741.75</v>
      </c>
    </row>
    <row r="52" spans="2:9" s="47" customFormat="1" ht="15" customHeight="1" thickBot="1" x14ac:dyDescent="0.25">
      <c r="B52" s="447"/>
      <c r="C52" s="447"/>
      <c r="D52" s="447"/>
      <c r="E52" s="447"/>
      <c r="F52" s="447"/>
      <c r="G52" s="447"/>
      <c r="H52" s="447"/>
      <c r="I52" s="417"/>
    </row>
    <row r="53" spans="2:9" s="47" customFormat="1" ht="30" customHeight="1" x14ac:dyDescent="0.2">
      <c r="B53" s="530" t="s">
        <v>357</v>
      </c>
      <c r="C53" s="531" t="s">
        <v>354</v>
      </c>
      <c r="D53" s="726" t="s">
        <v>30</v>
      </c>
      <c r="E53" s="726"/>
      <c r="F53" s="726"/>
      <c r="G53" s="726"/>
      <c r="H53" s="726"/>
      <c r="I53" s="726"/>
    </row>
    <row r="54" spans="2:9" s="47" customFormat="1" ht="18" customHeight="1" x14ac:dyDescent="0.2">
      <c r="B54" s="673" t="s">
        <v>134</v>
      </c>
      <c r="C54" s="674"/>
      <c r="D54" s="674"/>
      <c r="E54" s="674"/>
      <c r="F54" s="674"/>
      <c r="G54" s="675"/>
      <c r="H54" s="670" t="s">
        <v>494</v>
      </c>
      <c r="I54" s="671"/>
    </row>
    <row r="55" spans="2:9" s="47" customFormat="1" ht="20.25" customHeight="1" x14ac:dyDescent="0.2">
      <c r="B55" s="727" t="s">
        <v>455</v>
      </c>
      <c r="C55" s="727"/>
      <c r="D55" s="727"/>
      <c r="E55" s="727"/>
      <c r="F55" s="727"/>
      <c r="G55" s="727"/>
      <c r="H55" s="478" t="s">
        <v>31</v>
      </c>
      <c r="I55" s="479" t="s">
        <v>52</v>
      </c>
    </row>
    <row r="56" spans="2:9" s="47" customFormat="1" ht="16.5" customHeight="1" x14ac:dyDescent="0.2">
      <c r="B56" s="658" t="s">
        <v>32</v>
      </c>
      <c r="C56" s="658"/>
      <c r="D56" s="658"/>
      <c r="E56" s="658"/>
      <c r="F56" s="658"/>
      <c r="G56" s="658"/>
      <c r="H56" s="658"/>
      <c r="I56" s="658"/>
    </row>
    <row r="57" spans="2:9" s="47" customFormat="1" ht="30" customHeight="1" x14ac:dyDescent="0.2">
      <c r="B57" s="442" t="s">
        <v>33</v>
      </c>
      <c r="C57" s="26" t="s">
        <v>5</v>
      </c>
      <c r="D57" s="18" t="s">
        <v>6</v>
      </c>
      <c r="E57" s="18" t="s">
        <v>35</v>
      </c>
      <c r="F57" s="18" t="s">
        <v>36</v>
      </c>
      <c r="G57" s="14" t="s">
        <v>37</v>
      </c>
      <c r="H57" s="14" t="s">
        <v>38</v>
      </c>
      <c r="I57" s="32" t="s">
        <v>39</v>
      </c>
    </row>
    <row r="58" spans="2:9" s="47" customFormat="1" ht="18" customHeight="1" x14ac:dyDescent="0.2">
      <c r="B58" s="16"/>
      <c r="C58" s="456"/>
      <c r="D58" s="457"/>
      <c r="E58" s="458"/>
      <c r="F58" s="458"/>
      <c r="G58" s="24"/>
      <c r="H58" s="458"/>
      <c r="I58" s="36"/>
    </row>
    <row r="59" spans="2:9" s="47" customFormat="1" ht="16.5" customHeight="1" x14ac:dyDescent="0.2">
      <c r="B59" s="659" t="s">
        <v>43</v>
      </c>
      <c r="C59" s="659"/>
      <c r="D59" s="659"/>
      <c r="E59" s="659"/>
      <c r="F59" s="659"/>
      <c r="G59" s="659"/>
      <c r="H59" s="659"/>
      <c r="I59" s="446"/>
    </row>
    <row r="60" spans="2:9" s="47" customFormat="1" ht="18" customHeight="1" x14ac:dyDescent="0.2">
      <c r="B60" s="660" t="s">
        <v>44</v>
      </c>
      <c r="C60" s="660"/>
      <c r="D60" s="660"/>
      <c r="E60" s="660"/>
      <c r="F60" s="660"/>
      <c r="G60" s="660"/>
      <c r="H60" s="660"/>
      <c r="I60" s="660"/>
    </row>
    <row r="61" spans="2:9" s="47" customFormat="1" ht="22.5" customHeight="1" x14ac:dyDescent="0.2">
      <c r="B61" s="527" t="s">
        <v>33</v>
      </c>
      <c r="C61" s="26" t="s">
        <v>5</v>
      </c>
      <c r="D61" s="26" t="s">
        <v>6</v>
      </c>
      <c r="E61" s="480"/>
      <c r="F61" s="480"/>
      <c r="G61" s="480"/>
      <c r="H61" s="26" t="s">
        <v>45</v>
      </c>
      <c r="I61" s="492" t="s">
        <v>39</v>
      </c>
    </row>
    <row r="62" spans="2:9" s="47" customFormat="1" ht="19.5" customHeight="1" x14ac:dyDescent="0.2">
      <c r="B62" s="483" t="s">
        <v>454</v>
      </c>
      <c r="C62" s="484" t="s">
        <v>53</v>
      </c>
      <c r="D62" s="539">
        <v>0.11</v>
      </c>
      <c r="E62" s="485"/>
      <c r="F62" s="481"/>
      <c r="G62" s="481"/>
      <c r="H62" s="547">
        <f>INSUMOS!E30</f>
        <v>7.44</v>
      </c>
      <c r="I62" s="548">
        <f>H62*D62</f>
        <v>0.82</v>
      </c>
    </row>
    <row r="63" spans="2:9" s="47" customFormat="1" ht="24" customHeight="1" x14ac:dyDescent="0.2">
      <c r="B63" s="486" t="s">
        <v>503</v>
      </c>
      <c r="C63" s="26" t="s">
        <v>19</v>
      </c>
      <c r="D63" s="538">
        <v>4</v>
      </c>
      <c r="E63" s="540"/>
      <c r="F63" s="488"/>
      <c r="G63" s="488"/>
      <c r="H63" s="547">
        <f>INSUMOS!E114</f>
        <v>6.19</v>
      </c>
      <c r="I63" s="548">
        <f>D63*H63</f>
        <v>24.76</v>
      </c>
    </row>
    <row r="64" spans="2:9" s="47" customFormat="1" ht="24" customHeight="1" x14ac:dyDescent="0.2">
      <c r="B64" s="486" t="s">
        <v>502</v>
      </c>
      <c r="C64" s="489" t="s">
        <v>19</v>
      </c>
      <c r="D64" s="543">
        <v>1</v>
      </c>
      <c r="E64" s="541"/>
      <c r="F64" s="487"/>
      <c r="G64" s="488"/>
      <c r="H64" s="547">
        <f>INSUMOS!E115</f>
        <v>4.29</v>
      </c>
      <c r="I64" s="548">
        <f>D64*H64</f>
        <v>4.29</v>
      </c>
    </row>
    <row r="65" spans="2:9" s="47" customFormat="1" ht="24" customHeight="1" x14ac:dyDescent="0.2">
      <c r="B65" s="486" t="s">
        <v>504</v>
      </c>
      <c r="C65" s="489" t="s">
        <v>52</v>
      </c>
      <c r="D65" s="543">
        <v>1</v>
      </c>
      <c r="E65" s="542"/>
      <c r="F65" s="488"/>
      <c r="G65" s="488"/>
      <c r="H65" s="547">
        <f>INSUMOS!E116</f>
        <v>275</v>
      </c>
      <c r="I65" s="548">
        <f>D65*H65</f>
        <v>275</v>
      </c>
    </row>
    <row r="66" spans="2:9" s="47" customFormat="1" ht="21" customHeight="1" x14ac:dyDescent="0.2">
      <c r="B66" s="661" t="s">
        <v>43</v>
      </c>
      <c r="C66" s="661"/>
      <c r="D66" s="661"/>
      <c r="E66" s="661"/>
      <c r="F66" s="661"/>
      <c r="G66" s="661"/>
      <c r="H66" s="661"/>
      <c r="I66" s="548">
        <f>SUM(I62:I65)</f>
        <v>304.87</v>
      </c>
    </row>
    <row r="67" spans="2:9" s="47" customFormat="1" ht="18" customHeight="1" x14ac:dyDescent="0.2">
      <c r="B67" s="660" t="s">
        <v>46</v>
      </c>
      <c r="C67" s="660"/>
      <c r="D67" s="660"/>
      <c r="E67" s="660"/>
      <c r="F67" s="660"/>
      <c r="G67" s="660"/>
      <c r="H67" s="660"/>
      <c r="I67" s="660"/>
    </row>
    <row r="68" spans="2:9" s="47" customFormat="1" ht="30" customHeight="1" x14ac:dyDescent="0.2">
      <c r="B68" s="490" t="s">
        <v>33</v>
      </c>
      <c r="C68" s="26" t="s">
        <v>5</v>
      </c>
      <c r="D68" s="26" t="s">
        <v>6</v>
      </c>
      <c r="E68" s="488"/>
      <c r="F68" s="488"/>
      <c r="G68" s="488"/>
      <c r="H68" s="26" t="s">
        <v>45</v>
      </c>
      <c r="I68" s="492" t="s">
        <v>39</v>
      </c>
    </row>
    <row r="69" spans="2:9" s="47" customFormat="1" ht="29.25" customHeight="1" x14ac:dyDescent="0.2">
      <c r="B69" s="486" t="s">
        <v>505</v>
      </c>
      <c r="C69" s="27" t="s">
        <v>23</v>
      </c>
      <c r="D69" s="545">
        <v>0.01</v>
      </c>
      <c r="E69" s="27"/>
      <c r="F69" s="27"/>
      <c r="G69" s="27"/>
      <c r="H69" s="539">
        <f>I103</f>
        <v>207.43</v>
      </c>
      <c r="I69" s="548">
        <f>D69*H69</f>
        <v>2.0699999999999998</v>
      </c>
    </row>
    <row r="70" spans="2:9" s="47" customFormat="1" ht="21.75" customHeight="1" x14ac:dyDescent="0.2">
      <c r="B70" s="661" t="s">
        <v>43</v>
      </c>
      <c r="C70" s="661"/>
      <c r="D70" s="661"/>
      <c r="E70" s="661"/>
      <c r="F70" s="661"/>
      <c r="G70" s="661"/>
      <c r="H70" s="661"/>
      <c r="I70" s="548">
        <f>I69</f>
        <v>2.0699999999999998</v>
      </c>
    </row>
    <row r="71" spans="2:9" s="47" customFormat="1" ht="21.75" customHeight="1" x14ac:dyDescent="0.2">
      <c r="B71" s="660" t="s">
        <v>47</v>
      </c>
      <c r="C71" s="660"/>
      <c r="D71" s="660"/>
      <c r="E71" s="660"/>
      <c r="F71" s="660"/>
      <c r="G71" s="660"/>
      <c r="H71" s="660"/>
      <c r="I71" s="660"/>
    </row>
    <row r="72" spans="2:9" s="47" customFormat="1" ht="30" customHeight="1" x14ac:dyDescent="0.2">
      <c r="B72" s="491" t="s">
        <v>33</v>
      </c>
      <c r="C72" s="26" t="s">
        <v>5</v>
      </c>
      <c r="D72" s="26" t="s">
        <v>6</v>
      </c>
      <c r="E72" s="480"/>
      <c r="F72" s="480"/>
      <c r="G72" s="480"/>
      <c r="H72" s="26" t="s">
        <v>45</v>
      </c>
      <c r="I72" s="492" t="s">
        <v>39</v>
      </c>
    </row>
    <row r="73" spans="2:9" s="47" customFormat="1" ht="19.5" customHeight="1" x14ac:dyDescent="0.2">
      <c r="B73" s="494" t="s">
        <v>54</v>
      </c>
      <c r="C73" s="26" t="s">
        <v>41</v>
      </c>
      <c r="D73" s="538">
        <v>1</v>
      </c>
      <c r="E73" s="26"/>
      <c r="F73" s="26"/>
      <c r="G73" s="26"/>
      <c r="H73" s="547">
        <f>INSUMOS!E16</f>
        <v>10.37</v>
      </c>
      <c r="I73" s="548">
        <f>D73*H73</f>
        <v>10.37</v>
      </c>
    </row>
    <row r="74" spans="2:9" s="47" customFormat="1" ht="19.5" customHeight="1" x14ac:dyDescent="0.2">
      <c r="B74" s="494" t="s">
        <v>48</v>
      </c>
      <c r="C74" s="26" t="s">
        <v>41</v>
      </c>
      <c r="D74" s="539">
        <v>2</v>
      </c>
      <c r="E74" s="27"/>
      <c r="F74" s="27"/>
      <c r="G74" s="27"/>
      <c r="H74" s="547">
        <f>INSUMOS!E13</f>
        <v>7.81</v>
      </c>
      <c r="I74" s="548">
        <f>D74*H74</f>
        <v>15.62</v>
      </c>
    </row>
    <row r="75" spans="2:9" s="47" customFormat="1" ht="17.25" customHeight="1" x14ac:dyDescent="0.2">
      <c r="B75" s="661" t="s">
        <v>43</v>
      </c>
      <c r="C75" s="661"/>
      <c r="D75" s="661"/>
      <c r="E75" s="661"/>
      <c r="F75" s="661"/>
      <c r="G75" s="661"/>
      <c r="H75" s="661"/>
      <c r="I75" s="551">
        <f>SUM(I73:I74)</f>
        <v>25.99</v>
      </c>
    </row>
    <row r="76" spans="2:9" s="47" customFormat="1" ht="15.75" customHeight="1" x14ac:dyDescent="0.2">
      <c r="B76" s="57" t="s">
        <v>49</v>
      </c>
      <c r="C76" s="58">
        <v>1</v>
      </c>
      <c r="D76" s="662" t="s">
        <v>50</v>
      </c>
      <c r="E76" s="663"/>
      <c r="F76" s="663"/>
      <c r="G76" s="663"/>
      <c r="H76" s="664"/>
      <c r="I76" s="537">
        <f>I75+I70+I66+I59</f>
        <v>332.93</v>
      </c>
    </row>
    <row r="77" spans="2:9" s="47" customFormat="1" ht="12.75" customHeight="1" x14ac:dyDescent="0.2">
      <c r="B77" s="728"/>
      <c r="C77" s="729"/>
      <c r="D77" s="729"/>
      <c r="E77" s="729"/>
      <c r="F77" s="729"/>
      <c r="G77" s="729"/>
      <c r="H77" s="730"/>
      <c r="I77" s="537">
        <f>I76/C76</f>
        <v>332.93</v>
      </c>
    </row>
    <row r="78" spans="2:9" s="47" customFormat="1" ht="15.75" customHeight="1" x14ac:dyDescent="0.2">
      <c r="B78" s="53" t="s">
        <v>135</v>
      </c>
      <c r="C78" s="477">
        <f>BDI!C$36</f>
        <v>25</v>
      </c>
      <c r="D78" s="56" t="s">
        <v>103</v>
      </c>
      <c r="E78" s="51"/>
      <c r="F78" s="51"/>
      <c r="G78" s="51"/>
      <c r="H78" s="52"/>
      <c r="I78" s="536">
        <f>C78/100*I77</f>
        <v>83.23</v>
      </c>
    </row>
    <row r="79" spans="2:9" s="47" customFormat="1" ht="16.5" customHeight="1" thickBot="1" x14ac:dyDescent="0.25">
      <c r="B79" s="731" t="s">
        <v>51</v>
      </c>
      <c r="C79" s="731"/>
      <c r="D79" s="731"/>
      <c r="E79" s="731"/>
      <c r="F79" s="731"/>
      <c r="G79" s="731"/>
      <c r="H79" s="731"/>
      <c r="I79" s="506">
        <f>SUM(I77:I78)</f>
        <v>416.16</v>
      </c>
    </row>
    <row r="80" spans="2:9" s="47" customFormat="1" ht="16.5" customHeight="1" thickBot="1" x14ac:dyDescent="0.25">
      <c r="B80" s="544"/>
      <c r="C80" s="544"/>
      <c r="D80" s="544"/>
      <c r="E80" s="544"/>
      <c r="F80" s="544"/>
      <c r="G80" s="544"/>
      <c r="H80" s="544"/>
      <c r="I80" s="418"/>
    </row>
    <row r="81" spans="2:9" s="47" customFormat="1" ht="16.5" customHeight="1" x14ac:dyDescent="0.2">
      <c r="B81" s="530" t="s">
        <v>357</v>
      </c>
      <c r="C81" s="531" t="s">
        <v>506</v>
      </c>
      <c r="D81" s="726" t="s">
        <v>30</v>
      </c>
      <c r="E81" s="726"/>
      <c r="F81" s="726"/>
      <c r="G81" s="726"/>
      <c r="H81" s="726"/>
      <c r="I81" s="726"/>
    </row>
    <row r="82" spans="2:9" s="47" customFormat="1" ht="16.5" customHeight="1" x14ac:dyDescent="0.2">
      <c r="B82" s="673" t="s">
        <v>134</v>
      </c>
      <c r="C82" s="674"/>
      <c r="D82" s="674"/>
      <c r="E82" s="674"/>
      <c r="F82" s="674"/>
      <c r="G82" s="675"/>
      <c r="H82" s="670" t="s">
        <v>494</v>
      </c>
      <c r="I82" s="671"/>
    </row>
    <row r="83" spans="2:9" s="47" customFormat="1" ht="16.5" customHeight="1" x14ac:dyDescent="0.2">
      <c r="B83" s="727" t="s">
        <v>507</v>
      </c>
      <c r="C83" s="727"/>
      <c r="D83" s="727"/>
      <c r="E83" s="727"/>
      <c r="F83" s="727"/>
      <c r="G83" s="727"/>
      <c r="H83" s="478" t="s">
        <v>31</v>
      </c>
      <c r="I83" s="479" t="s">
        <v>23</v>
      </c>
    </row>
    <row r="84" spans="2:9" s="47" customFormat="1" ht="16.5" customHeight="1" x14ac:dyDescent="0.2">
      <c r="B84" s="658" t="s">
        <v>32</v>
      </c>
      <c r="C84" s="658"/>
      <c r="D84" s="658"/>
      <c r="E84" s="658"/>
      <c r="F84" s="658"/>
      <c r="G84" s="658"/>
      <c r="H84" s="658"/>
      <c r="I84" s="658"/>
    </row>
    <row r="85" spans="2:9" s="47" customFormat="1" ht="26.25" customHeight="1" x14ac:dyDescent="0.2">
      <c r="B85" s="442" t="s">
        <v>33</v>
      </c>
      <c r="C85" s="26" t="s">
        <v>5</v>
      </c>
      <c r="D85" s="18" t="s">
        <v>6</v>
      </c>
      <c r="E85" s="18" t="s">
        <v>35</v>
      </c>
      <c r="F85" s="18" t="s">
        <v>36</v>
      </c>
      <c r="G85" s="14" t="s">
        <v>37</v>
      </c>
      <c r="H85" s="14" t="s">
        <v>38</v>
      </c>
      <c r="I85" s="32" t="s">
        <v>39</v>
      </c>
    </row>
    <row r="86" spans="2:9" s="47" customFormat="1" ht="26.25" customHeight="1" x14ac:dyDescent="0.2">
      <c r="B86" s="486" t="s">
        <v>508</v>
      </c>
      <c r="C86" s="31" t="s">
        <v>41</v>
      </c>
      <c r="D86" s="546">
        <v>0.65</v>
      </c>
      <c r="E86" s="458"/>
      <c r="F86" s="458"/>
      <c r="G86" s="535">
        <f>INSUMOS!E44</f>
        <v>1.98</v>
      </c>
      <c r="H86" s="458"/>
      <c r="I86" s="536">
        <f>D86*G86</f>
        <v>1.29</v>
      </c>
    </row>
    <row r="87" spans="2:9" s="47" customFormat="1" ht="16.5" customHeight="1" x14ac:dyDescent="0.2">
      <c r="B87" s="659" t="s">
        <v>43</v>
      </c>
      <c r="C87" s="659"/>
      <c r="D87" s="659"/>
      <c r="E87" s="659"/>
      <c r="F87" s="659"/>
      <c r="G87" s="659"/>
      <c r="H87" s="659"/>
      <c r="I87" s="549">
        <f>SUM(I86)</f>
        <v>1.29</v>
      </c>
    </row>
    <row r="88" spans="2:9" s="47" customFormat="1" ht="16.5" customHeight="1" x14ac:dyDescent="0.2">
      <c r="B88" s="660" t="s">
        <v>44</v>
      </c>
      <c r="C88" s="660"/>
      <c r="D88" s="660"/>
      <c r="E88" s="660"/>
      <c r="F88" s="660"/>
      <c r="G88" s="660"/>
      <c r="H88" s="660"/>
      <c r="I88" s="660"/>
    </row>
    <row r="89" spans="2:9" s="47" customFormat="1" ht="16.5" customHeight="1" x14ac:dyDescent="0.2">
      <c r="B89" s="527" t="s">
        <v>33</v>
      </c>
      <c r="C89" s="26" t="s">
        <v>5</v>
      </c>
      <c r="D89" s="26" t="s">
        <v>6</v>
      </c>
      <c r="E89" s="480"/>
      <c r="F89" s="480"/>
      <c r="G89" s="480"/>
      <c r="H89" s="26" t="s">
        <v>45</v>
      </c>
      <c r="I89" s="492" t="s">
        <v>39</v>
      </c>
    </row>
    <row r="90" spans="2:9" s="47" customFormat="1" ht="16.5" customHeight="1" x14ac:dyDescent="0.2">
      <c r="B90" s="483" t="s">
        <v>481</v>
      </c>
      <c r="C90" s="484" t="s">
        <v>23</v>
      </c>
      <c r="D90" s="539">
        <v>0.49</v>
      </c>
      <c r="E90" s="485"/>
      <c r="F90" s="481"/>
      <c r="G90" s="481"/>
      <c r="H90" s="547">
        <f>INSUMOS!E38</f>
        <v>48</v>
      </c>
      <c r="I90" s="548">
        <f>H90*D90</f>
        <v>23.52</v>
      </c>
    </row>
    <row r="91" spans="2:9" s="47" customFormat="1" ht="16.5" customHeight="1" x14ac:dyDescent="0.2">
      <c r="B91" s="486" t="s">
        <v>509</v>
      </c>
      <c r="C91" s="26" t="s">
        <v>53</v>
      </c>
      <c r="D91" s="538">
        <v>150</v>
      </c>
      <c r="E91" s="540"/>
      <c r="F91" s="488"/>
      <c r="G91" s="488"/>
      <c r="H91" s="547">
        <f>INSUMOS!E34</f>
        <v>0.5</v>
      </c>
      <c r="I91" s="548">
        <f t="shared" ref="I91:I92" si="0">H91*D91</f>
        <v>75</v>
      </c>
    </row>
    <row r="92" spans="2:9" s="47" customFormat="1" ht="22.5" customHeight="1" x14ac:dyDescent="0.2">
      <c r="B92" s="486" t="s">
        <v>483</v>
      </c>
      <c r="C92" s="489" t="s">
        <v>23</v>
      </c>
      <c r="D92" s="543">
        <v>0.98</v>
      </c>
      <c r="E92" s="541"/>
      <c r="F92" s="487"/>
      <c r="G92" s="488"/>
      <c r="H92" s="547">
        <f>INSUMOS!E36</f>
        <v>62</v>
      </c>
      <c r="I92" s="548">
        <f t="shared" si="0"/>
        <v>60.76</v>
      </c>
    </row>
    <row r="93" spans="2:9" s="47" customFormat="1" ht="16.5" customHeight="1" x14ac:dyDescent="0.2">
      <c r="B93" s="661" t="s">
        <v>43</v>
      </c>
      <c r="C93" s="661"/>
      <c r="D93" s="661"/>
      <c r="E93" s="661"/>
      <c r="F93" s="661"/>
      <c r="G93" s="661"/>
      <c r="H93" s="661"/>
      <c r="I93" s="549">
        <f>SUM(I90:I92)</f>
        <v>159.28</v>
      </c>
    </row>
    <row r="94" spans="2:9" s="47" customFormat="1" ht="16.5" customHeight="1" x14ac:dyDescent="0.2">
      <c r="B94" s="660" t="s">
        <v>46</v>
      </c>
      <c r="C94" s="660"/>
      <c r="D94" s="660"/>
      <c r="E94" s="660"/>
      <c r="F94" s="660"/>
      <c r="G94" s="660"/>
      <c r="H94" s="660"/>
      <c r="I94" s="660"/>
    </row>
    <row r="95" spans="2:9" s="47" customFormat="1" ht="16.5" customHeight="1" x14ac:dyDescent="0.2">
      <c r="B95" s="490" t="s">
        <v>33</v>
      </c>
      <c r="C95" s="26" t="s">
        <v>5</v>
      </c>
      <c r="D95" s="26" t="s">
        <v>6</v>
      </c>
      <c r="E95" s="488"/>
      <c r="F95" s="488"/>
      <c r="G95" s="488"/>
      <c r="H95" s="26" t="s">
        <v>45</v>
      </c>
      <c r="I95" s="492" t="s">
        <v>39</v>
      </c>
    </row>
    <row r="96" spans="2:9" s="47" customFormat="1" ht="16.5" customHeight="1" x14ac:dyDescent="0.2">
      <c r="B96" s="486"/>
      <c r="C96" s="27"/>
      <c r="D96" s="493"/>
      <c r="E96" s="27"/>
      <c r="F96" s="27"/>
      <c r="G96" s="27"/>
      <c r="H96" s="27"/>
      <c r="I96" s="482"/>
    </row>
    <row r="97" spans="2:11" s="47" customFormat="1" ht="16.5" customHeight="1" x14ac:dyDescent="0.2">
      <c r="B97" s="661" t="s">
        <v>43</v>
      </c>
      <c r="C97" s="661"/>
      <c r="D97" s="661"/>
      <c r="E97" s="661"/>
      <c r="F97" s="661"/>
      <c r="G97" s="661"/>
      <c r="H97" s="661"/>
      <c r="I97" s="492"/>
    </row>
    <row r="98" spans="2:11" s="47" customFormat="1" ht="16.5" customHeight="1" x14ac:dyDescent="0.2">
      <c r="B98" s="660" t="s">
        <v>47</v>
      </c>
      <c r="C98" s="660"/>
      <c r="D98" s="660"/>
      <c r="E98" s="660"/>
      <c r="F98" s="660"/>
      <c r="G98" s="660"/>
      <c r="H98" s="660"/>
      <c r="I98" s="660"/>
    </row>
    <row r="99" spans="2:11" s="47" customFormat="1" ht="16.5" customHeight="1" x14ac:dyDescent="0.2">
      <c r="B99" s="491" t="s">
        <v>33</v>
      </c>
      <c r="C99" s="26" t="s">
        <v>5</v>
      </c>
      <c r="D99" s="26" t="s">
        <v>6</v>
      </c>
      <c r="E99" s="480"/>
      <c r="F99" s="480"/>
      <c r="G99" s="480"/>
      <c r="H99" s="26" t="s">
        <v>45</v>
      </c>
      <c r="I99" s="492" t="s">
        <v>39</v>
      </c>
    </row>
    <row r="100" spans="2:11" s="47" customFormat="1" ht="16.5" customHeight="1" x14ac:dyDescent="0.2">
      <c r="B100" s="494" t="s">
        <v>48</v>
      </c>
      <c r="C100" s="26" t="s">
        <v>41</v>
      </c>
      <c r="D100" s="539">
        <v>6</v>
      </c>
      <c r="E100" s="27"/>
      <c r="F100" s="27"/>
      <c r="G100" s="27"/>
      <c r="H100" s="547">
        <f>INSUMOS!E13</f>
        <v>7.81</v>
      </c>
      <c r="I100" s="548">
        <f>D100*H100</f>
        <v>46.86</v>
      </c>
    </row>
    <row r="101" spans="2:11" s="47" customFormat="1" ht="16.5" customHeight="1" x14ac:dyDescent="0.2">
      <c r="B101" s="661" t="s">
        <v>43</v>
      </c>
      <c r="C101" s="661"/>
      <c r="D101" s="661"/>
      <c r="E101" s="661"/>
      <c r="F101" s="661"/>
      <c r="G101" s="661"/>
      <c r="H101" s="661"/>
      <c r="I101" s="550">
        <f>SUM(I100:I100)</f>
        <v>46.86</v>
      </c>
    </row>
    <row r="102" spans="2:11" s="47" customFormat="1" ht="16.5" customHeight="1" x14ac:dyDescent="0.2">
      <c r="B102" s="57" t="s">
        <v>49</v>
      </c>
      <c r="C102" s="58">
        <v>1</v>
      </c>
      <c r="D102" s="662" t="s">
        <v>50</v>
      </c>
      <c r="E102" s="663"/>
      <c r="F102" s="663"/>
      <c r="G102" s="663"/>
      <c r="H102" s="664"/>
      <c r="I102" s="537">
        <f>I101+I97+I93+I87</f>
        <v>207.43</v>
      </c>
    </row>
    <row r="103" spans="2:11" s="47" customFormat="1" ht="16.5" customHeight="1" x14ac:dyDescent="0.2">
      <c r="B103" s="728"/>
      <c r="C103" s="729"/>
      <c r="D103" s="729"/>
      <c r="E103" s="729"/>
      <c r="F103" s="729"/>
      <c r="G103" s="729"/>
      <c r="H103" s="730"/>
      <c r="I103" s="537">
        <f>I102/C102</f>
        <v>207.43</v>
      </c>
    </row>
    <row r="104" spans="2:11" s="47" customFormat="1" ht="16.5" customHeight="1" x14ac:dyDescent="0.2">
      <c r="B104" s="53" t="s">
        <v>135</v>
      </c>
      <c r="C104" s="477">
        <f>BDI!C$36</f>
        <v>25</v>
      </c>
      <c r="D104" s="56" t="s">
        <v>103</v>
      </c>
      <c r="E104" s="51"/>
      <c r="F104" s="51"/>
      <c r="G104" s="51"/>
      <c r="H104" s="52"/>
      <c r="I104" s="536">
        <f>C104/100*I103</f>
        <v>51.86</v>
      </c>
    </row>
    <row r="105" spans="2:11" s="47" customFormat="1" ht="16.5" customHeight="1" thickBot="1" x14ac:dyDescent="0.25">
      <c r="B105" s="731" t="s">
        <v>51</v>
      </c>
      <c r="C105" s="731"/>
      <c r="D105" s="731"/>
      <c r="E105" s="731"/>
      <c r="F105" s="731"/>
      <c r="G105" s="731"/>
      <c r="H105" s="731"/>
      <c r="I105" s="506">
        <f>SUM(I103:I104)</f>
        <v>259.29000000000002</v>
      </c>
    </row>
    <row r="106" spans="2:11" s="47" customFormat="1" ht="16.5" customHeight="1" x14ac:dyDescent="0.2">
      <c r="B106" s="544"/>
      <c r="C106" s="544"/>
      <c r="D106" s="544"/>
      <c r="E106" s="544"/>
      <c r="F106" s="544"/>
      <c r="G106" s="544"/>
      <c r="H106" s="544"/>
      <c r="I106" s="418"/>
    </row>
    <row r="107" spans="2:11" ht="13.5" thickBot="1" x14ac:dyDescent="0.25">
      <c r="B107" s="23"/>
      <c r="C107" s="48"/>
      <c r="D107" s="48"/>
      <c r="E107" s="23"/>
      <c r="F107" s="23"/>
      <c r="G107" s="23"/>
      <c r="H107" s="23"/>
      <c r="I107" s="49"/>
      <c r="K107" s="47"/>
    </row>
    <row r="108" spans="2:11" ht="15.75" x14ac:dyDescent="0.2">
      <c r="B108" s="530" t="s">
        <v>357</v>
      </c>
      <c r="C108" s="531" t="s">
        <v>434</v>
      </c>
      <c r="D108" s="685" t="s">
        <v>30</v>
      </c>
      <c r="E108" s="685"/>
      <c r="F108" s="685"/>
      <c r="G108" s="685"/>
      <c r="H108" s="685"/>
      <c r="I108" s="685"/>
      <c r="K108" s="47"/>
    </row>
    <row r="109" spans="2:11" x14ac:dyDescent="0.2">
      <c r="B109" s="673" t="s">
        <v>134</v>
      </c>
      <c r="C109" s="674"/>
      <c r="D109" s="674"/>
      <c r="E109" s="674"/>
      <c r="F109" s="674"/>
      <c r="G109" s="675"/>
      <c r="H109" s="670" t="s">
        <v>494</v>
      </c>
      <c r="I109" s="671"/>
    </row>
    <row r="110" spans="2:11" x14ac:dyDescent="0.2">
      <c r="B110" s="721" t="s">
        <v>495</v>
      </c>
      <c r="C110" s="721"/>
      <c r="D110" s="721"/>
      <c r="E110" s="721"/>
      <c r="F110" s="721"/>
      <c r="G110" s="721"/>
      <c r="H110" s="12" t="s">
        <v>31</v>
      </c>
      <c r="I110" s="46" t="s">
        <v>142</v>
      </c>
    </row>
    <row r="111" spans="2:11" x14ac:dyDescent="0.2">
      <c r="B111" s="658" t="s">
        <v>32</v>
      </c>
      <c r="C111" s="658"/>
      <c r="D111" s="658"/>
      <c r="E111" s="658"/>
      <c r="F111" s="658"/>
      <c r="G111" s="658"/>
      <c r="H111" s="658"/>
      <c r="I111" s="658"/>
    </row>
    <row r="112" spans="2:11" ht="25.5" x14ac:dyDescent="0.2">
      <c r="B112" s="442" t="s">
        <v>33</v>
      </c>
      <c r="C112" s="26" t="s">
        <v>5</v>
      </c>
      <c r="D112" s="18" t="s">
        <v>6</v>
      </c>
      <c r="E112" s="18" t="s">
        <v>35</v>
      </c>
      <c r="F112" s="18" t="s">
        <v>36</v>
      </c>
      <c r="G112" s="14" t="s">
        <v>37</v>
      </c>
      <c r="H112" s="14" t="s">
        <v>38</v>
      </c>
      <c r="I112" s="32" t="s">
        <v>39</v>
      </c>
    </row>
    <row r="113" spans="2:9" x14ac:dyDescent="0.2">
      <c r="B113" s="413" t="s">
        <v>501</v>
      </c>
      <c r="C113" s="28" t="s">
        <v>13</v>
      </c>
      <c r="D113" s="570">
        <v>0.5</v>
      </c>
      <c r="E113" s="20">
        <v>1</v>
      </c>
      <c r="F113" s="20"/>
      <c r="G113" s="519">
        <f>Veiculo!D46</f>
        <v>2440.71</v>
      </c>
      <c r="H113" s="20"/>
      <c r="I113" s="536">
        <f>D113*E113*G113+D113*F113*H113</f>
        <v>1220.3599999999999</v>
      </c>
    </row>
    <row r="114" spans="2:9" x14ac:dyDescent="0.2">
      <c r="B114" s="659" t="s">
        <v>43</v>
      </c>
      <c r="C114" s="659"/>
      <c r="D114" s="659"/>
      <c r="E114" s="659"/>
      <c r="F114" s="659"/>
      <c r="G114" s="659"/>
      <c r="H114" s="659"/>
      <c r="I114" s="552">
        <f>SUM(I113:I113)</f>
        <v>1220.3599999999999</v>
      </c>
    </row>
    <row r="115" spans="2:9" x14ac:dyDescent="0.2">
      <c r="B115" s="658" t="s">
        <v>44</v>
      </c>
      <c r="C115" s="658"/>
      <c r="D115" s="658"/>
      <c r="E115" s="658"/>
      <c r="F115" s="658"/>
      <c r="G115" s="658"/>
      <c r="H115" s="658"/>
      <c r="I115" s="658"/>
    </row>
    <row r="116" spans="2:9" x14ac:dyDescent="0.2">
      <c r="B116" s="442" t="s">
        <v>33</v>
      </c>
      <c r="C116" s="26" t="s">
        <v>5</v>
      </c>
      <c r="D116" s="18" t="s">
        <v>6</v>
      </c>
      <c r="E116" s="192"/>
      <c r="F116" s="192"/>
      <c r="G116" s="192"/>
      <c r="H116" s="18" t="s">
        <v>45</v>
      </c>
      <c r="I116" s="32" t="s">
        <v>39</v>
      </c>
    </row>
    <row r="117" spans="2:9" x14ac:dyDescent="0.2">
      <c r="B117" s="201" t="s">
        <v>521</v>
      </c>
      <c r="C117" s="55" t="s">
        <v>142</v>
      </c>
      <c r="D117" s="535">
        <v>1</v>
      </c>
      <c r="E117" s="415"/>
      <c r="F117" s="415"/>
      <c r="G117" s="415"/>
      <c r="H117" s="519">
        <v>50</v>
      </c>
      <c r="I117" s="536">
        <f>H117*D117</f>
        <v>50</v>
      </c>
    </row>
    <row r="118" spans="2:9" x14ac:dyDescent="0.2">
      <c r="B118" s="710" t="s">
        <v>43</v>
      </c>
      <c r="C118" s="710"/>
      <c r="D118" s="710"/>
      <c r="E118" s="710"/>
      <c r="F118" s="710"/>
      <c r="G118" s="710"/>
      <c r="H118" s="710"/>
      <c r="I118" s="536">
        <f>SUM(I117:I117)</f>
        <v>50</v>
      </c>
    </row>
    <row r="119" spans="2:9" x14ac:dyDescent="0.2">
      <c r="B119" s="658" t="s">
        <v>46</v>
      </c>
      <c r="C119" s="658"/>
      <c r="D119" s="658"/>
      <c r="E119" s="658"/>
      <c r="F119" s="658"/>
      <c r="G119" s="658"/>
      <c r="H119" s="658"/>
      <c r="I119" s="658"/>
    </row>
    <row r="120" spans="2:9" x14ac:dyDescent="0.2">
      <c r="B120" s="17" t="s">
        <v>33</v>
      </c>
      <c r="C120" s="443" t="s">
        <v>5</v>
      </c>
      <c r="D120" s="18" t="s">
        <v>6</v>
      </c>
      <c r="E120" s="192"/>
      <c r="F120" s="192"/>
      <c r="G120" s="192"/>
      <c r="H120" s="18" t="s">
        <v>45</v>
      </c>
      <c r="I120" s="444" t="s">
        <v>39</v>
      </c>
    </row>
    <row r="121" spans="2:9" x14ac:dyDescent="0.2">
      <c r="B121" s="19"/>
      <c r="C121" s="18"/>
      <c r="D121" s="18"/>
      <c r="E121" s="192"/>
      <c r="F121" s="192"/>
      <c r="G121" s="192"/>
      <c r="H121" s="18"/>
      <c r="I121" s="444"/>
    </row>
    <row r="122" spans="2:9" x14ac:dyDescent="0.2">
      <c r="B122" s="710" t="s">
        <v>43</v>
      </c>
      <c r="C122" s="710"/>
      <c r="D122" s="710"/>
      <c r="E122" s="710"/>
      <c r="F122" s="710"/>
      <c r="G122" s="710"/>
      <c r="H122" s="710"/>
      <c r="I122" s="444"/>
    </row>
    <row r="123" spans="2:9" x14ac:dyDescent="0.2">
      <c r="B123" s="658" t="s">
        <v>47</v>
      </c>
      <c r="C123" s="658"/>
      <c r="D123" s="658"/>
      <c r="E123" s="658"/>
      <c r="F123" s="658"/>
      <c r="G123" s="658"/>
      <c r="H123" s="658"/>
      <c r="I123" s="658"/>
    </row>
    <row r="124" spans="2:9" x14ac:dyDescent="0.2">
      <c r="B124" s="442" t="s">
        <v>33</v>
      </c>
      <c r="C124" s="26" t="s">
        <v>5</v>
      </c>
      <c r="D124" s="18" t="s">
        <v>6</v>
      </c>
      <c r="E124" s="192"/>
      <c r="F124" s="192"/>
      <c r="G124" s="192"/>
      <c r="H124" s="18" t="s">
        <v>45</v>
      </c>
      <c r="I124" s="32" t="s">
        <v>39</v>
      </c>
    </row>
    <row r="125" spans="2:9" x14ac:dyDescent="0.2">
      <c r="B125" s="445" t="s">
        <v>57</v>
      </c>
      <c r="C125" s="18" t="s">
        <v>41</v>
      </c>
      <c r="D125" s="568">
        <v>32</v>
      </c>
      <c r="E125" s="192"/>
      <c r="F125" s="192"/>
      <c r="G125" s="192"/>
      <c r="H125" s="519">
        <f>INSUMOS!E11</f>
        <v>72.75</v>
      </c>
      <c r="I125" s="536">
        <f>D125*H125</f>
        <v>2328</v>
      </c>
    </row>
    <row r="126" spans="2:9" x14ac:dyDescent="0.2">
      <c r="B126" s="710" t="s">
        <v>43</v>
      </c>
      <c r="C126" s="710"/>
      <c r="D126" s="710"/>
      <c r="E126" s="710"/>
      <c r="F126" s="710"/>
      <c r="G126" s="710"/>
      <c r="H126" s="710"/>
      <c r="I126" s="553">
        <f>SUM(I125:I125)</f>
        <v>2328</v>
      </c>
    </row>
    <row r="127" spans="2:9" x14ac:dyDescent="0.2">
      <c r="B127" s="57" t="s">
        <v>49</v>
      </c>
      <c r="C127" s="58">
        <v>1</v>
      </c>
      <c r="D127" s="767" t="s">
        <v>50</v>
      </c>
      <c r="E127" s="767"/>
      <c r="F127" s="767"/>
      <c r="G127" s="767"/>
      <c r="H127" s="767"/>
      <c r="I127" s="553">
        <f>I126+I122+I118+I114</f>
        <v>3598.36</v>
      </c>
    </row>
    <row r="128" spans="2:9" x14ac:dyDescent="0.2">
      <c r="B128" s="768"/>
      <c r="C128" s="769"/>
      <c r="D128" s="769"/>
      <c r="E128" s="769"/>
      <c r="F128" s="769"/>
      <c r="G128" s="769"/>
      <c r="H128" s="770"/>
      <c r="I128" s="553">
        <f>I127/C127</f>
        <v>3598.36</v>
      </c>
    </row>
    <row r="129" spans="2:11" x14ac:dyDescent="0.2">
      <c r="B129" s="609" t="s">
        <v>135</v>
      </c>
      <c r="C129" s="610">
        <f>BDI!C$36</f>
        <v>25</v>
      </c>
      <c r="D129" s="611" t="s">
        <v>103</v>
      </c>
      <c r="E129" s="612"/>
      <c r="F129" s="612"/>
      <c r="G129" s="612"/>
      <c r="H129" s="613"/>
      <c r="I129" s="554">
        <f>C129/100*I128</f>
        <v>899.59</v>
      </c>
    </row>
    <row r="130" spans="2:11" x14ac:dyDescent="0.2">
      <c r="B130" s="766" t="s">
        <v>522</v>
      </c>
      <c r="C130" s="766"/>
      <c r="D130" s="766"/>
      <c r="E130" s="766"/>
      <c r="F130" s="766"/>
      <c r="G130" s="766"/>
      <c r="H130" s="766"/>
      <c r="I130" s="608">
        <f>SUM(I128:I129)</f>
        <v>4497.95</v>
      </c>
    </row>
    <row r="131" spans="2:11" x14ac:dyDescent="0.2">
      <c r="B131" s="732" t="s">
        <v>523</v>
      </c>
      <c r="C131" s="732"/>
      <c r="D131" s="732"/>
      <c r="E131" s="732"/>
      <c r="F131" s="732"/>
      <c r="G131" s="732"/>
      <c r="H131" s="732"/>
      <c r="I131" s="477">
        <v>8</v>
      </c>
    </row>
    <row r="132" spans="2:11" ht="13.5" thickBot="1" x14ac:dyDescent="0.25">
      <c r="B132" s="657" t="s">
        <v>51</v>
      </c>
      <c r="C132" s="657"/>
      <c r="D132" s="657"/>
      <c r="E132" s="657"/>
      <c r="F132" s="657"/>
      <c r="G132" s="657"/>
      <c r="H132" s="657"/>
      <c r="I132" s="607">
        <f>I130*I131</f>
        <v>35983.599999999999</v>
      </c>
    </row>
    <row r="133" spans="2:11" ht="13.5" thickBot="1" x14ac:dyDescent="0.25">
      <c r="B133" s="23"/>
      <c r="C133" s="48"/>
      <c r="D133" s="48"/>
      <c r="E133" s="23"/>
      <c r="F133" s="23"/>
      <c r="G133" s="23"/>
      <c r="H133" s="23"/>
      <c r="I133" s="49"/>
    </row>
    <row r="134" spans="2:11" s="47" customFormat="1" ht="30" customHeight="1" x14ac:dyDescent="0.2">
      <c r="B134" s="530" t="s">
        <v>357</v>
      </c>
      <c r="C134" s="531" t="s">
        <v>14</v>
      </c>
      <c r="D134" s="685" t="s">
        <v>30</v>
      </c>
      <c r="E134" s="685"/>
      <c r="F134" s="685"/>
      <c r="G134" s="685"/>
      <c r="H134" s="685"/>
      <c r="I134" s="685"/>
      <c r="K134" s="11"/>
    </row>
    <row r="135" spans="2:11" s="47" customFormat="1" ht="21" customHeight="1" x14ac:dyDescent="0.2">
      <c r="B135" s="673" t="s">
        <v>134</v>
      </c>
      <c r="C135" s="674"/>
      <c r="D135" s="674"/>
      <c r="E135" s="674"/>
      <c r="F135" s="674"/>
      <c r="G135" s="675"/>
      <c r="H135" s="670" t="s">
        <v>494</v>
      </c>
      <c r="I135" s="671"/>
      <c r="K135" s="11"/>
    </row>
    <row r="136" spans="2:11" s="47" customFormat="1" ht="18" customHeight="1" x14ac:dyDescent="0.2">
      <c r="B136" s="672" t="s">
        <v>320</v>
      </c>
      <c r="C136" s="672"/>
      <c r="D136" s="672"/>
      <c r="E136" s="672"/>
      <c r="F136" s="672"/>
      <c r="G136" s="672"/>
      <c r="H136" s="12" t="s">
        <v>31</v>
      </c>
      <c r="I136" s="46" t="s">
        <v>142</v>
      </c>
    </row>
    <row r="137" spans="2:11" s="47" customFormat="1" ht="21.75" customHeight="1" x14ac:dyDescent="0.2">
      <c r="B137" s="658" t="s">
        <v>32</v>
      </c>
      <c r="C137" s="658"/>
      <c r="D137" s="658"/>
      <c r="E137" s="658"/>
      <c r="F137" s="658"/>
      <c r="G137" s="658"/>
      <c r="H137" s="658"/>
      <c r="I137" s="658"/>
    </row>
    <row r="138" spans="2:11" ht="25.5" x14ac:dyDescent="0.2">
      <c r="B138" s="340" t="s">
        <v>33</v>
      </c>
      <c r="C138" s="27" t="s">
        <v>5</v>
      </c>
      <c r="D138" s="20" t="s">
        <v>6</v>
      </c>
      <c r="E138" s="20" t="s">
        <v>35</v>
      </c>
      <c r="F138" s="20" t="s">
        <v>36</v>
      </c>
      <c r="G138" s="337" t="s">
        <v>37</v>
      </c>
      <c r="H138" s="337" t="s">
        <v>38</v>
      </c>
      <c r="I138" s="30" t="s">
        <v>39</v>
      </c>
      <c r="K138" s="47"/>
    </row>
    <row r="139" spans="2:11" ht="12.95" customHeight="1" x14ac:dyDescent="0.2">
      <c r="B139" s="45" t="s">
        <v>143</v>
      </c>
      <c r="C139" s="28" t="s">
        <v>41</v>
      </c>
      <c r="D139" s="570">
        <v>5</v>
      </c>
      <c r="E139" s="20">
        <v>1</v>
      </c>
      <c r="F139" s="20"/>
      <c r="G139" s="535">
        <f>INSUMOS!E61</f>
        <v>3.17</v>
      </c>
      <c r="H139" s="20"/>
      <c r="I139" s="536">
        <f>D139*E139*G139+D139*F139*H139</f>
        <v>15.85</v>
      </c>
      <c r="K139" s="47"/>
    </row>
    <row r="140" spans="2:11" ht="12.75" customHeight="1" x14ac:dyDescent="0.2">
      <c r="B140" s="35" t="s">
        <v>42</v>
      </c>
      <c r="C140" s="34" t="s">
        <v>41</v>
      </c>
      <c r="D140" s="579">
        <v>5</v>
      </c>
      <c r="E140" s="24">
        <v>1</v>
      </c>
      <c r="F140" s="24"/>
      <c r="G140" s="535">
        <f>INSUMOS!E54</f>
        <v>15.78</v>
      </c>
      <c r="H140" s="20"/>
      <c r="I140" s="536">
        <f>D140*E140*G140+D140*F140*H140</f>
        <v>78.900000000000006</v>
      </c>
    </row>
    <row r="141" spans="2:11" s="47" customFormat="1" ht="19.5" customHeight="1" x14ac:dyDescent="0.2">
      <c r="B141" s="725" t="s">
        <v>43</v>
      </c>
      <c r="C141" s="725"/>
      <c r="D141" s="725"/>
      <c r="E141" s="725"/>
      <c r="F141" s="725"/>
      <c r="G141" s="725"/>
      <c r="H141" s="725"/>
      <c r="I141" s="537">
        <f>SUM(I139:I140)</f>
        <v>94.75</v>
      </c>
      <c r="K141" s="11"/>
    </row>
    <row r="142" spans="2:11" x14ac:dyDescent="0.2">
      <c r="B142" s="658" t="s">
        <v>44</v>
      </c>
      <c r="C142" s="658"/>
      <c r="D142" s="658"/>
      <c r="E142" s="658"/>
      <c r="F142" s="658"/>
      <c r="G142" s="658"/>
      <c r="H142" s="658"/>
      <c r="I142" s="658"/>
    </row>
    <row r="143" spans="2:11" ht="16.5" customHeight="1" x14ac:dyDescent="0.2">
      <c r="B143" s="336" t="s">
        <v>33</v>
      </c>
      <c r="C143" s="347" t="s">
        <v>5</v>
      </c>
      <c r="D143" s="24" t="s">
        <v>6</v>
      </c>
      <c r="E143" s="25"/>
      <c r="F143" s="25"/>
      <c r="G143" s="25"/>
      <c r="H143" s="24" t="s">
        <v>45</v>
      </c>
      <c r="I143" s="36" t="s">
        <v>39</v>
      </c>
      <c r="J143" s="22"/>
      <c r="K143" s="47"/>
    </row>
    <row r="144" spans="2:11" ht="15" customHeight="1" x14ac:dyDescent="0.2">
      <c r="B144" s="35" t="s">
        <v>55</v>
      </c>
      <c r="C144" s="28" t="s">
        <v>56</v>
      </c>
      <c r="D144" s="570">
        <v>20</v>
      </c>
      <c r="E144" s="20"/>
      <c r="F144" s="20"/>
      <c r="G144" s="20"/>
      <c r="H144" s="535">
        <f>INSUMOS!E78</f>
        <v>3.44</v>
      </c>
      <c r="I144" s="536">
        <f>H144*D144</f>
        <v>68.8</v>
      </c>
      <c r="J144" s="22"/>
    </row>
    <row r="145" spans="2:11" ht="16.5" customHeight="1" x14ac:dyDescent="0.2">
      <c r="B145" s="669" t="s">
        <v>43</v>
      </c>
      <c r="C145" s="669"/>
      <c r="D145" s="669"/>
      <c r="E145" s="669"/>
      <c r="F145" s="669"/>
      <c r="G145" s="669"/>
      <c r="H145" s="669"/>
      <c r="I145" s="536">
        <f>SUM(I144:I144)</f>
        <v>68.8</v>
      </c>
    </row>
    <row r="146" spans="2:11" ht="15" customHeight="1" x14ac:dyDescent="0.2">
      <c r="B146" s="658" t="s">
        <v>46</v>
      </c>
      <c r="C146" s="658"/>
      <c r="D146" s="658"/>
      <c r="E146" s="658"/>
      <c r="F146" s="658"/>
      <c r="G146" s="658"/>
      <c r="H146" s="658"/>
      <c r="I146" s="658"/>
    </row>
    <row r="147" spans="2:11" x14ac:dyDescent="0.2">
      <c r="B147" s="339" t="s">
        <v>33</v>
      </c>
      <c r="C147" s="347" t="s">
        <v>5</v>
      </c>
      <c r="D147" s="20" t="s">
        <v>6</v>
      </c>
      <c r="E147" s="21"/>
      <c r="F147" s="21"/>
      <c r="G147" s="21"/>
      <c r="H147" s="20" t="s">
        <v>45</v>
      </c>
      <c r="I147" s="36" t="s">
        <v>39</v>
      </c>
    </row>
    <row r="148" spans="2:11" s="47" customFormat="1" ht="18" customHeight="1" x14ac:dyDescent="0.2">
      <c r="B148" s="19"/>
      <c r="C148" s="20"/>
      <c r="D148" s="20"/>
      <c r="E148" s="21"/>
      <c r="F148" s="21"/>
      <c r="G148" s="21"/>
      <c r="H148" s="20"/>
      <c r="I148" s="30"/>
      <c r="K148" s="11"/>
    </row>
    <row r="149" spans="2:11" x14ac:dyDescent="0.2">
      <c r="B149" s="669" t="s">
        <v>43</v>
      </c>
      <c r="C149" s="669"/>
      <c r="D149" s="669"/>
      <c r="E149" s="669"/>
      <c r="F149" s="669"/>
      <c r="G149" s="669"/>
      <c r="H149" s="669"/>
      <c r="I149" s="30"/>
    </row>
    <row r="150" spans="2:11" x14ac:dyDescent="0.2">
      <c r="B150" s="658" t="s">
        <v>47</v>
      </c>
      <c r="C150" s="658"/>
      <c r="D150" s="658"/>
      <c r="E150" s="658"/>
      <c r="F150" s="658"/>
      <c r="G150" s="658"/>
      <c r="H150" s="658"/>
      <c r="I150" s="658"/>
      <c r="J150" s="22"/>
      <c r="K150" s="47"/>
    </row>
    <row r="151" spans="2:11" x14ac:dyDescent="0.2">
      <c r="B151" s="336" t="s">
        <v>33</v>
      </c>
      <c r="C151" s="348" t="s">
        <v>5</v>
      </c>
      <c r="D151" s="24" t="s">
        <v>6</v>
      </c>
      <c r="E151" s="25"/>
      <c r="F151" s="25"/>
      <c r="G151" s="25"/>
      <c r="H151" s="24" t="s">
        <v>45</v>
      </c>
      <c r="I151" s="36" t="s">
        <v>39</v>
      </c>
    </row>
    <row r="152" spans="2:11" s="47" customFormat="1" ht="19.5" customHeight="1" x14ac:dyDescent="0.2">
      <c r="B152" s="201" t="s">
        <v>57</v>
      </c>
      <c r="C152" s="27" t="s">
        <v>41</v>
      </c>
      <c r="D152" s="535">
        <v>5</v>
      </c>
      <c r="E152" s="21"/>
      <c r="F152" s="21"/>
      <c r="G152" s="21"/>
      <c r="H152" s="535">
        <f>INSUMOS!E11</f>
        <v>72.75</v>
      </c>
      <c r="I152" s="536">
        <f>H152*D152</f>
        <v>363.75</v>
      </c>
      <c r="K152" s="11"/>
    </row>
    <row r="153" spans="2:11" x14ac:dyDescent="0.2">
      <c r="B153" s="201" t="s">
        <v>48</v>
      </c>
      <c r="C153" s="347" t="s">
        <v>41</v>
      </c>
      <c r="D153" s="556">
        <v>5</v>
      </c>
      <c r="E153" s="25"/>
      <c r="F153" s="25"/>
      <c r="G153" s="25"/>
      <c r="H153" s="556">
        <f>INSUMOS!E13</f>
        <v>7.81</v>
      </c>
      <c r="I153" s="555">
        <f>H153*D153</f>
        <v>39.049999999999997</v>
      </c>
    </row>
    <row r="154" spans="2:11" x14ac:dyDescent="0.2">
      <c r="B154" s="669" t="s">
        <v>43</v>
      </c>
      <c r="C154" s="669"/>
      <c r="D154" s="669"/>
      <c r="E154" s="669"/>
      <c r="F154" s="669"/>
      <c r="G154" s="669"/>
      <c r="H154" s="669"/>
      <c r="I154" s="537">
        <f>SUM(I152:I153)</f>
        <v>402.8</v>
      </c>
    </row>
    <row r="155" spans="2:11" x14ac:dyDescent="0.2">
      <c r="B155" s="346" t="s">
        <v>49</v>
      </c>
      <c r="C155" s="271">
        <v>1</v>
      </c>
      <c r="D155" s="654" t="s">
        <v>50</v>
      </c>
      <c r="E155" s="655"/>
      <c r="F155" s="655"/>
      <c r="G155" s="655"/>
      <c r="H155" s="656"/>
      <c r="I155" s="537">
        <f>I154+I149+I145+I141</f>
        <v>566.35</v>
      </c>
    </row>
    <row r="156" spans="2:11" x14ac:dyDescent="0.2">
      <c r="B156" s="665"/>
      <c r="C156" s="666"/>
      <c r="D156" s="666"/>
      <c r="E156" s="666"/>
      <c r="F156" s="666"/>
      <c r="G156" s="666"/>
      <c r="H156" s="667"/>
      <c r="I156" s="537">
        <f>I155/C155</f>
        <v>566.35</v>
      </c>
    </row>
    <row r="157" spans="2:11" x14ac:dyDescent="0.2">
      <c r="B157" s="342" t="s">
        <v>135</v>
      </c>
      <c r="C157" s="477">
        <f>BDI!C$36</f>
        <v>25</v>
      </c>
      <c r="D157" s="343" t="s">
        <v>103</v>
      </c>
      <c r="E157" s="344"/>
      <c r="F157" s="344"/>
      <c r="G157" s="344"/>
      <c r="H157" s="345"/>
      <c r="I157" s="536">
        <f>C157/100*I156</f>
        <v>141.59</v>
      </c>
    </row>
    <row r="158" spans="2:11" ht="13.5" thickBot="1" x14ac:dyDescent="0.25">
      <c r="B158" s="657" t="s">
        <v>51</v>
      </c>
      <c r="C158" s="657"/>
      <c r="D158" s="657"/>
      <c r="E158" s="657"/>
      <c r="F158" s="657"/>
      <c r="G158" s="657"/>
      <c r="H158" s="657"/>
      <c r="I158" s="506">
        <f>SUM(I156:I157)</f>
        <v>707.94</v>
      </c>
    </row>
    <row r="159" spans="2:11" ht="13.5" thickBot="1" x14ac:dyDescent="0.25">
      <c r="B159" s="447"/>
      <c r="C159" s="447"/>
      <c r="D159" s="447"/>
      <c r="E159" s="447"/>
      <c r="F159" s="447"/>
      <c r="G159" s="447"/>
      <c r="H159" s="447"/>
      <c r="I159" s="417"/>
    </row>
    <row r="160" spans="2:11" ht="15.75" x14ac:dyDescent="0.2">
      <c r="B160" s="530" t="s">
        <v>357</v>
      </c>
      <c r="C160" s="533" t="s">
        <v>537</v>
      </c>
      <c r="D160" s="775" t="s">
        <v>30</v>
      </c>
      <c r="E160" s="776"/>
      <c r="F160" s="776"/>
      <c r="G160" s="776"/>
      <c r="H160" s="776"/>
      <c r="I160" s="777"/>
    </row>
    <row r="161" spans="2:9" x14ac:dyDescent="0.2">
      <c r="B161" s="673" t="s">
        <v>134</v>
      </c>
      <c r="C161" s="674"/>
      <c r="D161" s="674"/>
      <c r="E161" s="674"/>
      <c r="F161" s="674"/>
      <c r="G161" s="675"/>
      <c r="H161" s="670" t="s">
        <v>494</v>
      </c>
      <c r="I161" s="671"/>
    </row>
    <row r="162" spans="2:9" x14ac:dyDescent="0.2">
      <c r="B162" s="778" t="s">
        <v>321</v>
      </c>
      <c r="C162" s="779"/>
      <c r="D162" s="779"/>
      <c r="E162" s="779"/>
      <c r="F162" s="779"/>
      <c r="G162" s="780"/>
      <c r="H162" s="214" t="s">
        <v>31</v>
      </c>
      <c r="I162" s="215" t="s">
        <v>52</v>
      </c>
    </row>
    <row r="163" spans="2:9" x14ac:dyDescent="0.2">
      <c r="B163" s="715" t="s">
        <v>32</v>
      </c>
      <c r="C163" s="716"/>
      <c r="D163" s="716"/>
      <c r="E163" s="716"/>
      <c r="F163" s="716"/>
      <c r="G163" s="716"/>
      <c r="H163" s="716"/>
      <c r="I163" s="717"/>
    </row>
    <row r="164" spans="2:9" ht="25.5" x14ac:dyDescent="0.2">
      <c r="B164" s="216" t="s">
        <v>33</v>
      </c>
      <c r="C164" s="217" t="s">
        <v>240</v>
      </c>
      <c r="D164" s="218" t="s">
        <v>6</v>
      </c>
      <c r="E164" s="218" t="s">
        <v>35</v>
      </c>
      <c r="F164" s="218" t="s">
        <v>36</v>
      </c>
      <c r="G164" s="218" t="s">
        <v>37</v>
      </c>
      <c r="H164" s="218" t="s">
        <v>38</v>
      </c>
      <c r="I164" s="219" t="s">
        <v>39</v>
      </c>
    </row>
    <row r="165" spans="2:9" x14ac:dyDescent="0.2">
      <c r="B165" s="78"/>
      <c r="C165" s="220"/>
      <c r="D165" s="221"/>
      <c r="E165" s="59"/>
      <c r="F165" s="59"/>
      <c r="G165" s="59"/>
      <c r="H165" s="59"/>
      <c r="I165" s="75"/>
    </row>
    <row r="166" spans="2:9" x14ac:dyDescent="0.2">
      <c r="B166" s="718" t="s">
        <v>43</v>
      </c>
      <c r="C166" s="719"/>
      <c r="D166" s="719"/>
      <c r="E166" s="719"/>
      <c r="F166" s="719"/>
      <c r="G166" s="719"/>
      <c r="H166" s="720"/>
      <c r="I166" s="388"/>
    </row>
    <row r="167" spans="2:9" x14ac:dyDescent="0.2">
      <c r="B167" s="715" t="s">
        <v>44</v>
      </c>
      <c r="C167" s="716"/>
      <c r="D167" s="716"/>
      <c r="E167" s="716"/>
      <c r="F167" s="716"/>
      <c r="G167" s="716"/>
      <c r="H167" s="716"/>
      <c r="I167" s="717"/>
    </row>
    <row r="168" spans="2:9" x14ac:dyDescent="0.2">
      <c r="B168" s="389" t="s">
        <v>33</v>
      </c>
      <c r="C168" s="390" t="s">
        <v>240</v>
      </c>
      <c r="D168" s="59" t="s">
        <v>6</v>
      </c>
      <c r="E168" s="61"/>
      <c r="F168" s="61"/>
      <c r="G168" s="61"/>
      <c r="H168" s="59" t="s">
        <v>45</v>
      </c>
      <c r="I168" s="75" t="s">
        <v>39</v>
      </c>
    </row>
    <row r="169" spans="2:9" x14ac:dyDescent="0.2">
      <c r="B169" s="391"/>
      <c r="C169" s="392"/>
      <c r="D169" s="220"/>
      <c r="E169" s="61"/>
      <c r="F169" s="61"/>
      <c r="G169" s="61"/>
      <c r="H169" s="59"/>
      <c r="I169" s="75"/>
    </row>
    <row r="170" spans="2:9" x14ac:dyDescent="0.2">
      <c r="B170" s="718" t="s">
        <v>43</v>
      </c>
      <c r="C170" s="719"/>
      <c r="D170" s="719"/>
      <c r="E170" s="719"/>
      <c r="F170" s="719"/>
      <c r="G170" s="719"/>
      <c r="H170" s="720"/>
      <c r="I170" s="75"/>
    </row>
    <row r="171" spans="2:9" x14ac:dyDescent="0.2">
      <c r="B171" s="715" t="s">
        <v>46</v>
      </c>
      <c r="C171" s="716"/>
      <c r="D171" s="716"/>
      <c r="E171" s="716"/>
      <c r="F171" s="716"/>
      <c r="G171" s="716"/>
      <c r="H171" s="716"/>
      <c r="I171" s="717"/>
    </row>
    <row r="172" spans="2:9" x14ac:dyDescent="0.2">
      <c r="B172" s="368" t="s">
        <v>33</v>
      </c>
      <c r="C172" s="393" t="s">
        <v>240</v>
      </c>
      <c r="D172" s="59" t="s">
        <v>6</v>
      </c>
      <c r="E172" s="61"/>
      <c r="F172" s="61"/>
      <c r="G172" s="61"/>
      <c r="H172" s="59" t="s">
        <v>45</v>
      </c>
      <c r="I172" s="75" t="s">
        <v>39</v>
      </c>
    </row>
    <row r="173" spans="2:9" x14ac:dyDescent="0.2">
      <c r="B173" s="78"/>
      <c r="C173" s="394"/>
      <c r="D173" s="395"/>
      <c r="E173" s="61"/>
      <c r="F173" s="61"/>
      <c r="G173" s="61"/>
      <c r="H173" s="59"/>
      <c r="I173" s="75"/>
    </row>
    <row r="174" spans="2:9" x14ac:dyDescent="0.2">
      <c r="B174" s="718" t="s">
        <v>43</v>
      </c>
      <c r="C174" s="719"/>
      <c r="D174" s="719"/>
      <c r="E174" s="719"/>
      <c r="F174" s="719"/>
      <c r="G174" s="719"/>
      <c r="H174" s="720"/>
      <c r="I174" s="75"/>
    </row>
    <row r="175" spans="2:9" x14ac:dyDescent="0.2">
      <c r="B175" s="715" t="s">
        <v>47</v>
      </c>
      <c r="C175" s="716"/>
      <c r="D175" s="716"/>
      <c r="E175" s="716"/>
      <c r="F175" s="716"/>
      <c r="G175" s="716"/>
      <c r="H175" s="716"/>
      <c r="I175" s="717"/>
    </row>
    <row r="176" spans="2:9" x14ac:dyDescent="0.2">
      <c r="B176" s="389" t="s">
        <v>33</v>
      </c>
      <c r="C176" s="390" t="s">
        <v>240</v>
      </c>
      <c r="D176" s="360" t="s">
        <v>6</v>
      </c>
      <c r="E176" s="61"/>
      <c r="F176" s="61"/>
      <c r="G176" s="61"/>
      <c r="H176" s="59" t="s">
        <v>45</v>
      </c>
      <c r="I176" s="75" t="s">
        <v>39</v>
      </c>
    </row>
    <row r="177" spans="2:11" x14ac:dyDescent="0.2">
      <c r="B177" s="396" t="s">
        <v>48</v>
      </c>
      <c r="C177" s="392" t="s">
        <v>41</v>
      </c>
      <c r="D177" s="584">
        <v>0.3</v>
      </c>
      <c r="E177" s="61"/>
      <c r="F177" s="61"/>
      <c r="G177" s="61"/>
      <c r="H177" s="477">
        <f>INSUMOS!E13</f>
        <v>7.81</v>
      </c>
      <c r="I177" s="557">
        <f>H177*D177</f>
        <v>2.34</v>
      </c>
    </row>
    <row r="178" spans="2:11" x14ac:dyDescent="0.2">
      <c r="B178" s="718" t="s">
        <v>43</v>
      </c>
      <c r="C178" s="719"/>
      <c r="D178" s="719"/>
      <c r="E178" s="719"/>
      <c r="F178" s="719"/>
      <c r="G178" s="719"/>
      <c r="H178" s="720"/>
      <c r="I178" s="558">
        <f>SUM(I177:I177)</f>
        <v>2.34</v>
      </c>
    </row>
    <row r="179" spans="2:11" x14ac:dyDescent="0.2">
      <c r="B179" s="397" t="s">
        <v>49</v>
      </c>
      <c r="C179" s="321">
        <v>1</v>
      </c>
      <c r="D179" s="722" t="s">
        <v>50</v>
      </c>
      <c r="E179" s="722"/>
      <c r="F179" s="722"/>
      <c r="G179" s="722"/>
      <c r="H179" s="771"/>
      <c r="I179" s="557">
        <f>I178+I174+I170+I166</f>
        <v>2.34</v>
      </c>
    </row>
    <row r="180" spans="2:11" x14ac:dyDescent="0.2">
      <c r="B180" s="772"/>
      <c r="C180" s="773"/>
      <c r="D180" s="773"/>
      <c r="E180" s="773"/>
      <c r="F180" s="773"/>
      <c r="G180" s="773"/>
      <c r="H180" s="774"/>
      <c r="I180" s="559">
        <f>I179/C179</f>
        <v>2.34</v>
      </c>
    </row>
    <row r="181" spans="2:11" x14ac:dyDescent="0.2">
      <c r="B181" s="222" t="s">
        <v>239</v>
      </c>
      <c r="C181" s="477">
        <f>BDI!C$36</f>
        <v>25</v>
      </c>
      <c r="D181" s="696" t="s">
        <v>103</v>
      </c>
      <c r="E181" s="696"/>
      <c r="F181" s="696"/>
      <c r="G181" s="696"/>
      <c r="H181" s="696"/>
      <c r="I181" s="524">
        <f>C181/100*I180</f>
        <v>0.59</v>
      </c>
    </row>
    <row r="182" spans="2:11" ht="13.5" thickBot="1" x14ac:dyDescent="0.25">
      <c r="B182" s="683" t="s">
        <v>51</v>
      </c>
      <c r="C182" s="684"/>
      <c r="D182" s="684"/>
      <c r="E182" s="684"/>
      <c r="F182" s="684"/>
      <c r="G182" s="684"/>
      <c r="H182" s="684"/>
      <c r="I182" s="506">
        <f>SUM(I180:I181)</f>
        <v>2.93</v>
      </c>
    </row>
    <row r="183" spans="2:11" ht="13.5" thickBot="1" x14ac:dyDescent="0.25">
      <c r="B183" s="447"/>
      <c r="C183" s="447"/>
      <c r="D183" s="447"/>
      <c r="E183" s="447"/>
      <c r="F183" s="447"/>
      <c r="G183" s="447"/>
      <c r="H183" s="447"/>
      <c r="I183" s="417"/>
    </row>
    <row r="184" spans="2:11" s="47" customFormat="1" ht="30" customHeight="1" x14ac:dyDescent="0.2">
      <c r="B184" s="530" t="s">
        <v>357</v>
      </c>
      <c r="C184" s="531" t="str">
        <f>'Planilha Orçamentária'!B29</f>
        <v>2.3</v>
      </c>
      <c r="D184" s="685" t="s">
        <v>30</v>
      </c>
      <c r="E184" s="685"/>
      <c r="F184" s="685"/>
      <c r="G184" s="685"/>
      <c r="H184" s="685"/>
      <c r="I184" s="685"/>
      <c r="K184" s="11"/>
    </row>
    <row r="185" spans="2:11" x14ac:dyDescent="0.2">
      <c r="B185" s="673" t="s">
        <v>134</v>
      </c>
      <c r="C185" s="674"/>
      <c r="D185" s="674"/>
      <c r="E185" s="674"/>
      <c r="F185" s="674"/>
      <c r="G185" s="675"/>
      <c r="H185" s="670" t="s">
        <v>494</v>
      </c>
      <c r="I185" s="671"/>
    </row>
    <row r="186" spans="2:11" x14ac:dyDescent="0.2">
      <c r="B186" s="721" t="s">
        <v>170</v>
      </c>
      <c r="C186" s="721"/>
      <c r="D186" s="721"/>
      <c r="E186" s="721"/>
      <c r="F186" s="721"/>
      <c r="G186" s="721"/>
      <c r="H186" s="97" t="s">
        <v>31</v>
      </c>
      <c r="I186" s="46" t="s">
        <v>142</v>
      </c>
      <c r="K186" s="47"/>
    </row>
    <row r="187" spans="2:11" x14ac:dyDescent="0.2">
      <c r="B187" s="668" t="s">
        <v>32</v>
      </c>
      <c r="C187" s="668"/>
      <c r="D187" s="668"/>
      <c r="E187" s="668"/>
      <c r="F187" s="668"/>
      <c r="G187" s="668"/>
      <c r="H187" s="668"/>
      <c r="I187" s="668"/>
    </row>
    <row r="188" spans="2:11" ht="26.25" customHeight="1" x14ac:dyDescent="0.2">
      <c r="B188" s="349" t="s">
        <v>33</v>
      </c>
      <c r="C188" s="350" t="s">
        <v>5</v>
      </c>
      <c r="D188" s="337" t="s">
        <v>6</v>
      </c>
      <c r="E188" s="337" t="s">
        <v>35</v>
      </c>
      <c r="F188" s="337" t="s">
        <v>36</v>
      </c>
      <c r="G188" s="337" t="s">
        <v>37</v>
      </c>
      <c r="H188" s="337" t="s">
        <v>38</v>
      </c>
      <c r="I188" s="203" t="s">
        <v>39</v>
      </c>
    </row>
    <row r="189" spans="2:11" x14ac:dyDescent="0.2">
      <c r="B189" s="319" t="s">
        <v>58</v>
      </c>
      <c r="C189" s="28" t="s">
        <v>41</v>
      </c>
      <c r="D189" s="570">
        <v>4</v>
      </c>
      <c r="E189" s="20">
        <v>1</v>
      </c>
      <c r="F189" s="20"/>
      <c r="G189" s="535">
        <f>INSUMOS!E60</f>
        <v>3.17</v>
      </c>
      <c r="H189" s="20"/>
      <c r="I189" s="536">
        <f>D189*E189*G189+D189*F189*H189</f>
        <v>12.68</v>
      </c>
    </row>
    <row r="190" spans="2:11" x14ac:dyDescent="0.2">
      <c r="B190" s="669" t="s">
        <v>43</v>
      </c>
      <c r="C190" s="669"/>
      <c r="D190" s="669"/>
      <c r="E190" s="669"/>
      <c r="F190" s="669"/>
      <c r="G190" s="669"/>
      <c r="H190" s="669"/>
      <c r="I190" s="537">
        <f>SUM(I189:I189)</f>
        <v>12.68</v>
      </c>
    </row>
    <row r="191" spans="2:11" x14ac:dyDescent="0.2">
      <c r="B191" s="668" t="s">
        <v>44</v>
      </c>
      <c r="C191" s="668"/>
      <c r="D191" s="668"/>
      <c r="E191" s="668"/>
      <c r="F191" s="668"/>
      <c r="G191" s="668"/>
      <c r="H191" s="668"/>
      <c r="I191" s="668"/>
    </row>
    <row r="192" spans="2:11" s="47" customFormat="1" ht="16.5" customHeight="1" x14ac:dyDescent="0.2">
      <c r="B192" s="351" t="s">
        <v>33</v>
      </c>
      <c r="C192" s="352" t="s">
        <v>5</v>
      </c>
      <c r="D192" s="20" t="s">
        <v>6</v>
      </c>
      <c r="E192" s="21"/>
      <c r="F192" s="21"/>
      <c r="G192" s="21"/>
      <c r="H192" s="20" t="s">
        <v>45</v>
      </c>
      <c r="I192" s="30" t="s">
        <v>39</v>
      </c>
      <c r="K192" s="11"/>
    </row>
    <row r="193" spans="2:11" s="47" customFormat="1" ht="19.5" customHeight="1" x14ac:dyDescent="0.2">
      <c r="B193" s="319" t="s">
        <v>59</v>
      </c>
      <c r="C193" s="28" t="s">
        <v>56</v>
      </c>
      <c r="D193" s="570">
        <v>0.5</v>
      </c>
      <c r="E193" s="21"/>
      <c r="F193" s="21"/>
      <c r="G193" s="21"/>
      <c r="H193" s="535">
        <f>INSUMOS!E29</f>
        <v>13</v>
      </c>
      <c r="I193" s="536">
        <f>H193*D193</f>
        <v>6.5</v>
      </c>
      <c r="K193" s="11"/>
    </row>
    <row r="194" spans="2:11" s="47" customFormat="1" ht="18" customHeight="1" x14ac:dyDescent="0.2">
      <c r="B194" s="35" t="s">
        <v>60</v>
      </c>
      <c r="C194" s="28" t="s">
        <v>56</v>
      </c>
      <c r="D194" s="570">
        <v>20</v>
      </c>
      <c r="E194" s="21"/>
      <c r="F194" s="21"/>
      <c r="G194" s="21"/>
      <c r="H194" s="535">
        <f>INSUMOS!E28</f>
        <v>2.77</v>
      </c>
      <c r="I194" s="536">
        <f>H194*D194</f>
        <v>55.4</v>
      </c>
    </row>
    <row r="195" spans="2:11" s="47" customFormat="1" ht="17.25" customHeight="1" x14ac:dyDescent="0.2">
      <c r="B195" s="669" t="s">
        <v>43</v>
      </c>
      <c r="C195" s="669"/>
      <c r="D195" s="669"/>
      <c r="E195" s="669"/>
      <c r="F195" s="669"/>
      <c r="G195" s="669"/>
      <c r="H195" s="669"/>
      <c r="I195" s="536">
        <f>SUM(I193:I194)</f>
        <v>61.9</v>
      </c>
    </row>
    <row r="196" spans="2:11" x14ac:dyDescent="0.2">
      <c r="B196" s="668" t="s">
        <v>46</v>
      </c>
      <c r="C196" s="668"/>
      <c r="D196" s="668"/>
      <c r="E196" s="668"/>
      <c r="F196" s="668"/>
      <c r="G196" s="668"/>
      <c r="H196" s="668"/>
      <c r="I196" s="668"/>
      <c r="K196" s="47"/>
    </row>
    <row r="197" spans="2:11" ht="15" customHeight="1" x14ac:dyDescent="0.2">
      <c r="B197" s="339" t="s">
        <v>33</v>
      </c>
      <c r="C197" s="347" t="s">
        <v>5</v>
      </c>
      <c r="D197" s="20" t="s">
        <v>6</v>
      </c>
      <c r="E197" s="21"/>
      <c r="F197" s="21"/>
      <c r="G197" s="21"/>
      <c r="H197" s="20" t="s">
        <v>45</v>
      </c>
      <c r="I197" s="36" t="s">
        <v>39</v>
      </c>
      <c r="K197" s="47"/>
    </row>
    <row r="198" spans="2:11" ht="15" customHeight="1" x14ac:dyDescent="0.2">
      <c r="B198" s="19"/>
      <c r="C198" s="20"/>
      <c r="D198" s="20"/>
      <c r="E198" s="21"/>
      <c r="F198" s="21"/>
      <c r="G198" s="21"/>
      <c r="H198" s="20"/>
      <c r="I198" s="30"/>
    </row>
    <row r="199" spans="2:11" s="47" customFormat="1" ht="19.5" customHeight="1" x14ac:dyDescent="0.2">
      <c r="B199" s="669" t="s">
        <v>43</v>
      </c>
      <c r="C199" s="669"/>
      <c r="D199" s="669"/>
      <c r="E199" s="669"/>
      <c r="F199" s="669"/>
      <c r="G199" s="669"/>
      <c r="H199" s="669"/>
      <c r="I199" s="30"/>
      <c r="K199" s="11"/>
    </row>
    <row r="200" spans="2:11" s="47" customFormat="1" ht="15" customHeight="1" x14ac:dyDescent="0.2">
      <c r="B200" s="668" t="s">
        <v>47</v>
      </c>
      <c r="C200" s="668"/>
      <c r="D200" s="668"/>
      <c r="E200" s="668"/>
      <c r="F200" s="668"/>
      <c r="G200" s="668"/>
      <c r="H200" s="668"/>
      <c r="I200" s="668"/>
      <c r="K200" s="11"/>
    </row>
    <row r="201" spans="2:11" s="47" customFormat="1" ht="15" customHeight="1" x14ac:dyDescent="0.2">
      <c r="B201" s="351" t="s">
        <v>33</v>
      </c>
      <c r="C201" s="352" t="s">
        <v>5</v>
      </c>
      <c r="D201" s="321" t="s">
        <v>6</v>
      </c>
      <c r="E201" s="21"/>
      <c r="F201" s="21"/>
      <c r="G201" s="21"/>
      <c r="H201" s="20" t="s">
        <v>45</v>
      </c>
      <c r="I201" s="30" t="s">
        <v>39</v>
      </c>
      <c r="J201" s="79"/>
    </row>
    <row r="202" spans="2:11" s="47" customFormat="1" ht="15" customHeight="1" x14ac:dyDescent="0.2">
      <c r="B202" s="35" t="s">
        <v>61</v>
      </c>
      <c r="C202" s="27" t="s">
        <v>41</v>
      </c>
      <c r="D202" s="535">
        <v>2</v>
      </c>
      <c r="E202" s="21"/>
      <c r="F202" s="21"/>
      <c r="G202" s="21"/>
      <c r="H202" s="535">
        <f>INSUMOS!E15</f>
        <v>23.62</v>
      </c>
      <c r="I202" s="536">
        <f>H202*D202</f>
        <v>47.24</v>
      </c>
      <c r="J202" s="79"/>
    </row>
    <row r="203" spans="2:11" s="47" customFormat="1" ht="15" customHeight="1" x14ac:dyDescent="0.2">
      <c r="B203" s="201" t="s">
        <v>48</v>
      </c>
      <c r="C203" s="27" t="s">
        <v>41</v>
      </c>
      <c r="D203" s="535">
        <v>2</v>
      </c>
      <c r="E203" s="21"/>
      <c r="F203" s="21"/>
      <c r="G203" s="21"/>
      <c r="H203" s="535">
        <f>INSUMOS!E13</f>
        <v>7.81</v>
      </c>
      <c r="I203" s="536">
        <f>H203*D203</f>
        <v>15.62</v>
      </c>
      <c r="J203" s="79"/>
    </row>
    <row r="204" spans="2:11" s="47" customFormat="1" ht="15" customHeight="1" x14ac:dyDescent="0.2">
      <c r="B204" s="201" t="s">
        <v>62</v>
      </c>
      <c r="C204" s="27" t="s">
        <v>41</v>
      </c>
      <c r="D204" s="535">
        <v>2</v>
      </c>
      <c r="E204" s="21"/>
      <c r="F204" s="21"/>
      <c r="G204" s="21"/>
      <c r="H204" s="535">
        <f>INSUMOS!E12</f>
        <v>19.84</v>
      </c>
      <c r="I204" s="536">
        <f>H204*D204</f>
        <v>39.68</v>
      </c>
      <c r="J204" s="79"/>
    </row>
    <row r="205" spans="2:11" s="47" customFormat="1" ht="15" customHeight="1" x14ac:dyDescent="0.2">
      <c r="B205" s="669" t="s">
        <v>43</v>
      </c>
      <c r="C205" s="669"/>
      <c r="D205" s="669"/>
      <c r="E205" s="669"/>
      <c r="F205" s="669"/>
      <c r="G205" s="669"/>
      <c r="H205" s="669"/>
      <c r="I205" s="537">
        <f>SUM(I202:I204)</f>
        <v>102.54</v>
      </c>
    </row>
    <row r="206" spans="2:11" ht="14.1" customHeight="1" x14ac:dyDescent="0.2">
      <c r="B206" s="346" t="s">
        <v>49</v>
      </c>
      <c r="C206" s="271">
        <v>1</v>
      </c>
      <c r="D206" s="654" t="s">
        <v>50</v>
      </c>
      <c r="E206" s="655"/>
      <c r="F206" s="655"/>
      <c r="G206" s="655"/>
      <c r="H206" s="656"/>
      <c r="I206" s="537">
        <f>I205+I199+I195+I190</f>
        <v>177.12</v>
      </c>
      <c r="K206" s="47"/>
    </row>
    <row r="207" spans="2:11" ht="14.1" customHeight="1" x14ac:dyDescent="0.2">
      <c r="B207" s="665"/>
      <c r="C207" s="666"/>
      <c r="D207" s="666"/>
      <c r="E207" s="666"/>
      <c r="F207" s="666"/>
      <c r="G207" s="666"/>
      <c r="H207" s="667"/>
      <c r="I207" s="537">
        <f>I206/C206</f>
        <v>177.12</v>
      </c>
      <c r="K207" s="47"/>
    </row>
    <row r="208" spans="2:11" ht="14.1" customHeight="1" x14ac:dyDescent="0.2">
      <c r="B208" s="342" t="s">
        <v>135</v>
      </c>
      <c r="C208" s="477">
        <f>BDI!C$36</f>
        <v>25</v>
      </c>
      <c r="D208" s="343" t="s">
        <v>103</v>
      </c>
      <c r="E208" s="344"/>
      <c r="F208" s="344"/>
      <c r="G208" s="344"/>
      <c r="H208" s="345"/>
      <c r="I208" s="536">
        <f>C208/100*I207</f>
        <v>44.28</v>
      </c>
    </row>
    <row r="209" spans="2:11" s="47" customFormat="1" ht="16.5" customHeight="1" thickBot="1" x14ac:dyDescent="0.25">
      <c r="B209" s="657" t="s">
        <v>51</v>
      </c>
      <c r="C209" s="657"/>
      <c r="D209" s="657"/>
      <c r="E209" s="657"/>
      <c r="F209" s="657"/>
      <c r="G209" s="657"/>
      <c r="H209" s="657"/>
      <c r="I209" s="506">
        <f>SUM(I207:I208)</f>
        <v>221.4</v>
      </c>
      <c r="K209" s="11"/>
    </row>
    <row r="210" spans="2:11" s="47" customFormat="1" ht="19.5" customHeight="1" thickBot="1" x14ac:dyDescent="0.25">
      <c r="B210" s="447"/>
      <c r="C210" s="447"/>
      <c r="D210" s="447"/>
      <c r="E210" s="447"/>
      <c r="F210" s="447"/>
      <c r="G210" s="447"/>
      <c r="H210" s="447"/>
      <c r="I210" s="418"/>
      <c r="K210" s="11"/>
    </row>
    <row r="211" spans="2:11" s="47" customFormat="1" ht="21" customHeight="1" x14ac:dyDescent="0.2">
      <c r="B211" s="530" t="s">
        <v>357</v>
      </c>
      <c r="C211" s="531" t="s">
        <v>17</v>
      </c>
      <c r="D211" s="685" t="s">
        <v>30</v>
      </c>
      <c r="E211" s="685"/>
      <c r="F211" s="685"/>
      <c r="G211" s="685"/>
      <c r="H211" s="685"/>
      <c r="I211" s="685"/>
      <c r="K211" s="11"/>
    </row>
    <row r="212" spans="2:11" s="47" customFormat="1" ht="16.5" customHeight="1" x14ac:dyDescent="0.2">
      <c r="B212" s="673" t="s">
        <v>134</v>
      </c>
      <c r="C212" s="674"/>
      <c r="D212" s="674"/>
      <c r="E212" s="674"/>
      <c r="F212" s="674"/>
      <c r="G212" s="675"/>
      <c r="H212" s="670" t="s">
        <v>494</v>
      </c>
      <c r="I212" s="671"/>
      <c r="K212" s="11"/>
    </row>
    <row r="213" spans="2:11" s="47" customFormat="1" ht="15.75" customHeight="1" x14ac:dyDescent="0.2">
      <c r="B213" s="672" t="s">
        <v>322</v>
      </c>
      <c r="C213" s="672"/>
      <c r="D213" s="672"/>
      <c r="E213" s="672"/>
      <c r="F213" s="672"/>
      <c r="G213" s="672"/>
      <c r="H213" s="12" t="s">
        <v>31</v>
      </c>
      <c r="I213" s="208" t="s">
        <v>19</v>
      </c>
      <c r="K213" s="11"/>
    </row>
    <row r="214" spans="2:11" s="47" customFormat="1" ht="16.5" customHeight="1" x14ac:dyDescent="0.2">
      <c r="B214" s="688" t="s">
        <v>32</v>
      </c>
      <c r="C214" s="688"/>
      <c r="D214" s="688"/>
      <c r="E214" s="688"/>
      <c r="F214" s="688"/>
      <c r="G214" s="688"/>
      <c r="H214" s="688"/>
      <c r="I214" s="688"/>
      <c r="K214" s="11"/>
    </row>
    <row r="215" spans="2:11" s="47" customFormat="1" ht="25.5" customHeight="1" x14ac:dyDescent="0.2">
      <c r="B215" s="209" t="s">
        <v>33</v>
      </c>
      <c r="C215" s="210" t="s">
        <v>5</v>
      </c>
      <c r="D215" s="211" t="s">
        <v>6</v>
      </c>
      <c r="E215" s="212" t="s">
        <v>35</v>
      </c>
      <c r="F215" s="212" t="s">
        <v>36</v>
      </c>
      <c r="G215" s="212" t="s">
        <v>37</v>
      </c>
      <c r="H215" s="212" t="s">
        <v>38</v>
      </c>
      <c r="I215" s="213" t="s">
        <v>39</v>
      </c>
      <c r="K215" s="11"/>
    </row>
    <row r="216" spans="2:11" s="47" customFormat="1" ht="22.5" customHeight="1" x14ac:dyDescent="0.2">
      <c r="B216" s="319" t="s">
        <v>58</v>
      </c>
      <c r="C216" s="34" t="s">
        <v>41</v>
      </c>
      <c r="D216" s="587">
        <v>0.5</v>
      </c>
      <c r="E216" s="24">
        <v>1</v>
      </c>
      <c r="F216" s="24"/>
      <c r="G216" s="535">
        <f>INSUMOS!E61</f>
        <v>3.17</v>
      </c>
      <c r="H216" s="24"/>
      <c r="I216" s="536">
        <f>D216*E216*G216+D216*F216*H216</f>
        <v>1.59</v>
      </c>
      <c r="K216" s="11"/>
    </row>
    <row r="217" spans="2:11" s="47" customFormat="1" ht="18" customHeight="1" x14ac:dyDescent="0.2">
      <c r="B217" s="319" t="s">
        <v>63</v>
      </c>
      <c r="C217" s="34" t="s">
        <v>41</v>
      </c>
      <c r="D217" s="587">
        <v>0.5</v>
      </c>
      <c r="E217" s="24">
        <v>1</v>
      </c>
      <c r="F217" s="24"/>
      <c r="G217" s="535">
        <f>INSUMOS!E62</f>
        <v>9.44</v>
      </c>
      <c r="H217" s="24"/>
      <c r="I217" s="536">
        <f>D217*E217*G217+D217*F217*H217</f>
        <v>4.72</v>
      </c>
      <c r="K217" s="11"/>
    </row>
    <row r="218" spans="2:11" s="47" customFormat="1" ht="18.75" customHeight="1" x14ac:dyDescent="0.2">
      <c r="B218" s="669" t="s">
        <v>43</v>
      </c>
      <c r="C218" s="669"/>
      <c r="D218" s="669"/>
      <c r="E218" s="669"/>
      <c r="F218" s="669"/>
      <c r="G218" s="669"/>
      <c r="H218" s="669"/>
      <c r="I218" s="537">
        <f>SUM(I216:I217)</f>
        <v>6.31</v>
      </c>
      <c r="K218" s="11"/>
    </row>
    <row r="219" spans="2:11" s="47" customFormat="1" ht="18.75" customHeight="1" x14ac:dyDescent="0.2">
      <c r="B219" s="688" t="s">
        <v>44</v>
      </c>
      <c r="C219" s="688"/>
      <c r="D219" s="688"/>
      <c r="E219" s="688"/>
      <c r="F219" s="688"/>
      <c r="G219" s="688"/>
      <c r="H219" s="688"/>
      <c r="I219" s="688"/>
      <c r="K219" s="11"/>
    </row>
    <row r="220" spans="2:11" s="47" customFormat="1" ht="22.5" customHeight="1" x14ac:dyDescent="0.2">
      <c r="B220" s="353" t="s">
        <v>33</v>
      </c>
      <c r="C220" s="348" t="s">
        <v>5</v>
      </c>
      <c r="D220" s="25" t="s">
        <v>6</v>
      </c>
      <c r="E220" s="25"/>
      <c r="F220" s="25"/>
      <c r="G220" s="25"/>
      <c r="H220" s="24" t="s">
        <v>45</v>
      </c>
      <c r="I220" s="36" t="s">
        <v>39</v>
      </c>
      <c r="K220" s="11"/>
    </row>
    <row r="221" spans="2:11" s="47" customFormat="1" ht="18" customHeight="1" x14ac:dyDescent="0.2">
      <c r="B221" s="319" t="s">
        <v>64</v>
      </c>
      <c r="C221" s="28" t="s">
        <v>56</v>
      </c>
      <c r="D221" s="570">
        <v>0.15</v>
      </c>
      <c r="E221" s="25"/>
      <c r="F221" s="25"/>
      <c r="G221" s="25"/>
      <c r="H221" s="535">
        <f>INSUMOS!E29</f>
        <v>13</v>
      </c>
      <c r="I221" s="536">
        <f>H221*D221</f>
        <v>1.95</v>
      </c>
      <c r="K221" s="11"/>
    </row>
    <row r="222" spans="2:11" s="47" customFormat="1" ht="19.5" customHeight="1" x14ac:dyDescent="0.2">
      <c r="B222" s="319" t="s">
        <v>65</v>
      </c>
      <c r="C222" s="28" t="s">
        <v>53</v>
      </c>
      <c r="D222" s="570">
        <v>0.1</v>
      </c>
      <c r="E222" s="25"/>
      <c r="F222" s="25"/>
      <c r="G222" s="25"/>
      <c r="H222" s="556">
        <f>INSUMOS!E83</f>
        <v>19.079999999999998</v>
      </c>
      <c r="I222" s="536">
        <f>H222*D222</f>
        <v>1.91</v>
      </c>
      <c r="K222" s="11"/>
    </row>
    <row r="223" spans="2:11" s="47" customFormat="1" ht="15.75" customHeight="1" x14ac:dyDescent="0.2">
      <c r="B223" s="319" t="s">
        <v>60</v>
      </c>
      <c r="C223" s="28" t="s">
        <v>56</v>
      </c>
      <c r="D223" s="570">
        <v>6</v>
      </c>
      <c r="E223" s="25"/>
      <c r="F223" s="25"/>
      <c r="G223" s="25"/>
      <c r="H223" s="556">
        <f>INSUMOS!E28</f>
        <v>2.77</v>
      </c>
      <c r="I223" s="536">
        <f>H223*D223</f>
        <v>16.62</v>
      </c>
      <c r="K223" s="11"/>
    </row>
    <row r="224" spans="2:11" s="47" customFormat="1" ht="21.75" customHeight="1" x14ac:dyDescent="0.2">
      <c r="B224" s="669" t="s">
        <v>43</v>
      </c>
      <c r="C224" s="669"/>
      <c r="D224" s="669"/>
      <c r="E224" s="669"/>
      <c r="F224" s="669"/>
      <c r="G224" s="669"/>
      <c r="H224" s="669"/>
      <c r="I224" s="536">
        <f>SUM(I221:I223)</f>
        <v>20.48</v>
      </c>
      <c r="K224" s="11"/>
    </row>
    <row r="225" spans="2:11" s="47" customFormat="1" ht="21.75" customHeight="1" x14ac:dyDescent="0.2">
      <c r="B225" s="688" t="s">
        <v>46</v>
      </c>
      <c r="C225" s="688"/>
      <c r="D225" s="688"/>
      <c r="E225" s="688"/>
      <c r="F225" s="688"/>
      <c r="G225" s="688"/>
      <c r="H225" s="688"/>
      <c r="I225" s="688"/>
      <c r="K225" s="11"/>
    </row>
    <row r="226" spans="2:11" s="47" customFormat="1" ht="23.25" customHeight="1" x14ac:dyDescent="0.2">
      <c r="B226" s="339" t="s">
        <v>33</v>
      </c>
      <c r="C226" s="27" t="s">
        <v>5</v>
      </c>
      <c r="D226" s="21" t="s">
        <v>6</v>
      </c>
      <c r="E226" s="21"/>
      <c r="F226" s="21"/>
      <c r="G226" s="21"/>
      <c r="H226" s="20" t="s">
        <v>45</v>
      </c>
      <c r="I226" s="30" t="s">
        <v>39</v>
      </c>
      <c r="K226" s="11"/>
    </row>
    <row r="227" spans="2:11" s="47" customFormat="1" ht="17.25" customHeight="1" x14ac:dyDescent="0.2">
      <c r="B227" s="19"/>
      <c r="C227" s="20"/>
      <c r="D227" s="21"/>
      <c r="E227" s="21"/>
      <c r="F227" s="21"/>
      <c r="G227" s="21"/>
      <c r="H227" s="20"/>
      <c r="I227" s="30"/>
      <c r="K227" s="11"/>
    </row>
    <row r="228" spans="2:11" s="47" customFormat="1" ht="18" customHeight="1" x14ac:dyDescent="0.2">
      <c r="B228" s="669" t="s">
        <v>43</v>
      </c>
      <c r="C228" s="669"/>
      <c r="D228" s="669"/>
      <c r="E228" s="669"/>
      <c r="F228" s="669"/>
      <c r="G228" s="669"/>
      <c r="H228" s="669"/>
      <c r="I228" s="30"/>
      <c r="K228" s="11"/>
    </row>
    <row r="229" spans="2:11" s="47" customFormat="1" ht="21.75" customHeight="1" x14ac:dyDescent="0.2">
      <c r="B229" s="688" t="s">
        <v>47</v>
      </c>
      <c r="C229" s="688"/>
      <c r="D229" s="688"/>
      <c r="E229" s="688"/>
      <c r="F229" s="688"/>
      <c r="G229" s="688"/>
      <c r="H229" s="688"/>
      <c r="I229" s="688"/>
      <c r="K229" s="11"/>
    </row>
    <row r="230" spans="2:11" s="47" customFormat="1" ht="16.5" customHeight="1" x14ac:dyDescent="0.2">
      <c r="B230" s="353" t="s">
        <v>33</v>
      </c>
      <c r="C230" s="348" t="s">
        <v>5</v>
      </c>
      <c r="D230" s="385" t="s">
        <v>6</v>
      </c>
      <c r="E230" s="25"/>
      <c r="F230" s="25"/>
      <c r="G230" s="25"/>
      <c r="H230" s="24" t="s">
        <v>45</v>
      </c>
      <c r="I230" s="36" t="s">
        <v>39</v>
      </c>
      <c r="K230" s="11"/>
    </row>
    <row r="231" spans="2:11" s="47" customFormat="1" ht="22.5" customHeight="1" x14ac:dyDescent="0.2">
      <c r="B231" s="35" t="s">
        <v>61</v>
      </c>
      <c r="C231" s="347" t="s">
        <v>41</v>
      </c>
      <c r="D231" s="535">
        <v>1.7</v>
      </c>
      <c r="E231" s="25"/>
      <c r="F231" s="25"/>
      <c r="G231" s="25"/>
      <c r="H231" s="535">
        <f>INSUMOS!E15</f>
        <v>23.62</v>
      </c>
      <c r="I231" s="555">
        <f>H231*D231</f>
        <v>40.15</v>
      </c>
      <c r="K231" s="11"/>
    </row>
    <row r="232" spans="2:11" s="47" customFormat="1" ht="21" customHeight="1" x14ac:dyDescent="0.2">
      <c r="B232" s="201" t="s">
        <v>48</v>
      </c>
      <c r="C232" s="347" t="s">
        <v>41</v>
      </c>
      <c r="D232" s="535">
        <v>0.4</v>
      </c>
      <c r="E232" s="25"/>
      <c r="F232" s="25"/>
      <c r="G232" s="25"/>
      <c r="H232" s="535">
        <f>INSUMOS!E13</f>
        <v>7.81</v>
      </c>
      <c r="I232" s="555">
        <f>H232*D232</f>
        <v>3.12</v>
      </c>
      <c r="K232" s="11"/>
    </row>
    <row r="233" spans="2:11" s="47" customFormat="1" ht="21" customHeight="1" x14ac:dyDescent="0.2">
      <c r="B233" s="201" t="s">
        <v>66</v>
      </c>
      <c r="C233" s="347" t="s">
        <v>41</v>
      </c>
      <c r="D233" s="535">
        <v>1.7</v>
      </c>
      <c r="E233" s="25"/>
      <c r="F233" s="25"/>
      <c r="G233" s="25"/>
      <c r="H233" s="535">
        <f>INSUMOS!E19</f>
        <v>12.78</v>
      </c>
      <c r="I233" s="555">
        <f>H233*D233</f>
        <v>21.73</v>
      </c>
      <c r="K233" s="11"/>
    </row>
    <row r="234" spans="2:11" s="47" customFormat="1" ht="20.25" customHeight="1" x14ac:dyDescent="0.2">
      <c r="B234" s="669" t="s">
        <v>43</v>
      </c>
      <c r="C234" s="669"/>
      <c r="D234" s="669"/>
      <c r="E234" s="669"/>
      <c r="F234" s="669"/>
      <c r="G234" s="669"/>
      <c r="H234" s="669"/>
      <c r="I234" s="552">
        <f>SUM(I231:I233)</f>
        <v>65</v>
      </c>
      <c r="K234" s="11"/>
    </row>
    <row r="235" spans="2:11" s="47" customFormat="1" ht="17.25" customHeight="1" x14ac:dyDescent="0.2">
      <c r="B235" s="341" t="s">
        <v>49</v>
      </c>
      <c r="C235" s="20">
        <v>1</v>
      </c>
      <c r="D235" s="682" t="s">
        <v>50</v>
      </c>
      <c r="E235" s="682"/>
      <c r="F235" s="682"/>
      <c r="G235" s="682"/>
      <c r="H235" s="682"/>
      <c r="I235" s="552">
        <f>I234+I228+I224+I218</f>
        <v>91.79</v>
      </c>
      <c r="K235" s="11"/>
    </row>
    <row r="236" spans="2:11" s="47" customFormat="1" ht="15.75" customHeight="1" x14ac:dyDescent="0.2">
      <c r="B236" s="342"/>
      <c r="C236" s="386"/>
      <c r="D236" s="387"/>
      <c r="E236" s="387"/>
      <c r="F236" s="387"/>
      <c r="G236" s="387"/>
      <c r="H236" s="190"/>
      <c r="I236" s="552">
        <f>I235/C235</f>
        <v>91.79</v>
      </c>
      <c r="K236" s="11"/>
    </row>
    <row r="237" spans="2:11" s="47" customFormat="1" ht="15.75" customHeight="1" x14ac:dyDescent="0.2">
      <c r="B237" s="342" t="s">
        <v>239</v>
      </c>
      <c r="C237" s="477">
        <f>BDI!C$36</f>
        <v>25</v>
      </c>
      <c r="D237" s="344" t="s">
        <v>103</v>
      </c>
      <c r="E237" s="344"/>
      <c r="F237" s="344"/>
      <c r="G237" s="344"/>
      <c r="H237" s="345"/>
      <c r="I237" s="536">
        <f>C237/100*I236</f>
        <v>22.95</v>
      </c>
      <c r="K237" s="11"/>
    </row>
    <row r="238" spans="2:11" s="47" customFormat="1" ht="17.25" customHeight="1" thickBot="1" x14ac:dyDescent="0.25">
      <c r="B238" s="657" t="s">
        <v>51</v>
      </c>
      <c r="C238" s="703"/>
      <c r="D238" s="657"/>
      <c r="E238" s="657"/>
      <c r="F238" s="657"/>
      <c r="G238" s="657"/>
      <c r="H238" s="657"/>
      <c r="I238" s="506">
        <f>I236+I237</f>
        <v>114.74</v>
      </c>
      <c r="K238" s="11"/>
    </row>
    <row r="239" spans="2:11" ht="15" customHeight="1" thickBot="1" x14ac:dyDescent="0.25"/>
    <row r="240" spans="2:11" ht="15" customHeight="1" x14ac:dyDescent="0.2">
      <c r="B240" s="530" t="s">
        <v>357</v>
      </c>
      <c r="C240" s="531" t="s">
        <v>20</v>
      </c>
      <c r="D240" s="685" t="s">
        <v>30</v>
      </c>
      <c r="E240" s="685"/>
      <c r="F240" s="685"/>
      <c r="G240" s="685"/>
      <c r="H240" s="685"/>
      <c r="I240" s="685"/>
      <c r="K240" s="47"/>
    </row>
    <row r="241" spans="2:11" ht="15" customHeight="1" x14ac:dyDescent="0.2">
      <c r="B241" s="673" t="s">
        <v>134</v>
      </c>
      <c r="C241" s="674"/>
      <c r="D241" s="674"/>
      <c r="E241" s="674"/>
      <c r="F241" s="674"/>
      <c r="G241" s="675"/>
      <c r="H241" s="670" t="s">
        <v>494</v>
      </c>
      <c r="I241" s="671"/>
    </row>
    <row r="242" spans="2:11" ht="15" customHeight="1" x14ac:dyDescent="0.2">
      <c r="B242" s="672" t="s">
        <v>323</v>
      </c>
      <c r="C242" s="672"/>
      <c r="D242" s="672"/>
      <c r="E242" s="672"/>
      <c r="F242" s="672"/>
      <c r="G242" s="672"/>
      <c r="H242" s="12" t="s">
        <v>31</v>
      </c>
      <c r="I242" s="46" t="s">
        <v>19</v>
      </c>
    </row>
    <row r="243" spans="2:11" ht="15" customHeight="1" x14ac:dyDescent="0.2">
      <c r="B243" s="668" t="s">
        <v>32</v>
      </c>
      <c r="C243" s="668"/>
      <c r="D243" s="668"/>
      <c r="E243" s="668"/>
      <c r="F243" s="668"/>
      <c r="G243" s="668"/>
      <c r="H243" s="668"/>
      <c r="I243" s="668"/>
    </row>
    <row r="244" spans="2:11" ht="28.5" customHeight="1" x14ac:dyDescent="0.2">
      <c r="B244" s="13" t="s">
        <v>33</v>
      </c>
      <c r="C244" s="62" t="s">
        <v>5</v>
      </c>
      <c r="D244" s="14" t="s">
        <v>6</v>
      </c>
      <c r="E244" s="14" t="s">
        <v>35</v>
      </c>
      <c r="F244" s="14" t="s">
        <v>36</v>
      </c>
      <c r="G244" s="14" t="s">
        <v>37</v>
      </c>
      <c r="H244" s="14" t="s">
        <v>38</v>
      </c>
      <c r="I244" s="15" t="s">
        <v>39</v>
      </c>
    </row>
    <row r="245" spans="2:11" s="47" customFormat="1" ht="30" customHeight="1" x14ac:dyDescent="0.2">
      <c r="B245" s="319" t="s">
        <v>63</v>
      </c>
      <c r="C245" s="28" t="s">
        <v>41</v>
      </c>
      <c r="D245" s="570">
        <v>0.4</v>
      </c>
      <c r="E245" s="20">
        <v>1</v>
      </c>
      <c r="F245" s="24"/>
      <c r="G245" s="535">
        <f>INSUMOS!E62</f>
        <v>9.44</v>
      </c>
      <c r="H245" s="24"/>
      <c r="I245" s="536">
        <f>D245*E245*G245+D245*F245*H245</f>
        <v>3.78</v>
      </c>
      <c r="K245" s="11"/>
    </row>
    <row r="246" spans="2:11" ht="15.75" customHeight="1" x14ac:dyDescent="0.2">
      <c r="B246" s="319" t="s">
        <v>58</v>
      </c>
      <c r="C246" s="28" t="s">
        <v>41</v>
      </c>
      <c r="D246" s="570">
        <v>0.4</v>
      </c>
      <c r="E246" s="20">
        <v>1</v>
      </c>
      <c r="F246" s="24"/>
      <c r="G246" s="535">
        <f>INSUMOS!E61</f>
        <v>3.17</v>
      </c>
      <c r="H246" s="24"/>
      <c r="I246" s="536">
        <f>D246*E246*G246+D246*F246*H246</f>
        <v>1.27</v>
      </c>
    </row>
    <row r="247" spans="2:11" ht="15.75" customHeight="1" x14ac:dyDescent="0.2">
      <c r="B247" s="669" t="s">
        <v>43</v>
      </c>
      <c r="C247" s="669"/>
      <c r="D247" s="669"/>
      <c r="E247" s="669"/>
      <c r="F247" s="669"/>
      <c r="G247" s="669"/>
      <c r="H247" s="669"/>
      <c r="I247" s="537">
        <f>SUM(I245:I246)</f>
        <v>5.05</v>
      </c>
      <c r="K247" s="47"/>
    </row>
    <row r="248" spans="2:11" ht="15.75" customHeight="1" x14ac:dyDescent="0.2">
      <c r="B248" s="668" t="s">
        <v>44</v>
      </c>
      <c r="C248" s="668"/>
      <c r="D248" s="668"/>
      <c r="E248" s="668"/>
      <c r="F248" s="668"/>
      <c r="G248" s="668"/>
      <c r="H248" s="668"/>
      <c r="I248" s="668"/>
    </row>
    <row r="249" spans="2:11" ht="15.75" customHeight="1" x14ac:dyDescent="0.2">
      <c r="B249" s="353" t="s">
        <v>33</v>
      </c>
      <c r="C249" s="348" t="s">
        <v>5</v>
      </c>
      <c r="D249" s="24" t="s">
        <v>6</v>
      </c>
      <c r="E249" s="25"/>
      <c r="F249" s="25"/>
      <c r="G249" s="25"/>
      <c r="H249" s="24" t="s">
        <v>45</v>
      </c>
      <c r="I249" s="36" t="s">
        <v>39</v>
      </c>
    </row>
    <row r="250" spans="2:11" ht="15.75" customHeight="1" x14ac:dyDescent="0.2">
      <c r="B250" s="319" t="s">
        <v>64</v>
      </c>
      <c r="C250" s="34" t="s">
        <v>56</v>
      </c>
      <c r="D250" s="587">
        <v>0.14000000000000001</v>
      </c>
      <c r="E250" s="25"/>
      <c r="F250" s="25"/>
      <c r="G250" s="25"/>
      <c r="H250" s="556">
        <f>INSUMOS!E29</f>
        <v>13</v>
      </c>
      <c r="I250" s="536">
        <f>H250*D250</f>
        <v>1.82</v>
      </c>
    </row>
    <row r="251" spans="2:11" x14ac:dyDescent="0.2">
      <c r="B251" s="319" t="s">
        <v>65</v>
      </c>
      <c r="C251" s="34" t="s">
        <v>53</v>
      </c>
      <c r="D251" s="587">
        <v>0.09</v>
      </c>
      <c r="E251" s="25"/>
      <c r="F251" s="25"/>
      <c r="G251" s="25"/>
      <c r="H251" s="556">
        <f>INSUMOS!E83</f>
        <v>19.079999999999998</v>
      </c>
      <c r="I251" s="536">
        <f>H251*D251</f>
        <v>1.72</v>
      </c>
    </row>
    <row r="252" spans="2:11" s="47" customFormat="1" ht="30" customHeight="1" x14ac:dyDescent="0.2">
      <c r="B252" s="319" t="s">
        <v>60</v>
      </c>
      <c r="C252" s="28" t="s">
        <v>56</v>
      </c>
      <c r="D252" s="570">
        <v>5</v>
      </c>
      <c r="E252" s="25"/>
      <c r="F252" s="25"/>
      <c r="G252" s="25"/>
      <c r="H252" s="535">
        <f>INSUMOS!E28</f>
        <v>2.77</v>
      </c>
      <c r="I252" s="536">
        <f>H252*D252</f>
        <v>13.85</v>
      </c>
      <c r="K252" s="11"/>
    </row>
    <row r="253" spans="2:11" s="47" customFormat="1" ht="20.25" customHeight="1" x14ac:dyDescent="0.2">
      <c r="B253" s="669" t="s">
        <v>43</v>
      </c>
      <c r="C253" s="669"/>
      <c r="D253" s="669"/>
      <c r="E253" s="669"/>
      <c r="F253" s="669"/>
      <c r="G253" s="669"/>
      <c r="H253" s="669"/>
      <c r="I253" s="536">
        <f>SUM(I250:I252)</f>
        <v>17.39</v>
      </c>
      <c r="K253" s="11"/>
    </row>
    <row r="254" spans="2:11" s="47" customFormat="1" ht="20.25" customHeight="1" x14ac:dyDescent="0.2">
      <c r="B254" s="668" t="s">
        <v>46</v>
      </c>
      <c r="C254" s="668"/>
      <c r="D254" s="668"/>
      <c r="E254" s="668"/>
      <c r="F254" s="668"/>
      <c r="G254" s="668"/>
      <c r="H254" s="668"/>
      <c r="I254" s="668"/>
    </row>
    <row r="255" spans="2:11" s="47" customFormat="1" ht="21" customHeight="1" x14ac:dyDescent="0.2">
      <c r="B255" s="339" t="s">
        <v>33</v>
      </c>
      <c r="C255" s="27" t="s">
        <v>5</v>
      </c>
      <c r="D255" s="20" t="s">
        <v>6</v>
      </c>
      <c r="E255" s="21"/>
      <c r="F255" s="21"/>
      <c r="G255" s="21"/>
      <c r="H255" s="20" t="s">
        <v>45</v>
      </c>
      <c r="I255" s="30" t="s">
        <v>39</v>
      </c>
    </row>
    <row r="256" spans="2:11" x14ac:dyDescent="0.2">
      <c r="B256" s="19"/>
      <c r="C256" s="20"/>
      <c r="D256" s="20"/>
      <c r="E256" s="21"/>
      <c r="F256" s="21"/>
      <c r="G256" s="21"/>
      <c r="H256" s="20"/>
      <c r="I256" s="30"/>
      <c r="K256" s="47"/>
    </row>
    <row r="257" spans="2:11" ht="15.95" customHeight="1" x14ac:dyDescent="0.2">
      <c r="B257" s="669" t="s">
        <v>43</v>
      </c>
      <c r="C257" s="669"/>
      <c r="D257" s="669"/>
      <c r="E257" s="669"/>
      <c r="F257" s="669"/>
      <c r="G257" s="669"/>
      <c r="H257" s="669"/>
      <c r="I257" s="30"/>
      <c r="J257" s="22"/>
      <c r="K257" s="47"/>
    </row>
    <row r="258" spans="2:11" ht="15.95" customHeight="1" x14ac:dyDescent="0.2">
      <c r="B258" s="668" t="s">
        <v>47</v>
      </c>
      <c r="C258" s="668"/>
      <c r="D258" s="668"/>
      <c r="E258" s="668"/>
      <c r="F258" s="668"/>
      <c r="G258" s="668"/>
      <c r="H258" s="668"/>
      <c r="I258" s="668"/>
    </row>
    <row r="259" spans="2:11" ht="15.95" customHeight="1" x14ac:dyDescent="0.2">
      <c r="B259" s="353" t="s">
        <v>33</v>
      </c>
      <c r="C259" s="348" t="s">
        <v>5</v>
      </c>
      <c r="D259" s="354" t="s">
        <v>6</v>
      </c>
      <c r="E259" s="25"/>
      <c r="F259" s="25"/>
      <c r="G259" s="25"/>
      <c r="H259" s="24" t="s">
        <v>45</v>
      </c>
      <c r="I259" s="36" t="s">
        <v>39</v>
      </c>
    </row>
    <row r="260" spans="2:11" s="47" customFormat="1" ht="17.25" customHeight="1" x14ac:dyDescent="0.2">
      <c r="B260" s="35" t="s">
        <v>61</v>
      </c>
      <c r="C260" s="27" t="s">
        <v>41</v>
      </c>
      <c r="D260" s="535">
        <v>1.5</v>
      </c>
      <c r="E260" s="21"/>
      <c r="F260" s="21"/>
      <c r="G260" s="21"/>
      <c r="H260" s="535">
        <f>INSUMOS!E15</f>
        <v>23.62</v>
      </c>
      <c r="I260" s="536">
        <f>H260*D260</f>
        <v>35.43</v>
      </c>
      <c r="K260" s="11"/>
    </row>
    <row r="261" spans="2:11" ht="15.95" customHeight="1" x14ac:dyDescent="0.2">
      <c r="B261" s="201" t="s">
        <v>48</v>
      </c>
      <c r="C261" s="27" t="s">
        <v>41</v>
      </c>
      <c r="D261" s="535">
        <v>0.35</v>
      </c>
      <c r="E261" s="21"/>
      <c r="F261" s="21"/>
      <c r="G261" s="21"/>
      <c r="H261" s="535">
        <f>INSUMOS!E13</f>
        <v>7.81</v>
      </c>
      <c r="I261" s="536">
        <f>H261*D261</f>
        <v>2.73</v>
      </c>
    </row>
    <row r="262" spans="2:11" ht="15.95" customHeight="1" x14ac:dyDescent="0.2">
      <c r="B262" s="201" t="s">
        <v>66</v>
      </c>
      <c r="C262" s="27" t="s">
        <v>41</v>
      </c>
      <c r="D262" s="535">
        <v>1.5</v>
      </c>
      <c r="E262" s="21"/>
      <c r="F262" s="21"/>
      <c r="G262" s="21"/>
      <c r="H262" s="535">
        <f>INSUMOS!E19</f>
        <v>12.78</v>
      </c>
      <c r="I262" s="536">
        <f>H262*D262</f>
        <v>19.170000000000002</v>
      </c>
      <c r="K262" s="47"/>
    </row>
    <row r="263" spans="2:11" s="47" customFormat="1" ht="15.75" customHeight="1" x14ac:dyDescent="0.2">
      <c r="B263" s="669" t="s">
        <v>43</v>
      </c>
      <c r="C263" s="669"/>
      <c r="D263" s="669"/>
      <c r="E263" s="669"/>
      <c r="F263" s="669"/>
      <c r="G263" s="669"/>
      <c r="H263" s="669"/>
      <c r="I263" s="537">
        <f>SUM(I260:I262)</f>
        <v>57.33</v>
      </c>
      <c r="K263" s="11"/>
    </row>
    <row r="264" spans="2:11" ht="15.95" customHeight="1" x14ac:dyDescent="0.2">
      <c r="B264" s="346" t="s">
        <v>49</v>
      </c>
      <c r="C264" s="271">
        <v>1</v>
      </c>
      <c r="D264" s="654" t="s">
        <v>50</v>
      </c>
      <c r="E264" s="655"/>
      <c r="F264" s="655"/>
      <c r="G264" s="655"/>
      <c r="H264" s="656"/>
      <c r="I264" s="537">
        <f>I263+I257+I253+I247</f>
        <v>79.77</v>
      </c>
    </row>
    <row r="265" spans="2:11" ht="11.25" customHeight="1" x14ac:dyDescent="0.2">
      <c r="B265" s="665"/>
      <c r="C265" s="666"/>
      <c r="D265" s="666"/>
      <c r="E265" s="666"/>
      <c r="F265" s="666"/>
      <c r="G265" s="666"/>
      <c r="H265" s="667"/>
      <c r="I265" s="552">
        <f>I264/C264</f>
        <v>79.77</v>
      </c>
      <c r="K265" s="47"/>
    </row>
    <row r="266" spans="2:11" ht="15.95" customHeight="1" x14ac:dyDescent="0.2">
      <c r="B266" s="342" t="s">
        <v>135</v>
      </c>
      <c r="C266" s="477">
        <f>BDI!C$36</f>
        <v>25</v>
      </c>
      <c r="D266" s="343" t="s">
        <v>103</v>
      </c>
      <c r="E266" s="344"/>
      <c r="F266" s="344"/>
      <c r="G266" s="344"/>
      <c r="H266" s="345"/>
      <c r="I266" s="536">
        <f>C266/100*I265</f>
        <v>19.940000000000001</v>
      </c>
    </row>
    <row r="267" spans="2:11" s="47" customFormat="1" ht="15" customHeight="1" thickBot="1" x14ac:dyDescent="0.25">
      <c r="B267" s="657" t="s">
        <v>51</v>
      </c>
      <c r="C267" s="657"/>
      <c r="D267" s="657"/>
      <c r="E267" s="657"/>
      <c r="F267" s="657"/>
      <c r="G267" s="657"/>
      <c r="H267" s="657"/>
      <c r="I267" s="506">
        <f>SUM(I265:I266)</f>
        <v>99.71</v>
      </c>
      <c r="K267" s="11"/>
    </row>
    <row r="268" spans="2:11" s="47" customFormat="1" ht="15" customHeight="1" thickBot="1" x14ac:dyDescent="0.25">
      <c r="B268" s="447"/>
      <c r="C268" s="447"/>
      <c r="D268" s="447"/>
      <c r="E268" s="447"/>
      <c r="F268" s="447"/>
      <c r="G268" s="447"/>
      <c r="H268" s="447"/>
      <c r="I268" s="417"/>
      <c r="K268" s="11"/>
    </row>
    <row r="269" spans="2:11" s="47" customFormat="1" ht="15" customHeight="1" x14ac:dyDescent="0.2">
      <c r="B269" s="530" t="s">
        <v>357</v>
      </c>
      <c r="C269" s="531" t="s">
        <v>22</v>
      </c>
      <c r="D269" s="685" t="s">
        <v>30</v>
      </c>
      <c r="E269" s="685"/>
      <c r="F269" s="685"/>
      <c r="G269" s="685"/>
      <c r="H269" s="685"/>
      <c r="I269" s="685"/>
    </row>
    <row r="270" spans="2:11" s="47" customFormat="1" ht="15" customHeight="1" x14ac:dyDescent="0.2">
      <c r="B270" s="673" t="s">
        <v>134</v>
      </c>
      <c r="C270" s="674"/>
      <c r="D270" s="674"/>
      <c r="E270" s="674"/>
      <c r="F270" s="674"/>
      <c r="G270" s="675"/>
      <c r="H270" s="670" t="s">
        <v>494</v>
      </c>
      <c r="I270" s="671"/>
    </row>
    <row r="271" spans="2:11" s="47" customFormat="1" ht="15" customHeight="1" x14ac:dyDescent="0.2">
      <c r="B271" s="679" t="s">
        <v>324</v>
      </c>
      <c r="C271" s="680"/>
      <c r="D271" s="680"/>
      <c r="E271" s="680"/>
      <c r="F271" s="680"/>
      <c r="G271" s="681"/>
      <c r="H271" s="12" t="s">
        <v>31</v>
      </c>
      <c r="I271" s="46" t="s">
        <v>19</v>
      </c>
    </row>
    <row r="272" spans="2:11" s="47" customFormat="1" ht="15" customHeight="1" x14ac:dyDescent="0.2">
      <c r="B272" s="668" t="s">
        <v>32</v>
      </c>
      <c r="C272" s="668"/>
      <c r="D272" s="668"/>
      <c r="E272" s="668"/>
      <c r="F272" s="668"/>
      <c r="G272" s="668"/>
      <c r="H272" s="668"/>
      <c r="I272" s="668"/>
    </row>
    <row r="273" spans="2:9" s="47" customFormat="1" ht="28.5" customHeight="1" x14ac:dyDescent="0.2">
      <c r="B273" s="13" t="s">
        <v>33</v>
      </c>
      <c r="C273" s="62" t="s">
        <v>5</v>
      </c>
      <c r="D273" s="14" t="s">
        <v>6</v>
      </c>
      <c r="E273" s="14" t="s">
        <v>35</v>
      </c>
      <c r="F273" s="14" t="s">
        <v>36</v>
      </c>
      <c r="G273" s="14" t="s">
        <v>37</v>
      </c>
      <c r="H273" s="14" t="s">
        <v>38</v>
      </c>
      <c r="I273" s="15" t="s">
        <v>39</v>
      </c>
    </row>
    <row r="274" spans="2:9" s="47" customFormat="1" ht="15" customHeight="1" x14ac:dyDescent="0.2">
      <c r="B274" s="319"/>
      <c r="C274" s="34"/>
      <c r="D274" s="54"/>
      <c r="E274" s="24"/>
      <c r="F274" s="24"/>
      <c r="G274" s="24"/>
      <c r="H274" s="24"/>
      <c r="I274" s="30"/>
    </row>
    <row r="275" spans="2:9" s="47" customFormat="1" ht="15" customHeight="1" x14ac:dyDescent="0.2">
      <c r="B275" s="669" t="s">
        <v>43</v>
      </c>
      <c r="C275" s="669"/>
      <c r="D275" s="669"/>
      <c r="E275" s="669"/>
      <c r="F275" s="669"/>
      <c r="G275" s="669"/>
      <c r="H275" s="669"/>
      <c r="I275" s="335"/>
    </row>
    <row r="276" spans="2:9" s="47" customFormat="1" ht="15" customHeight="1" x14ac:dyDescent="0.2">
      <c r="B276" s="668" t="s">
        <v>44</v>
      </c>
      <c r="C276" s="668"/>
      <c r="D276" s="668"/>
      <c r="E276" s="668"/>
      <c r="F276" s="668"/>
      <c r="G276" s="668"/>
      <c r="H276" s="668"/>
      <c r="I276" s="668"/>
    </row>
    <row r="277" spans="2:9" s="47" customFormat="1" ht="15" customHeight="1" x14ac:dyDescent="0.2">
      <c r="B277" s="351" t="s">
        <v>33</v>
      </c>
      <c r="C277" s="352" t="s">
        <v>5</v>
      </c>
      <c r="D277" s="20" t="s">
        <v>6</v>
      </c>
      <c r="E277" s="21"/>
      <c r="F277" s="21"/>
      <c r="G277" s="21"/>
      <c r="H277" s="20" t="s">
        <v>45</v>
      </c>
      <c r="I277" s="30" t="s">
        <v>39</v>
      </c>
    </row>
    <row r="278" spans="2:9" s="47" customFormat="1" ht="15" customHeight="1" x14ac:dyDescent="0.2">
      <c r="B278" s="187" t="s">
        <v>511</v>
      </c>
      <c r="C278" s="188" t="s">
        <v>19</v>
      </c>
      <c r="D278" s="583">
        <v>1</v>
      </c>
      <c r="E278" s="21"/>
      <c r="F278" s="21"/>
      <c r="G278" s="21"/>
      <c r="H278" s="535">
        <f>INSUMOS!E58</f>
        <v>74.81</v>
      </c>
      <c r="I278" s="536">
        <f>H278*D278</f>
        <v>74.81</v>
      </c>
    </row>
    <row r="279" spans="2:9" s="47" customFormat="1" ht="15" customHeight="1" x14ac:dyDescent="0.2">
      <c r="B279" s="96" t="s">
        <v>60</v>
      </c>
      <c r="C279" s="189" t="s">
        <v>56</v>
      </c>
      <c r="D279" s="581">
        <v>0.2</v>
      </c>
      <c r="E279" s="190"/>
      <c r="F279" s="21"/>
      <c r="G279" s="21"/>
      <c r="H279" s="535">
        <f>INSUMOS!E28</f>
        <v>2.77</v>
      </c>
      <c r="I279" s="536">
        <f>H279*D279</f>
        <v>0.55000000000000004</v>
      </c>
    </row>
    <row r="280" spans="2:9" s="47" customFormat="1" ht="15" customHeight="1" x14ac:dyDescent="0.2">
      <c r="B280" s="96" t="s">
        <v>215</v>
      </c>
      <c r="C280" s="189" t="s">
        <v>56</v>
      </c>
      <c r="D280" s="581">
        <v>0.01</v>
      </c>
      <c r="E280" s="190"/>
      <c r="F280" s="21"/>
      <c r="G280" s="21"/>
      <c r="H280" s="535">
        <f>INSUMOS!E29</f>
        <v>13</v>
      </c>
      <c r="I280" s="536">
        <f>H280*D280</f>
        <v>0.13</v>
      </c>
    </row>
    <row r="281" spans="2:9" s="47" customFormat="1" ht="15" customHeight="1" x14ac:dyDescent="0.2">
      <c r="B281" s="669" t="s">
        <v>43</v>
      </c>
      <c r="C281" s="669"/>
      <c r="D281" s="669"/>
      <c r="E281" s="669"/>
      <c r="F281" s="669"/>
      <c r="G281" s="669"/>
      <c r="H281" s="669"/>
      <c r="I281" s="536">
        <f>SUM(I278:I280)</f>
        <v>75.489999999999995</v>
      </c>
    </row>
    <row r="282" spans="2:9" s="47" customFormat="1" ht="15" customHeight="1" x14ac:dyDescent="0.2">
      <c r="B282" s="668" t="s">
        <v>46</v>
      </c>
      <c r="C282" s="668"/>
      <c r="D282" s="668"/>
      <c r="E282" s="668"/>
      <c r="F282" s="668"/>
      <c r="G282" s="668"/>
      <c r="H282" s="668"/>
      <c r="I282" s="668"/>
    </row>
    <row r="283" spans="2:9" s="47" customFormat="1" ht="15" customHeight="1" x14ac:dyDescent="0.2">
      <c r="B283" s="339" t="s">
        <v>33</v>
      </c>
      <c r="C283" s="27" t="s">
        <v>5</v>
      </c>
      <c r="D283" s="20" t="s">
        <v>6</v>
      </c>
      <c r="E283" s="21"/>
      <c r="F283" s="21"/>
      <c r="G283" s="21"/>
      <c r="H283" s="20" t="s">
        <v>45</v>
      </c>
      <c r="I283" s="30" t="s">
        <v>39</v>
      </c>
    </row>
    <row r="284" spans="2:9" s="47" customFormat="1" ht="15" customHeight="1" x14ac:dyDescent="0.2">
      <c r="B284" s="19"/>
      <c r="C284" s="20"/>
      <c r="D284" s="20"/>
      <c r="E284" s="21"/>
      <c r="F284" s="21"/>
      <c r="G284" s="21"/>
      <c r="H284" s="20"/>
      <c r="I284" s="30"/>
    </row>
    <row r="285" spans="2:9" s="47" customFormat="1" ht="15" customHeight="1" x14ac:dyDescent="0.2">
      <c r="B285" s="669" t="s">
        <v>43</v>
      </c>
      <c r="C285" s="669"/>
      <c r="D285" s="669"/>
      <c r="E285" s="669"/>
      <c r="F285" s="669"/>
      <c r="G285" s="669"/>
      <c r="H285" s="669"/>
      <c r="I285" s="30"/>
    </row>
    <row r="286" spans="2:9" s="47" customFormat="1" ht="15" customHeight="1" x14ac:dyDescent="0.2">
      <c r="B286" s="668" t="s">
        <v>47</v>
      </c>
      <c r="C286" s="668"/>
      <c r="D286" s="668"/>
      <c r="E286" s="668"/>
      <c r="F286" s="668"/>
      <c r="G286" s="668"/>
      <c r="H286" s="668"/>
      <c r="I286" s="668"/>
    </row>
    <row r="287" spans="2:9" s="47" customFormat="1" ht="15" customHeight="1" x14ac:dyDescent="0.2">
      <c r="B287" s="351" t="s">
        <v>33</v>
      </c>
      <c r="C287" s="352" t="s">
        <v>5</v>
      </c>
      <c r="D287" s="321" t="s">
        <v>6</v>
      </c>
      <c r="E287" s="21"/>
      <c r="F287" s="21"/>
      <c r="G287" s="21"/>
      <c r="H287" s="20" t="s">
        <v>45</v>
      </c>
      <c r="I287" s="30" t="s">
        <v>39</v>
      </c>
    </row>
    <row r="288" spans="2:9" s="47" customFormat="1" ht="15" customHeight="1" x14ac:dyDescent="0.2">
      <c r="B288" s="35" t="s">
        <v>61</v>
      </c>
      <c r="C288" s="27" t="s">
        <v>41</v>
      </c>
      <c r="D288" s="535">
        <v>0.8</v>
      </c>
      <c r="E288" s="21"/>
      <c r="F288" s="21"/>
      <c r="G288" s="21"/>
      <c r="H288" s="535">
        <f>INSUMOS!E15</f>
        <v>23.62</v>
      </c>
      <c r="I288" s="536">
        <f>H288*D288</f>
        <v>18.899999999999999</v>
      </c>
    </row>
    <row r="289" spans="2:9" s="47" customFormat="1" ht="15" customHeight="1" x14ac:dyDescent="0.2">
      <c r="B289" s="201" t="s">
        <v>48</v>
      </c>
      <c r="C289" s="27" t="s">
        <v>41</v>
      </c>
      <c r="D289" s="535">
        <v>0.8</v>
      </c>
      <c r="E289" s="21"/>
      <c r="F289" s="21"/>
      <c r="G289" s="21"/>
      <c r="H289" s="535">
        <f>INSUMOS!E13</f>
        <v>7.81</v>
      </c>
      <c r="I289" s="536">
        <f>H289*D289</f>
        <v>6.25</v>
      </c>
    </row>
    <row r="290" spans="2:9" s="47" customFormat="1" ht="15" customHeight="1" x14ac:dyDescent="0.2">
      <c r="B290" s="710" t="s">
        <v>43</v>
      </c>
      <c r="C290" s="710"/>
      <c r="D290" s="710"/>
      <c r="E290" s="710"/>
      <c r="F290" s="710"/>
      <c r="G290" s="710"/>
      <c r="H290" s="710"/>
      <c r="I290" s="552">
        <f>SUM(I288:I289)</f>
        <v>25.15</v>
      </c>
    </row>
    <row r="291" spans="2:9" s="47" customFormat="1" ht="15" customHeight="1" x14ac:dyDescent="0.2">
      <c r="B291" s="57" t="s">
        <v>49</v>
      </c>
      <c r="C291" s="58">
        <v>1</v>
      </c>
      <c r="D291" s="662" t="s">
        <v>50</v>
      </c>
      <c r="E291" s="663"/>
      <c r="F291" s="663"/>
      <c r="G291" s="663"/>
      <c r="H291" s="664"/>
      <c r="I291" s="552">
        <f>I275+I281+I285+I290</f>
        <v>100.64</v>
      </c>
    </row>
    <row r="292" spans="2:9" s="47" customFormat="1" ht="15" customHeight="1" x14ac:dyDescent="0.2">
      <c r="B292" s="728"/>
      <c r="C292" s="729"/>
      <c r="D292" s="729"/>
      <c r="E292" s="729"/>
      <c r="F292" s="729"/>
      <c r="G292" s="729"/>
      <c r="H292" s="730"/>
      <c r="I292" s="552">
        <f>I291/C291</f>
        <v>100.64</v>
      </c>
    </row>
    <row r="293" spans="2:9" s="47" customFormat="1" ht="15" customHeight="1" x14ac:dyDescent="0.2">
      <c r="B293" s="53" t="s">
        <v>135</v>
      </c>
      <c r="C293" s="477">
        <f>BDI!C$36</f>
        <v>25</v>
      </c>
      <c r="D293" s="56" t="s">
        <v>103</v>
      </c>
      <c r="E293" s="51"/>
      <c r="F293" s="51"/>
      <c r="G293" s="51"/>
      <c r="H293" s="52"/>
      <c r="I293" s="536">
        <f>C293/100*I292</f>
        <v>25.16</v>
      </c>
    </row>
    <row r="294" spans="2:9" s="47" customFormat="1" ht="15" customHeight="1" thickBot="1" x14ac:dyDescent="0.25">
      <c r="B294" s="756" t="s">
        <v>51</v>
      </c>
      <c r="C294" s="757"/>
      <c r="D294" s="757"/>
      <c r="E294" s="757"/>
      <c r="F294" s="757"/>
      <c r="G294" s="757"/>
      <c r="H294" s="758"/>
      <c r="I294" s="506">
        <f>SUM(I292:I293)</f>
        <v>125.8</v>
      </c>
    </row>
    <row r="295" spans="2:9" s="47" customFormat="1" ht="15" customHeight="1" thickBot="1" x14ac:dyDescent="0.25">
      <c r="B295" s="447"/>
      <c r="C295" s="447"/>
      <c r="D295" s="447"/>
      <c r="E295" s="447"/>
      <c r="F295" s="447"/>
      <c r="G295" s="447"/>
      <c r="H295" s="447"/>
      <c r="I295" s="417"/>
    </row>
    <row r="296" spans="2:9" s="47" customFormat="1" ht="15" customHeight="1" x14ac:dyDescent="0.2">
      <c r="B296" s="530" t="s">
        <v>357</v>
      </c>
      <c r="C296" s="531" t="s">
        <v>188</v>
      </c>
      <c r="D296" s="685" t="s">
        <v>30</v>
      </c>
      <c r="E296" s="685"/>
      <c r="F296" s="685"/>
      <c r="G296" s="685"/>
      <c r="H296" s="685"/>
      <c r="I296" s="685"/>
    </row>
    <row r="297" spans="2:9" s="47" customFormat="1" ht="15" customHeight="1" x14ac:dyDescent="0.2">
      <c r="B297" s="673" t="s">
        <v>134</v>
      </c>
      <c r="C297" s="674"/>
      <c r="D297" s="674"/>
      <c r="E297" s="674"/>
      <c r="F297" s="674"/>
      <c r="G297" s="675"/>
      <c r="H297" s="670" t="s">
        <v>494</v>
      </c>
      <c r="I297" s="671"/>
    </row>
    <row r="298" spans="2:9" s="47" customFormat="1" ht="15" customHeight="1" x14ac:dyDescent="0.2">
      <c r="B298" s="672" t="s">
        <v>497</v>
      </c>
      <c r="C298" s="672"/>
      <c r="D298" s="672"/>
      <c r="E298" s="672"/>
      <c r="F298" s="672"/>
      <c r="G298" s="672"/>
      <c r="H298" s="12" t="s">
        <v>31</v>
      </c>
      <c r="I298" s="46" t="s">
        <v>23</v>
      </c>
    </row>
    <row r="299" spans="2:9" s="47" customFormat="1" ht="15" customHeight="1" x14ac:dyDescent="0.2">
      <c r="B299" s="668" t="s">
        <v>32</v>
      </c>
      <c r="C299" s="668"/>
      <c r="D299" s="668"/>
      <c r="E299" s="668"/>
      <c r="F299" s="668"/>
      <c r="G299" s="668"/>
      <c r="H299" s="668"/>
      <c r="I299" s="668"/>
    </row>
    <row r="300" spans="2:9" s="47" customFormat="1" ht="28.5" customHeight="1" x14ac:dyDescent="0.2">
      <c r="B300" s="13" t="s">
        <v>33</v>
      </c>
      <c r="C300" s="62" t="s">
        <v>5</v>
      </c>
      <c r="D300" s="14" t="s">
        <v>6</v>
      </c>
      <c r="E300" s="14" t="s">
        <v>35</v>
      </c>
      <c r="F300" s="14" t="s">
        <v>36</v>
      </c>
      <c r="G300" s="14" t="s">
        <v>37</v>
      </c>
      <c r="H300" s="14" t="s">
        <v>38</v>
      </c>
      <c r="I300" s="15" t="s">
        <v>39</v>
      </c>
    </row>
    <row r="301" spans="2:9" s="47" customFormat="1" ht="15" customHeight="1" x14ac:dyDescent="0.2">
      <c r="B301" s="45" t="s">
        <v>71</v>
      </c>
      <c r="C301" s="28" t="s">
        <v>41</v>
      </c>
      <c r="D301" s="582">
        <v>0.71399999999999997</v>
      </c>
      <c r="E301" s="20"/>
      <c r="F301" s="20"/>
      <c r="G301" s="535">
        <f>INSUMOS!E44</f>
        <v>1.98</v>
      </c>
      <c r="H301" s="407"/>
      <c r="I301" s="536">
        <f>G301*D301</f>
        <v>1.41</v>
      </c>
    </row>
    <row r="302" spans="2:9" s="47" customFormat="1" ht="15" customHeight="1" x14ac:dyDescent="0.2">
      <c r="B302" s="669" t="s">
        <v>43</v>
      </c>
      <c r="C302" s="669"/>
      <c r="D302" s="669"/>
      <c r="E302" s="669"/>
      <c r="F302" s="669"/>
      <c r="G302" s="669"/>
      <c r="H302" s="669"/>
      <c r="I302" s="537">
        <f>SUM(I301:I301)</f>
        <v>1.41</v>
      </c>
    </row>
    <row r="303" spans="2:9" s="47" customFormat="1" ht="15" customHeight="1" x14ac:dyDescent="0.2">
      <c r="B303" s="668" t="s">
        <v>44</v>
      </c>
      <c r="C303" s="668"/>
      <c r="D303" s="668"/>
      <c r="E303" s="668"/>
      <c r="F303" s="668"/>
      <c r="G303" s="668"/>
      <c r="H303" s="668"/>
      <c r="I303" s="668"/>
    </row>
    <row r="304" spans="2:9" s="47" customFormat="1" ht="15" customHeight="1" x14ac:dyDescent="0.2">
      <c r="B304" s="351" t="s">
        <v>33</v>
      </c>
      <c r="C304" s="352" t="s">
        <v>5</v>
      </c>
      <c r="D304" s="20" t="s">
        <v>6</v>
      </c>
      <c r="E304" s="21"/>
      <c r="F304" s="21"/>
      <c r="G304" s="21"/>
      <c r="H304" s="20" t="s">
        <v>45</v>
      </c>
      <c r="I304" s="30" t="s">
        <v>39</v>
      </c>
    </row>
    <row r="305" spans="2:9" s="47" customFormat="1" ht="15" customHeight="1" x14ac:dyDescent="0.2">
      <c r="B305" s="319" t="s">
        <v>513</v>
      </c>
      <c r="C305" s="28" t="s">
        <v>53</v>
      </c>
      <c r="D305" s="570">
        <v>473</v>
      </c>
      <c r="E305" s="21"/>
      <c r="F305" s="21"/>
      <c r="G305" s="21"/>
      <c r="H305" s="535">
        <f>INSUMOS!E34</f>
        <v>0.5</v>
      </c>
      <c r="I305" s="536">
        <f>H305*D305</f>
        <v>236.5</v>
      </c>
    </row>
    <row r="306" spans="2:9" s="47" customFormat="1" ht="15" customHeight="1" x14ac:dyDescent="0.2">
      <c r="B306" s="319" t="s">
        <v>305</v>
      </c>
      <c r="C306" s="28" t="s">
        <v>23</v>
      </c>
      <c r="D306" s="582">
        <v>1.2969999999999999</v>
      </c>
      <c r="E306" s="21"/>
      <c r="F306" s="21"/>
      <c r="G306" s="21"/>
      <c r="H306" s="535">
        <f>INSUMOS!E37</f>
        <v>59</v>
      </c>
      <c r="I306" s="536">
        <f>H306*D306</f>
        <v>76.52</v>
      </c>
    </row>
    <row r="307" spans="2:9" s="47" customFormat="1" ht="15" customHeight="1" x14ac:dyDescent="0.2">
      <c r="B307" s="669"/>
      <c r="C307" s="669"/>
      <c r="D307" s="669"/>
      <c r="E307" s="669"/>
      <c r="F307" s="669"/>
      <c r="G307" s="669"/>
      <c r="H307" s="669"/>
      <c r="I307" s="536">
        <f>SUM(I305:I306)</f>
        <v>313.02</v>
      </c>
    </row>
    <row r="308" spans="2:9" s="47" customFormat="1" ht="15" customHeight="1" x14ac:dyDescent="0.2">
      <c r="B308" s="668" t="s">
        <v>46</v>
      </c>
      <c r="C308" s="668"/>
      <c r="D308" s="668"/>
      <c r="E308" s="668"/>
      <c r="F308" s="668"/>
      <c r="G308" s="668"/>
      <c r="H308" s="668"/>
      <c r="I308" s="668"/>
    </row>
    <row r="309" spans="2:9" s="47" customFormat="1" ht="15" customHeight="1" x14ac:dyDescent="0.2">
      <c r="B309" s="339" t="s">
        <v>33</v>
      </c>
      <c r="C309" s="27" t="s">
        <v>5</v>
      </c>
      <c r="D309" s="20" t="s">
        <v>6</v>
      </c>
      <c r="E309" s="21"/>
      <c r="F309" s="21"/>
      <c r="G309" s="21"/>
      <c r="H309" s="20" t="s">
        <v>45</v>
      </c>
      <c r="I309" s="30" t="s">
        <v>39</v>
      </c>
    </row>
    <row r="310" spans="2:9" s="47" customFormat="1" ht="15" customHeight="1" x14ac:dyDescent="0.2">
      <c r="B310" s="319"/>
      <c r="C310" s="20"/>
      <c r="D310" s="20"/>
      <c r="E310" s="21"/>
      <c r="F310" s="21"/>
      <c r="G310" s="21"/>
      <c r="H310" s="20"/>
      <c r="I310" s="30"/>
    </row>
    <row r="311" spans="2:9" s="47" customFormat="1" ht="15" customHeight="1" x14ac:dyDescent="0.2">
      <c r="B311" s="669" t="s">
        <v>43</v>
      </c>
      <c r="C311" s="669"/>
      <c r="D311" s="669"/>
      <c r="E311" s="669"/>
      <c r="F311" s="669"/>
      <c r="G311" s="669"/>
      <c r="H311" s="669"/>
      <c r="I311" s="30"/>
    </row>
    <row r="312" spans="2:9" s="47" customFormat="1" ht="15" customHeight="1" x14ac:dyDescent="0.2">
      <c r="B312" s="668" t="s">
        <v>47</v>
      </c>
      <c r="C312" s="668"/>
      <c r="D312" s="668"/>
      <c r="E312" s="668"/>
      <c r="F312" s="668"/>
      <c r="G312" s="668"/>
      <c r="H312" s="668"/>
      <c r="I312" s="668"/>
    </row>
    <row r="313" spans="2:9" s="47" customFormat="1" ht="15" customHeight="1" x14ac:dyDescent="0.2">
      <c r="B313" s="351" t="s">
        <v>33</v>
      </c>
      <c r="C313" s="352" t="s">
        <v>5</v>
      </c>
      <c r="D313" s="321" t="s">
        <v>6</v>
      </c>
      <c r="E313" s="21"/>
      <c r="F313" s="21"/>
      <c r="G313" s="21"/>
      <c r="H313" s="20" t="s">
        <v>45</v>
      </c>
      <c r="I313" s="30" t="s">
        <v>39</v>
      </c>
    </row>
    <row r="314" spans="2:9" s="47" customFormat="1" ht="15" customHeight="1" x14ac:dyDescent="0.2">
      <c r="B314" s="35" t="s">
        <v>48</v>
      </c>
      <c r="C314" s="27" t="s">
        <v>41</v>
      </c>
      <c r="D314" s="535">
        <v>6</v>
      </c>
      <c r="E314" s="21"/>
      <c r="F314" s="21"/>
      <c r="G314" s="21"/>
      <c r="H314" s="535">
        <f>INSUMOS!E13</f>
        <v>7.81</v>
      </c>
      <c r="I314" s="536">
        <f>H314*D314</f>
        <v>46.86</v>
      </c>
    </row>
    <row r="315" spans="2:9" s="47" customFormat="1" ht="15" customHeight="1" x14ac:dyDescent="0.2">
      <c r="B315" s="669" t="s">
        <v>43</v>
      </c>
      <c r="C315" s="669"/>
      <c r="D315" s="669"/>
      <c r="E315" s="669"/>
      <c r="F315" s="669"/>
      <c r="G315" s="669"/>
      <c r="H315" s="669"/>
      <c r="I315" s="537">
        <f>SUM(I314:I314)</f>
        <v>46.86</v>
      </c>
    </row>
    <row r="316" spans="2:9" s="47" customFormat="1" ht="15" customHeight="1" x14ac:dyDescent="0.2">
      <c r="B316" s="346" t="s">
        <v>49</v>
      </c>
      <c r="C316" s="271">
        <v>1</v>
      </c>
      <c r="D316" s="654" t="s">
        <v>50</v>
      </c>
      <c r="E316" s="655"/>
      <c r="F316" s="655"/>
      <c r="G316" s="655"/>
      <c r="H316" s="656"/>
      <c r="I316" s="537">
        <f>I302+I307+I311+I315</f>
        <v>361.29</v>
      </c>
    </row>
    <row r="317" spans="2:9" s="47" customFormat="1" ht="15" customHeight="1" x14ac:dyDescent="0.2">
      <c r="B317" s="665"/>
      <c r="C317" s="666"/>
      <c r="D317" s="666"/>
      <c r="E317" s="666"/>
      <c r="F317" s="666"/>
      <c r="G317" s="666"/>
      <c r="H317" s="667"/>
      <c r="I317" s="537">
        <f>I316/C316</f>
        <v>361.29</v>
      </c>
    </row>
    <row r="318" spans="2:9" s="47" customFormat="1" ht="15" customHeight="1" x14ac:dyDescent="0.2">
      <c r="B318" s="342" t="s">
        <v>135</v>
      </c>
      <c r="C318" s="477">
        <f>BDI!C$36</f>
        <v>25</v>
      </c>
      <c r="D318" s="343" t="s">
        <v>103</v>
      </c>
      <c r="E318" s="344"/>
      <c r="F318" s="344"/>
      <c r="G318" s="344"/>
      <c r="H318" s="345"/>
      <c r="I318" s="536">
        <f>C318/100*I317</f>
        <v>90.32</v>
      </c>
    </row>
    <row r="319" spans="2:9" s="47" customFormat="1" ht="15" customHeight="1" thickBot="1" x14ac:dyDescent="0.25">
      <c r="B319" s="657" t="s">
        <v>51</v>
      </c>
      <c r="C319" s="657"/>
      <c r="D319" s="657"/>
      <c r="E319" s="657"/>
      <c r="F319" s="657"/>
      <c r="G319" s="657"/>
      <c r="H319" s="657"/>
      <c r="I319" s="506">
        <f>SUM(I317:I318)</f>
        <v>451.61</v>
      </c>
    </row>
    <row r="320" spans="2:9" s="47" customFormat="1" ht="15" customHeight="1" thickBot="1" x14ac:dyDescent="0.25">
      <c r="B320" s="447"/>
      <c r="C320" s="447"/>
      <c r="D320" s="447"/>
      <c r="E320" s="447"/>
      <c r="F320" s="447"/>
      <c r="G320" s="447"/>
      <c r="H320" s="447"/>
      <c r="I320" s="417"/>
    </row>
    <row r="321" spans="2:9" s="47" customFormat="1" ht="15" customHeight="1" x14ac:dyDescent="0.2">
      <c r="B321" s="530" t="s">
        <v>357</v>
      </c>
      <c r="C321" s="531" t="s">
        <v>189</v>
      </c>
      <c r="D321" s="685" t="s">
        <v>30</v>
      </c>
      <c r="E321" s="685"/>
      <c r="F321" s="685"/>
      <c r="G321" s="685"/>
      <c r="H321" s="685"/>
      <c r="I321" s="685"/>
    </row>
    <row r="322" spans="2:9" s="47" customFormat="1" ht="15" customHeight="1" x14ac:dyDescent="0.2">
      <c r="B322" s="673" t="s">
        <v>134</v>
      </c>
      <c r="C322" s="674"/>
      <c r="D322" s="674"/>
      <c r="E322" s="674"/>
      <c r="F322" s="674"/>
      <c r="G322" s="675"/>
      <c r="H322" s="670" t="s">
        <v>494</v>
      </c>
      <c r="I322" s="671"/>
    </row>
    <row r="323" spans="2:9" s="47" customFormat="1" ht="32.25" customHeight="1" x14ac:dyDescent="0.2">
      <c r="B323" s="721" t="s">
        <v>325</v>
      </c>
      <c r="C323" s="721"/>
      <c r="D323" s="721"/>
      <c r="E323" s="721"/>
      <c r="F323" s="721"/>
      <c r="G323" s="721"/>
      <c r="H323" s="97" t="s">
        <v>31</v>
      </c>
      <c r="I323" s="46" t="s">
        <v>142</v>
      </c>
    </row>
    <row r="324" spans="2:9" s="47" customFormat="1" ht="15" customHeight="1" x14ac:dyDescent="0.2">
      <c r="B324" s="668" t="s">
        <v>32</v>
      </c>
      <c r="C324" s="668"/>
      <c r="D324" s="668"/>
      <c r="E324" s="668"/>
      <c r="F324" s="668"/>
      <c r="G324" s="668"/>
      <c r="H324" s="668"/>
      <c r="I324" s="668"/>
    </row>
    <row r="325" spans="2:9" s="47" customFormat="1" ht="26.25" customHeight="1" x14ac:dyDescent="0.2">
      <c r="B325" s="13" t="s">
        <v>33</v>
      </c>
      <c r="C325" s="62" t="s">
        <v>5</v>
      </c>
      <c r="D325" s="14" t="s">
        <v>6</v>
      </c>
      <c r="E325" s="14" t="s">
        <v>35</v>
      </c>
      <c r="F325" s="14" t="s">
        <v>36</v>
      </c>
      <c r="G325" s="14" t="s">
        <v>37</v>
      </c>
      <c r="H325" s="14" t="s">
        <v>38</v>
      </c>
      <c r="I325" s="15" t="s">
        <v>39</v>
      </c>
    </row>
    <row r="326" spans="2:9" s="47" customFormat="1" ht="15" customHeight="1" x14ac:dyDescent="0.2">
      <c r="B326" s="319" t="s">
        <v>63</v>
      </c>
      <c r="C326" s="28" t="s">
        <v>41</v>
      </c>
      <c r="D326" s="582">
        <v>3</v>
      </c>
      <c r="E326" s="24"/>
      <c r="F326" s="24"/>
      <c r="G326" s="535">
        <f>INSUMOS!E62</f>
        <v>9.44</v>
      </c>
      <c r="H326" s="356"/>
      <c r="I326" s="536">
        <f>G326*D326</f>
        <v>28.32</v>
      </c>
    </row>
    <row r="327" spans="2:9" s="47" customFormat="1" ht="15" customHeight="1" x14ac:dyDescent="0.2">
      <c r="B327" s="669" t="s">
        <v>43</v>
      </c>
      <c r="C327" s="669"/>
      <c r="D327" s="669"/>
      <c r="E327" s="669"/>
      <c r="F327" s="669"/>
      <c r="G327" s="669"/>
      <c r="H327" s="669"/>
      <c r="I327" s="537">
        <f>SUM(I326:I326)</f>
        <v>28.32</v>
      </c>
    </row>
    <row r="328" spans="2:9" s="47" customFormat="1" ht="15" customHeight="1" x14ac:dyDescent="0.2">
      <c r="B328" s="668" t="s">
        <v>44</v>
      </c>
      <c r="C328" s="668"/>
      <c r="D328" s="668"/>
      <c r="E328" s="668"/>
      <c r="F328" s="668"/>
      <c r="G328" s="668"/>
      <c r="H328" s="668"/>
      <c r="I328" s="668"/>
    </row>
    <row r="329" spans="2:9" s="47" customFormat="1" ht="15" customHeight="1" x14ac:dyDescent="0.2">
      <c r="B329" s="351" t="s">
        <v>33</v>
      </c>
      <c r="C329" s="352" t="s">
        <v>5</v>
      </c>
      <c r="D329" s="20" t="s">
        <v>6</v>
      </c>
      <c r="E329" s="21"/>
      <c r="F329" s="21"/>
      <c r="G329" s="21"/>
      <c r="H329" s="20" t="s">
        <v>45</v>
      </c>
      <c r="I329" s="30" t="s">
        <v>39</v>
      </c>
    </row>
    <row r="330" spans="2:9" s="47" customFormat="1" ht="15" customHeight="1" x14ac:dyDescent="0.2">
      <c r="B330" s="319" t="s">
        <v>60</v>
      </c>
      <c r="C330" s="28" t="s">
        <v>56</v>
      </c>
      <c r="D330" s="570">
        <v>8</v>
      </c>
      <c r="E330" s="21"/>
      <c r="F330" s="21"/>
      <c r="G330" s="21"/>
      <c r="H330" s="535">
        <f>INSUMOS!E28</f>
        <v>2.77</v>
      </c>
      <c r="I330" s="536">
        <f>H330*D330</f>
        <v>22.16</v>
      </c>
    </row>
    <row r="331" spans="2:9" s="47" customFormat="1" ht="15" customHeight="1" x14ac:dyDescent="0.2">
      <c r="B331" s="319" t="s">
        <v>67</v>
      </c>
      <c r="C331" s="28" t="s">
        <v>56</v>
      </c>
      <c r="D331" s="570">
        <v>0.25</v>
      </c>
      <c r="E331" s="21"/>
      <c r="F331" s="21"/>
      <c r="G331" s="21"/>
      <c r="H331" s="535">
        <f>INSUMOS!E29</f>
        <v>13</v>
      </c>
      <c r="I331" s="536">
        <f>H331*D331</f>
        <v>3.25</v>
      </c>
    </row>
    <row r="332" spans="2:9" s="47" customFormat="1" ht="15" customHeight="1" x14ac:dyDescent="0.2">
      <c r="B332" s="669" t="s">
        <v>43</v>
      </c>
      <c r="C332" s="669"/>
      <c r="D332" s="669"/>
      <c r="E332" s="669"/>
      <c r="F332" s="669"/>
      <c r="G332" s="669"/>
      <c r="H332" s="669"/>
      <c r="I332" s="536">
        <f>SUM(I330:I331)</f>
        <v>25.41</v>
      </c>
    </row>
    <row r="333" spans="2:9" s="47" customFormat="1" ht="15" customHeight="1" x14ac:dyDescent="0.2">
      <c r="B333" s="668" t="s">
        <v>46</v>
      </c>
      <c r="C333" s="668"/>
      <c r="D333" s="668"/>
      <c r="E333" s="668"/>
      <c r="F333" s="668"/>
      <c r="G333" s="668"/>
      <c r="H333" s="668"/>
      <c r="I333" s="668"/>
    </row>
    <row r="334" spans="2:9" s="47" customFormat="1" ht="15" customHeight="1" x14ac:dyDescent="0.2">
      <c r="B334" s="339" t="s">
        <v>33</v>
      </c>
      <c r="C334" s="27" t="s">
        <v>5</v>
      </c>
      <c r="D334" s="20" t="s">
        <v>6</v>
      </c>
      <c r="E334" s="21"/>
      <c r="F334" s="21"/>
      <c r="G334" s="21"/>
      <c r="H334" s="20" t="s">
        <v>45</v>
      </c>
      <c r="I334" s="30" t="s">
        <v>39</v>
      </c>
    </row>
    <row r="335" spans="2:9" s="47" customFormat="1" ht="15" customHeight="1" x14ac:dyDescent="0.2">
      <c r="B335" s="19"/>
      <c r="C335" s="20"/>
      <c r="D335" s="20"/>
      <c r="E335" s="21"/>
      <c r="F335" s="21"/>
      <c r="G335" s="21"/>
      <c r="H335" s="20"/>
      <c r="I335" s="30"/>
    </row>
    <row r="336" spans="2:9" s="47" customFormat="1" ht="15" customHeight="1" x14ac:dyDescent="0.2">
      <c r="B336" s="669" t="s">
        <v>43</v>
      </c>
      <c r="C336" s="669"/>
      <c r="D336" s="669"/>
      <c r="E336" s="669"/>
      <c r="F336" s="669"/>
      <c r="G336" s="669"/>
      <c r="H336" s="669"/>
      <c r="I336" s="30"/>
    </row>
    <row r="337" spans="2:9" s="47" customFormat="1" ht="15" customHeight="1" x14ac:dyDescent="0.2">
      <c r="B337" s="668" t="s">
        <v>47</v>
      </c>
      <c r="C337" s="668"/>
      <c r="D337" s="668"/>
      <c r="E337" s="668"/>
      <c r="F337" s="668"/>
      <c r="G337" s="668"/>
      <c r="H337" s="668"/>
      <c r="I337" s="668"/>
    </row>
    <row r="338" spans="2:9" s="47" customFormat="1" ht="15" customHeight="1" x14ac:dyDescent="0.2">
      <c r="B338" s="351" t="s">
        <v>33</v>
      </c>
      <c r="C338" s="352" t="s">
        <v>5</v>
      </c>
      <c r="D338" s="321" t="s">
        <v>6</v>
      </c>
      <c r="E338" s="21"/>
      <c r="F338" s="21"/>
      <c r="G338" s="21"/>
      <c r="H338" s="20" t="s">
        <v>45</v>
      </c>
      <c r="I338" s="30" t="s">
        <v>39</v>
      </c>
    </row>
    <row r="339" spans="2:9" s="47" customFormat="1" ht="15" customHeight="1" x14ac:dyDescent="0.2">
      <c r="B339" s="35" t="s">
        <v>68</v>
      </c>
      <c r="C339" s="27" t="s">
        <v>41</v>
      </c>
      <c r="D339" s="535">
        <v>1</v>
      </c>
      <c r="E339" s="25"/>
      <c r="F339" s="25"/>
      <c r="G339" s="25"/>
      <c r="H339" s="535">
        <f>INSUMOS!E20</f>
        <v>12.29</v>
      </c>
      <c r="I339" s="555">
        <f>H339*D339</f>
        <v>12.29</v>
      </c>
    </row>
    <row r="340" spans="2:9" s="47" customFormat="1" ht="15" customHeight="1" x14ac:dyDescent="0.2">
      <c r="B340" s="201" t="s">
        <v>48</v>
      </c>
      <c r="C340" s="27" t="s">
        <v>41</v>
      </c>
      <c r="D340" s="535">
        <v>2</v>
      </c>
      <c r="E340" s="25"/>
      <c r="F340" s="25"/>
      <c r="G340" s="25"/>
      <c r="H340" s="535">
        <f>INSUMOS!E13</f>
        <v>7.81</v>
      </c>
      <c r="I340" s="536">
        <f>H340*D340</f>
        <v>15.62</v>
      </c>
    </row>
    <row r="341" spans="2:9" s="47" customFormat="1" ht="15" customHeight="1" x14ac:dyDescent="0.2">
      <c r="B341" s="669" t="s">
        <v>43</v>
      </c>
      <c r="C341" s="669"/>
      <c r="D341" s="669"/>
      <c r="E341" s="669"/>
      <c r="F341" s="669"/>
      <c r="G341" s="669"/>
      <c r="H341" s="669"/>
      <c r="I341" s="537">
        <f>SUM(I339:I340)</f>
        <v>27.91</v>
      </c>
    </row>
    <row r="342" spans="2:9" s="47" customFormat="1" ht="15" customHeight="1" x14ac:dyDescent="0.2">
      <c r="B342" s="346" t="s">
        <v>49</v>
      </c>
      <c r="C342" s="271">
        <v>1</v>
      </c>
      <c r="D342" s="654" t="s">
        <v>50</v>
      </c>
      <c r="E342" s="655"/>
      <c r="F342" s="655"/>
      <c r="G342" s="655"/>
      <c r="H342" s="656"/>
      <c r="I342" s="537">
        <f>I327+I332+I336+I341</f>
        <v>81.64</v>
      </c>
    </row>
    <row r="343" spans="2:9" s="47" customFormat="1" ht="15" customHeight="1" x14ac:dyDescent="0.2">
      <c r="B343" s="665"/>
      <c r="C343" s="666"/>
      <c r="D343" s="666"/>
      <c r="E343" s="666"/>
      <c r="F343" s="666"/>
      <c r="G343" s="666"/>
      <c r="H343" s="667"/>
      <c r="I343" s="537">
        <f>I342/C342</f>
        <v>81.64</v>
      </c>
    </row>
    <row r="344" spans="2:9" s="47" customFormat="1" ht="15" customHeight="1" x14ac:dyDescent="0.2">
      <c r="B344" s="342" t="s">
        <v>135</v>
      </c>
      <c r="C344" s="477">
        <f>BDI!C$36</f>
        <v>25</v>
      </c>
      <c r="D344" s="343" t="s">
        <v>103</v>
      </c>
      <c r="E344" s="344"/>
      <c r="F344" s="344"/>
      <c r="G344" s="344"/>
      <c r="H344" s="345"/>
      <c r="I344" s="536">
        <f>C344/100*I343</f>
        <v>20.41</v>
      </c>
    </row>
    <row r="345" spans="2:9" s="47" customFormat="1" ht="15" customHeight="1" thickBot="1" x14ac:dyDescent="0.25">
      <c r="B345" s="657" t="s">
        <v>51</v>
      </c>
      <c r="C345" s="657"/>
      <c r="D345" s="657"/>
      <c r="E345" s="657"/>
      <c r="F345" s="657"/>
      <c r="G345" s="657"/>
      <c r="H345" s="657"/>
      <c r="I345" s="506">
        <f>SUM(I343:I344)</f>
        <v>102.05</v>
      </c>
    </row>
    <row r="346" spans="2:9" s="47" customFormat="1" ht="15" customHeight="1" thickBot="1" x14ac:dyDescent="0.25">
      <c r="B346" s="11"/>
      <c r="C346" s="11"/>
      <c r="D346" s="11"/>
      <c r="E346" s="11"/>
      <c r="F346" s="11"/>
      <c r="G346" s="11"/>
      <c r="H346" s="11"/>
      <c r="I346" s="11"/>
    </row>
    <row r="347" spans="2:9" s="47" customFormat="1" ht="15" customHeight="1" x14ac:dyDescent="0.2">
      <c r="B347" s="530" t="s">
        <v>357</v>
      </c>
      <c r="C347" s="531" t="s">
        <v>24</v>
      </c>
      <c r="D347" s="685" t="s">
        <v>30</v>
      </c>
      <c r="E347" s="685"/>
      <c r="F347" s="685"/>
      <c r="G347" s="685"/>
      <c r="H347" s="685"/>
      <c r="I347" s="685"/>
    </row>
    <row r="348" spans="2:9" s="47" customFormat="1" ht="15" customHeight="1" x14ac:dyDescent="0.2">
      <c r="B348" s="673" t="s">
        <v>134</v>
      </c>
      <c r="C348" s="674"/>
      <c r="D348" s="674"/>
      <c r="E348" s="674"/>
      <c r="F348" s="674"/>
      <c r="G348" s="675"/>
      <c r="H348" s="670" t="s">
        <v>494</v>
      </c>
      <c r="I348" s="671"/>
    </row>
    <row r="349" spans="2:9" s="47" customFormat="1" ht="34.5" customHeight="1" x14ac:dyDescent="0.2">
      <c r="B349" s="721" t="s">
        <v>326</v>
      </c>
      <c r="C349" s="721"/>
      <c r="D349" s="721"/>
      <c r="E349" s="721"/>
      <c r="F349" s="721"/>
      <c r="G349" s="721"/>
      <c r="H349" s="97" t="s">
        <v>31</v>
      </c>
      <c r="I349" s="46" t="s">
        <v>142</v>
      </c>
    </row>
    <row r="350" spans="2:9" s="47" customFormat="1" ht="15" customHeight="1" x14ac:dyDescent="0.2">
      <c r="B350" s="668" t="s">
        <v>32</v>
      </c>
      <c r="C350" s="668"/>
      <c r="D350" s="668"/>
      <c r="E350" s="668"/>
      <c r="F350" s="668"/>
      <c r="G350" s="668"/>
      <c r="H350" s="668"/>
      <c r="I350" s="668"/>
    </row>
    <row r="351" spans="2:9" s="47" customFormat="1" ht="24" customHeight="1" x14ac:dyDescent="0.2">
      <c r="B351" s="13" t="s">
        <v>33</v>
      </c>
      <c r="C351" s="62" t="s">
        <v>5</v>
      </c>
      <c r="D351" s="14" t="s">
        <v>6</v>
      </c>
      <c r="E351" s="14" t="s">
        <v>35</v>
      </c>
      <c r="F351" s="14" t="s">
        <v>36</v>
      </c>
      <c r="G351" s="14" t="s">
        <v>37</v>
      </c>
      <c r="H351" s="14" t="s">
        <v>38</v>
      </c>
      <c r="I351" s="15" t="s">
        <v>39</v>
      </c>
    </row>
    <row r="352" spans="2:9" s="47" customFormat="1" ht="15" customHeight="1" x14ac:dyDescent="0.2">
      <c r="B352" s="319" t="s">
        <v>63</v>
      </c>
      <c r="C352" s="28" t="s">
        <v>41</v>
      </c>
      <c r="D352" s="582">
        <v>6</v>
      </c>
      <c r="E352" s="24"/>
      <c r="F352" s="24"/>
      <c r="G352" s="535">
        <f>INSUMOS!E62</f>
        <v>9.44</v>
      </c>
      <c r="H352" s="356"/>
      <c r="I352" s="536">
        <f>G352*D352</f>
        <v>56.64</v>
      </c>
    </row>
    <row r="353" spans="2:9" s="47" customFormat="1" ht="15" customHeight="1" x14ac:dyDescent="0.2">
      <c r="B353" s="669" t="s">
        <v>43</v>
      </c>
      <c r="C353" s="669"/>
      <c r="D353" s="669"/>
      <c r="E353" s="669"/>
      <c r="F353" s="669"/>
      <c r="G353" s="669"/>
      <c r="H353" s="669"/>
      <c r="I353" s="537">
        <f>SUM(I352:I352)</f>
        <v>56.64</v>
      </c>
    </row>
    <row r="354" spans="2:9" s="47" customFormat="1" ht="15" customHeight="1" x14ac:dyDescent="0.2">
      <c r="B354" s="668" t="s">
        <v>44</v>
      </c>
      <c r="C354" s="668"/>
      <c r="D354" s="668"/>
      <c r="E354" s="668"/>
      <c r="F354" s="668"/>
      <c r="G354" s="668"/>
      <c r="H354" s="668"/>
      <c r="I354" s="668"/>
    </row>
    <row r="355" spans="2:9" s="47" customFormat="1" ht="15" customHeight="1" x14ac:dyDescent="0.2">
      <c r="B355" s="351" t="s">
        <v>33</v>
      </c>
      <c r="C355" s="352" t="s">
        <v>5</v>
      </c>
      <c r="D355" s="20" t="s">
        <v>6</v>
      </c>
      <c r="E355" s="21"/>
      <c r="F355" s="21"/>
      <c r="G355" s="21"/>
      <c r="H355" s="20" t="s">
        <v>45</v>
      </c>
      <c r="I355" s="30" t="s">
        <v>39</v>
      </c>
    </row>
    <row r="356" spans="2:9" s="47" customFormat="1" ht="15" customHeight="1" x14ac:dyDescent="0.2">
      <c r="B356" s="319" t="s">
        <v>60</v>
      </c>
      <c r="C356" s="28" t="s">
        <v>56</v>
      </c>
      <c r="D356" s="570">
        <v>10</v>
      </c>
      <c r="E356" s="21"/>
      <c r="F356" s="21"/>
      <c r="G356" s="21"/>
      <c r="H356" s="535">
        <f>INSUMOS!E28</f>
        <v>2.77</v>
      </c>
      <c r="I356" s="536">
        <f>H356*D356</f>
        <v>27.7</v>
      </c>
    </row>
    <row r="357" spans="2:9" s="47" customFormat="1" ht="15" customHeight="1" x14ac:dyDescent="0.2">
      <c r="B357" s="319" t="s">
        <v>67</v>
      </c>
      <c r="C357" s="28" t="s">
        <v>56</v>
      </c>
      <c r="D357" s="570">
        <v>0.2</v>
      </c>
      <c r="E357" s="21"/>
      <c r="F357" s="21"/>
      <c r="G357" s="21"/>
      <c r="H357" s="535">
        <f>INSUMOS!E29</f>
        <v>13</v>
      </c>
      <c r="I357" s="536">
        <f>H357*D357</f>
        <v>2.6</v>
      </c>
    </row>
    <row r="358" spans="2:9" s="47" customFormat="1" ht="15" customHeight="1" x14ac:dyDescent="0.2">
      <c r="B358" s="669" t="s">
        <v>43</v>
      </c>
      <c r="C358" s="669"/>
      <c r="D358" s="669"/>
      <c r="E358" s="669"/>
      <c r="F358" s="669"/>
      <c r="G358" s="669"/>
      <c r="H358" s="669"/>
      <c r="I358" s="536">
        <f>SUM(I356:I357)</f>
        <v>30.3</v>
      </c>
    </row>
    <row r="359" spans="2:9" s="47" customFormat="1" ht="15" customHeight="1" x14ac:dyDescent="0.2">
      <c r="B359" s="668" t="s">
        <v>46</v>
      </c>
      <c r="C359" s="668"/>
      <c r="D359" s="668"/>
      <c r="E359" s="668"/>
      <c r="F359" s="668"/>
      <c r="G359" s="668"/>
      <c r="H359" s="668"/>
      <c r="I359" s="668"/>
    </row>
    <row r="360" spans="2:9" s="47" customFormat="1" ht="15" customHeight="1" x14ac:dyDescent="0.2">
      <c r="B360" s="339" t="s">
        <v>33</v>
      </c>
      <c r="C360" s="27" t="s">
        <v>5</v>
      </c>
      <c r="D360" s="20" t="s">
        <v>6</v>
      </c>
      <c r="E360" s="21"/>
      <c r="F360" s="21"/>
      <c r="G360" s="21"/>
      <c r="H360" s="20" t="s">
        <v>45</v>
      </c>
      <c r="I360" s="30" t="s">
        <v>39</v>
      </c>
    </row>
    <row r="361" spans="2:9" s="47" customFormat="1" ht="15" customHeight="1" x14ac:dyDescent="0.2">
      <c r="B361" s="19"/>
      <c r="C361" s="20"/>
      <c r="D361" s="20"/>
      <c r="E361" s="21"/>
      <c r="F361" s="21"/>
      <c r="G361" s="21"/>
      <c r="H361" s="20"/>
      <c r="I361" s="30"/>
    </row>
    <row r="362" spans="2:9" s="47" customFormat="1" ht="15" customHeight="1" x14ac:dyDescent="0.2">
      <c r="B362" s="669" t="s">
        <v>43</v>
      </c>
      <c r="C362" s="669"/>
      <c r="D362" s="669"/>
      <c r="E362" s="669"/>
      <c r="F362" s="669"/>
      <c r="G362" s="669"/>
      <c r="H362" s="669"/>
      <c r="I362" s="30"/>
    </row>
    <row r="363" spans="2:9" s="47" customFormat="1" ht="15" customHeight="1" x14ac:dyDescent="0.2">
      <c r="B363" s="668" t="s">
        <v>47</v>
      </c>
      <c r="C363" s="668"/>
      <c r="D363" s="668"/>
      <c r="E363" s="668"/>
      <c r="F363" s="668"/>
      <c r="G363" s="668"/>
      <c r="H363" s="668"/>
      <c r="I363" s="668"/>
    </row>
    <row r="364" spans="2:9" s="47" customFormat="1" ht="15" customHeight="1" x14ac:dyDescent="0.2">
      <c r="B364" s="351" t="s">
        <v>33</v>
      </c>
      <c r="C364" s="352" t="s">
        <v>5</v>
      </c>
      <c r="D364" s="321" t="s">
        <v>6</v>
      </c>
      <c r="E364" s="21"/>
      <c r="F364" s="21"/>
      <c r="G364" s="21"/>
      <c r="H364" s="20" t="s">
        <v>45</v>
      </c>
      <c r="I364" s="30" t="s">
        <v>39</v>
      </c>
    </row>
    <row r="365" spans="2:9" s="47" customFormat="1" ht="15" customHeight="1" x14ac:dyDescent="0.2">
      <c r="B365" s="35" t="s">
        <v>121</v>
      </c>
      <c r="C365" s="27" t="s">
        <v>41</v>
      </c>
      <c r="D365" s="535">
        <v>2</v>
      </c>
      <c r="E365" s="21"/>
      <c r="F365" s="21"/>
      <c r="G365" s="21"/>
      <c r="H365" s="535">
        <f>INSUMOS!E20</f>
        <v>12.29</v>
      </c>
      <c r="I365" s="536">
        <f>H365*D365</f>
        <v>24.58</v>
      </c>
    </row>
    <row r="366" spans="2:9" s="47" customFormat="1" ht="15" customHeight="1" x14ac:dyDescent="0.2">
      <c r="B366" s="201" t="s">
        <v>48</v>
      </c>
      <c r="C366" s="27" t="s">
        <v>41</v>
      </c>
      <c r="D366" s="535">
        <v>4</v>
      </c>
      <c r="E366" s="21"/>
      <c r="F366" s="21"/>
      <c r="G366" s="21"/>
      <c r="H366" s="535">
        <f>INSUMOS!E13</f>
        <v>7.81</v>
      </c>
      <c r="I366" s="536">
        <f>H366*D366</f>
        <v>31.24</v>
      </c>
    </row>
    <row r="367" spans="2:9" s="47" customFormat="1" ht="15" customHeight="1" x14ac:dyDescent="0.2">
      <c r="B367" s="669" t="s">
        <v>43</v>
      </c>
      <c r="C367" s="669"/>
      <c r="D367" s="669"/>
      <c r="E367" s="669"/>
      <c r="F367" s="669"/>
      <c r="G367" s="669"/>
      <c r="H367" s="669"/>
      <c r="I367" s="537">
        <f>SUM(I365:I366)</f>
        <v>55.82</v>
      </c>
    </row>
    <row r="368" spans="2:9" s="47" customFormat="1" ht="15" customHeight="1" x14ac:dyDescent="0.2">
      <c r="B368" s="346" t="s">
        <v>49</v>
      </c>
      <c r="C368" s="271">
        <v>1</v>
      </c>
      <c r="D368" s="654" t="s">
        <v>50</v>
      </c>
      <c r="E368" s="655"/>
      <c r="F368" s="655"/>
      <c r="G368" s="655"/>
      <c r="H368" s="656"/>
      <c r="I368" s="537">
        <f>I353+I358+I362+I367</f>
        <v>142.76</v>
      </c>
    </row>
    <row r="369" spans="2:9" s="47" customFormat="1" ht="15" customHeight="1" x14ac:dyDescent="0.2">
      <c r="B369" s="665"/>
      <c r="C369" s="666"/>
      <c r="D369" s="666"/>
      <c r="E369" s="666"/>
      <c r="F369" s="666"/>
      <c r="G369" s="666"/>
      <c r="H369" s="667"/>
      <c r="I369" s="537">
        <f>I368/C368</f>
        <v>142.76</v>
      </c>
    </row>
    <row r="370" spans="2:9" s="47" customFormat="1" ht="15" customHeight="1" x14ac:dyDescent="0.2">
      <c r="B370" s="342" t="s">
        <v>135</v>
      </c>
      <c r="C370" s="477">
        <f>BDI!C$36</f>
        <v>25</v>
      </c>
      <c r="D370" s="343" t="s">
        <v>103</v>
      </c>
      <c r="E370" s="344"/>
      <c r="F370" s="344"/>
      <c r="G370" s="344"/>
      <c r="H370" s="345"/>
      <c r="I370" s="536">
        <f>C370/100*I369</f>
        <v>35.69</v>
      </c>
    </row>
    <row r="371" spans="2:9" s="47" customFormat="1" ht="15" customHeight="1" thickBot="1" x14ac:dyDescent="0.25">
      <c r="B371" s="657" t="s">
        <v>51</v>
      </c>
      <c r="C371" s="657"/>
      <c r="D371" s="657"/>
      <c r="E371" s="657"/>
      <c r="F371" s="657"/>
      <c r="G371" s="657"/>
      <c r="H371" s="657"/>
      <c r="I371" s="506">
        <f>SUM(I369:I370)</f>
        <v>178.45</v>
      </c>
    </row>
    <row r="372" spans="2:9" s="47" customFormat="1" ht="15" customHeight="1" thickBot="1" x14ac:dyDescent="0.25">
      <c r="B372" s="11"/>
      <c r="C372" s="11"/>
      <c r="D372" s="11"/>
      <c r="E372" s="11"/>
      <c r="F372" s="11"/>
      <c r="G372" s="11"/>
      <c r="H372" s="11"/>
      <c r="I372" s="11"/>
    </row>
    <row r="373" spans="2:9" s="47" customFormat="1" ht="15" customHeight="1" x14ac:dyDescent="0.2">
      <c r="B373" s="530" t="s">
        <v>357</v>
      </c>
      <c r="C373" s="531" t="s">
        <v>133</v>
      </c>
      <c r="D373" s="685" t="s">
        <v>30</v>
      </c>
      <c r="E373" s="685"/>
      <c r="F373" s="685"/>
      <c r="G373" s="685"/>
      <c r="H373" s="685"/>
      <c r="I373" s="685"/>
    </row>
    <row r="374" spans="2:9" s="47" customFormat="1" ht="15" customHeight="1" x14ac:dyDescent="0.2">
      <c r="B374" s="673" t="s">
        <v>134</v>
      </c>
      <c r="C374" s="674"/>
      <c r="D374" s="674"/>
      <c r="E374" s="674"/>
      <c r="F374" s="674"/>
      <c r="G374" s="675"/>
      <c r="H374" s="670" t="s">
        <v>494</v>
      </c>
      <c r="I374" s="671"/>
    </row>
    <row r="375" spans="2:9" s="47" customFormat="1" ht="33" customHeight="1" x14ac:dyDescent="0.2">
      <c r="B375" s="679" t="s">
        <v>327</v>
      </c>
      <c r="C375" s="680"/>
      <c r="D375" s="680"/>
      <c r="E375" s="680"/>
      <c r="F375" s="680"/>
      <c r="G375" s="681"/>
      <c r="H375" s="12" t="s">
        <v>31</v>
      </c>
      <c r="I375" s="46" t="s">
        <v>142</v>
      </c>
    </row>
    <row r="376" spans="2:9" s="47" customFormat="1" ht="15" customHeight="1" x14ac:dyDescent="0.2">
      <c r="B376" s="668" t="s">
        <v>32</v>
      </c>
      <c r="C376" s="668"/>
      <c r="D376" s="668"/>
      <c r="E376" s="668"/>
      <c r="F376" s="668"/>
      <c r="G376" s="668"/>
      <c r="H376" s="668"/>
      <c r="I376" s="668"/>
    </row>
    <row r="377" spans="2:9" s="47" customFormat="1" ht="27" customHeight="1" x14ac:dyDescent="0.2">
      <c r="B377" s="13" t="s">
        <v>33</v>
      </c>
      <c r="C377" s="62" t="s">
        <v>5</v>
      </c>
      <c r="D377" s="14" t="s">
        <v>6</v>
      </c>
      <c r="E377" s="14" t="s">
        <v>35</v>
      </c>
      <c r="F377" s="14" t="s">
        <v>36</v>
      </c>
      <c r="G377" s="14" t="s">
        <v>37</v>
      </c>
      <c r="H377" s="14" t="s">
        <v>38</v>
      </c>
      <c r="I377" s="15" t="s">
        <v>39</v>
      </c>
    </row>
    <row r="378" spans="2:9" s="47" customFormat="1" ht="15" customHeight="1" x14ac:dyDescent="0.2">
      <c r="B378" s="319"/>
      <c r="C378" s="34"/>
      <c r="D378" s="54"/>
      <c r="E378" s="24"/>
      <c r="F378" s="24"/>
      <c r="G378" s="24"/>
      <c r="H378" s="24"/>
      <c r="I378" s="30"/>
    </row>
    <row r="379" spans="2:9" s="47" customFormat="1" ht="15" customHeight="1" x14ac:dyDescent="0.2">
      <c r="B379" s="669" t="s">
        <v>43</v>
      </c>
      <c r="C379" s="669"/>
      <c r="D379" s="669"/>
      <c r="E379" s="669"/>
      <c r="F379" s="669"/>
      <c r="G379" s="669"/>
      <c r="H379" s="669"/>
      <c r="I379" s="335"/>
    </row>
    <row r="380" spans="2:9" s="47" customFormat="1" ht="15" customHeight="1" x14ac:dyDescent="0.2">
      <c r="B380" s="668" t="s">
        <v>44</v>
      </c>
      <c r="C380" s="668"/>
      <c r="D380" s="668"/>
      <c r="E380" s="668"/>
      <c r="F380" s="668"/>
      <c r="G380" s="668"/>
      <c r="H380" s="668"/>
      <c r="I380" s="668"/>
    </row>
    <row r="381" spans="2:9" s="47" customFormat="1" ht="15" customHeight="1" x14ac:dyDescent="0.2">
      <c r="B381" s="353" t="s">
        <v>33</v>
      </c>
      <c r="C381" s="348" t="s">
        <v>5</v>
      </c>
      <c r="D381" s="24" t="s">
        <v>6</v>
      </c>
      <c r="E381" s="25"/>
      <c r="F381" s="25"/>
      <c r="G381" s="25"/>
      <c r="H381" s="24" t="s">
        <v>45</v>
      </c>
      <c r="I381" s="36" t="s">
        <v>39</v>
      </c>
    </row>
    <row r="382" spans="2:9" s="47" customFormat="1" ht="15" customHeight="1" x14ac:dyDescent="0.2">
      <c r="B382" s="319" t="s">
        <v>514</v>
      </c>
      <c r="C382" s="59" t="s">
        <v>142</v>
      </c>
      <c r="D382" s="570">
        <v>1</v>
      </c>
      <c r="E382" s="21"/>
      <c r="F382" s="21"/>
      <c r="G382" s="21"/>
      <c r="H382" s="535">
        <f>INSUMOS!E56</f>
        <v>48.73</v>
      </c>
      <c r="I382" s="536">
        <f>H382*D382</f>
        <v>48.73</v>
      </c>
    </row>
    <row r="383" spans="2:9" s="47" customFormat="1" ht="15" customHeight="1" x14ac:dyDescent="0.2">
      <c r="B383" s="319" t="s">
        <v>233</v>
      </c>
      <c r="C383" s="28" t="s">
        <v>56</v>
      </c>
      <c r="D383" s="570">
        <v>0.01</v>
      </c>
      <c r="E383" s="21"/>
      <c r="F383" s="21"/>
      <c r="G383" s="21"/>
      <c r="H383" s="535">
        <f>INSUMOS!E29</f>
        <v>13</v>
      </c>
      <c r="I383" s="536">
        <f>H383*D383</f>
        <v>0.13</v>
      </c>
    </row>
    <row r="384" spans="2:9" s="47" customFormat="1" ht="15" customHeight="1" x14ac:dyDescent="0.2">
      <c r="B384" s="35" t="s">
        <v>234</v>
      </c>
      <c r="C384" s="59" t="s">
        <v>142</v>
      </c>
      <c r="D384" s="570">
        <v>1</v>
      </c>
      <c r="E384" s="21"/>
      <c r="F384" s="21"/>
      <c r="G384" s="21"/>
      <c r="H384" s="535">
        <f>INSUMOS!E57</f>
        <v>11.1</v>
      </c>
      <c r="I384" s="536">
        <f>H384*D384</f>
        <v>11.1</v>
      </c>
    </row>
    <row r="385" spans="2:11" s="47" customFormat="1" ht="15" customHeight="1" x14ac:dyDescent="0.2">
      <c r="B385" s="669" t="s">
        <v>43</v>
      </c>
      <c r="C385" s="669"/>
      <c r="D385" s="669"/>
      <c r="E385" s="669"/>
      <c r="F385" s="669"/>
      <c r="G385" s="669"/>
      <c r="H385" s="669"/>
      <c r="I385" s="536">
        <f>SUM(I382:I384)</f>
        <v>59.96</v>
      </c>
    </row>
    <row r="386" spans="2:11" s="47" customFormat="1" ht="15" customHeight="1" x14ac:dyDescent="0.2">
      <c r="B386" s="668" t="s">
        <v>46</v>
      </c>
      <c r="C386" s="668"/>
      <c r="D386" s="668"/>
      <c r="E386" s="668"/>
      <c r="F386" s="668"/>
      <c r="G386" s="668"/>
      <c r="H386" s="668"/>
      <c r="I386" s="668"/>
    </row>
    <row r="387" spans="2:11" s="47" customFormat="1" ht="15" customHeight="1" x14ac:dyDescent="0.2">
      <c r="B387" s="339" t="s">
        <v>33</v>
      </c>
      <c r="C387" s="347" t="s">
        <v>5</v>
      </c>
      <c r="D387" s="20" t="s">
        <v>6</v>
      </c>
      <c r="E387" s="21"/>
      <c r="F387" s="21"/>
      <c r="G387" s="21"/>
      <c r="H387" s="20" t="s">
        <v>45</v>
      </c>
      <c r="I387" s="36" t="s">
        <v>39</v>
      </c>
    </row>
    <row r="388" spans="2:11" s="47" customFormat="1" ht="15" customHeight="1" x14ac:dyDescent="0.2">
      <c r="B388" s="19"/>
      <c r="C388" s="20"/>
      <c r="D388" s="20"/>
      <c r="E388" s="21"/>
      <c r="F388" s="21"/>
      <c r="G388" s="21"/>
      <c r="H388" s="20"/>
      <c r="I388" s="30"/>
    </row>
    <row r="389" spans="2:11" s="47" customFormat="1" ht="15" customHeight="1" x14ac:dyDescent="0.2">
      <c r="B389" s="669" t="s">
        <v>43</v>
      </c>
      <c r="C389" s="669"/>
      <c r="D389" s="669"/>
      <c r="E389" s="669"/>
      <c r="F389" s="669"/>
      <c r="G389" s="669"/>
      <c r="H389" s="669"/>
      <c r="I389" s="30"/>
    </row>
    <row r="390" spans="2:11" s="47" customFormat="1" ht="15" customHeight="1" x14ac:dyDescent="0.2">
      <c r="B390" s="668" t="s">
        <v>47</v>
      </c>
      <c r="C390" s="668"/>
      <c r="D390" s="668"/>
      <c r="E390" s="668"/>
      <c r="F390" s="668"/>
      <c r="G390" s="668"/>
      <c r="H390" s="668"/>
      <c r="I390" s="668"/>
    </row>
    <row r="391" spans="2:11" s="47" customFormat="1" ht="15" customHeight="1" x14ac:dyDescent="0.2">
      <c r="B391" s="353" t="s">
        <v>33</v>
      </c>
      <c r="C391" s="348" t="s">
        <v>5</v>
      </c>
      <c r="D391" s="354" t="s">
        <v>6</v>
      </c>
      <c r="E391" s="25"/>
      <c r="F391" s="25"/>
      <c r="G391" s="25"/>
      <c r="H391" s="24" t="s">
        <v>45</v>
      </c>
      <c r="I391" s="36" t="s">
        <v>39</v>
      </c>
    </row>
    <row r="392" spans="2:11" s="47" customFormat="1" ht="15" customHeight="1" x14ac:dyDescent="0.2">
      <c r="B392" s="35" t="s">
        <v>61</v>
      </c>
      <c r="C392" s="27" t="s">
        <v>41</v>
      </c>
      <c r="D392" s="535">
        <v>0.1</v>
      </c>
      <c r="E392" s="25"/>
      <c r="F392" s="25"/>
      <c r="G392" s="25"/>
      <c r="H392" s="535">
        <f>INSUMOS!E15</f>
        <v>23.62</v>
      </c>
      <c r="I392" s="536">
        <f>H392*D392</f>
        <v>2.36</v>
      </c>
    </row>
    <row r="393" spans="2:11" s="47" customFormat="1" ht="15" customHeight="1" x14ac:dyDescent="0.2">
      <c r="B393" s="201" t="s">
        <v>48</v>
      </c>
      <c r="C393" s="27" t="s">
        <v>41</v>
      </c>
      <c r="D393" s="535">
        <v>0.1</v>
      </c>
      <c r="E393" s="25"/>
      <c r="F393" s="25"/>
      <c r="G393" s="25"/>
      <c r="H393" s="535">
        <f>INSUMOS!E13</f>
        <v>7.81</v>
      </c>
      <c r="I393" s="536">
        <f>H393*D393</f>
        <v>0.78</v>
      </c>
    </row>
    <row r="394" spans="2:11" s="47" customFormat="1" ht="15" customHeight="1" x14ac:dyDescent="0.2">
      <c r="B394" s="669" t="s">
        <v>43</v>
      </c>
      <c r="C394" s="669"/>
      <c r="D394" s="669"/>
      <c r="E394" s="669"/>
      <c r="F394" s="669"/>
      <c r="G394" s="669"/>
      <c r="H394" s="669"/>
      <c r="I394" s="537">
        <f>SUM(I392:I393)</f>
        <v>3.14</v>
      </c>
    </row>
    <row r="395" spans="2:11" s="47" customFormat="1" ht="15" customHeight="1" x14ac:dyDescent="0.2">
      <c r="B395" s="346" t="s">
        <v>49</v>
      </c>
      <c r="C395" s="271">
        <v>1</v>
      </c>
      <c r="D395" s="654" t="s">
        <v>50</v>
      </c>
      <c r="E395" s="655"/>
      <c r="F395" s="655"/>
      <c r="G395" s="655"/>
      <c r="H395" s="656"/>
      <c r="I395" s="537">
        <f>I379+I385+I389+I394</f>
        <v>63.1</v>
      </c>
    </row>
    <row r="396" spans="2:11" s="47" customFormat="1" ht="15" customHeight="1" x14ac:dyDescent="0.2">
      <c r="B396" s="665"/>
      <c r="C396" s="666"/>
      <c r="D396" s="666"/>
      <c r="E396" s="666"/>
      <c r="F396" s="666"/>
      <c r="G396" s="666"/>
      <c r="H396" s="667"/>
      <c r="I396" s="537">
        <f>I395/C395</f>
        <v>63.1</v>
      </c>
    </row>
    <row r="397" spans="2:11" s="47" customFormat="1" ht="15" customHeight="1" x14ac:dyDescent="0.2">
      <c r="B397" s="342" t="s">
        <v>135</v>
      </c>
      <c r="C397" s="477">
        <f>BDI!C$36</f>
        <v>25</v>
      </c>
      <c r="D397" s="343" t="s">
        <v>103</v>
      </c>
      <c r="E397" s="344"/>
      <c r="F397" s="344"/>
      <c r="G397" s="344"/>
      <c r="H397" s="345"/>
      <c r="I397" s="536">
        <f>C397/100*I396</f>
        <v>15.78</v>
      </c>
    </row>
    <row r="398" spans="2:11" s="47" customFormat="1" ht="15" customHeight="1" thickBot="1" x14ac:dyDescent="0.25">
      <c r="B398" s="657" t="s">
        <v>51</v>
      </c>
      <c r="C398" s="657"/>
      <c r="D398" s="657"/>
      <c r="E398" s="657"/>
      <c r="F398" s="657"/>
      <c r="G398" s="657"/>
      <c r="H398" s="657"/>
      <c r="I398" s="506">
        <f>SUM(I396:I397)</f>
        <v>78.88</v>
      </c>
    </row>
    <row r="399" spans="2:11" s="47" customFormat="1" ht="15" customHeight="1" thickBot="1" x14ac:dyDescent="0.25">
      <c r="B399" s="447"/>
      <c r="C399" s="447"/>
      <c r="D399" s="447"/>
      <c r="E399" s="447"/>
      <c r="F399" s="447"/>
      <c r="G399" s="447"/>
      <c r="H399" s="447"/>
      <c r="I399" s="417"/>
    </row>
    <row r="400" spans="2:11" ht="15.95" customHeight="1" x14ac:dyDescent="0.2">
      <c r="B400" s="530" t="s">
        <v>357</v>
      </c>
      <c r="C400" s="531" t="s">
        <v>149</v>
      </c>
      <c r="D400" s="685" t="s">
        <v>30</v>
      </c>
      <c r="E400" s="685"/>
      <c r="F400" s="685"/>
      <c r="G400" s="685"/>
      <c r="H400" s="685"/>
      <c r="I400" s="685"/>
      <c r="K400" s="47"/>
    </row>
    <row r="401" spans="2:11" ht="15.95" customHeight="1" x14ac:dyDescent="0.2">
      <c r="B401" s="673" t="s">
        <v>134</v>
      </c>
      <c r="C401" s="674"/>
      <c r="D401" s="674"/>
      <c r="E401" s="674"/>
      <c r="F401" s="674"/>
      <c r="G401" s="675"/>
      <c r="H401" s="670" t="s">
        <v>494</v>
      </c>
      <c r="I401" s="671"/>
      <c r="K401" s="47"/>
    </row>
    <row r="402" spans="2:11" ht="26.25" customHeight="1" x14ac:dyDescent="0.2">
      <c r="B402" s="721" t="s">
        <v>328</v>
      </c>
      <c r="C402" s="721"/>
      <c r="D402" s="721"/>
      <c r="E402" s="721"/>
      <c r="F402" s="721"/>
      <c r="G402" s="721"/>
      <c r="H402" s="12" t="s">
        <v>31</v>
      </c>
      <c r="I402" s="46" t="s">
        <v>142</v>
      </c>
    </row>
    <row r="403" spans="2:11" ht="15.95" customHeight="1" x14ac:dyDescent="0.2">
      <c r="B403" s="668" t="s">
        <v>32</v>
      </c>
      <c r="C403" s="668"/>
      <c r="D403" s="668"/>
      <c r="E403" s="668"/>
      <c r="F403" s="668"/>
      <c r="G403" s="668"/>
      <c r="H403" s="668"/>
      <c r="I403" s="668"/>
    </row>
    <row r="404" spans="2:11" ht="25.5" customHeight="1" x14ac:dyDescent="0.2">
      <c r="B404" s="13" t="s">
        <v>33</v>
      </c>
      <c r="C404" s="62" t="s">
        <v>5</v>
      </c>
      <c r="D404" s="14" t="s">
        <v>6</v>
      </c>
      <c r="E404" s="14" t="s">
        <v>35</v>
      </c>
      <c r="F404" s="14" t="s">
        <v>36</v>
      </c>
      <c r="G404" s="14" t="s">
        <v>37</v>
      </c>
      <c r="H404" s="14" t="s">
        <v>38</v>
      </c>
      <c r="I404" s="15" t="s">
        <v>39</v>
      </c>
    </row>
    <row r="405" spans="2:11" ht="15.95" customHeight="1" x14ac:dyDescent="0.2">
      <c r="B405" s="319" t="s">
        <v>63</v>
      </c>
      <c r="C405" s="28" t="s">
        <v>41</v>
      </c>
      <c r="D405" s="582">
        <v>2</v>
      </c>
      <c r="E405" s="20"/>
      <c r="F405" s="20"/>
      <c r="G405" s="535">
        <f>INSUMOS!E62</f>
        <v>9.44</v>
      </c>
      <c r="H405" s="356"/>
      <c r="I405" s="536">
        <f>G405*D405</f>
        <v>18.88</v>
      </c>
    </row>
    <row r="406" spans="2:11" s="47" customFormat="1" ht="30" customHeight="1" x14ac:dyDescent="0.2">
      <c r="B406" s="669" t="s">
        <v>43</v>
      </c>
      <c r="C406" s="669"/>
      <c r="D406" s="669"/>
      <c r="E406" s="669"/>
      <c r="F406" s="669"/>
      <c r="G406" s="669"/>
      <c r="H406" s="669"/>
      <c r="I406" s="537">
        <f>SUM(I405:I405)</f>
        <v>18.88</v>
      </c>
      <c r="K406" s="11"/>
    </row>
    <row r="407" spans="2:11" x14ac:dyDescent="0.2">
      <c r="B407" s="668" t="s">
        <v>44</v>
      </c>
      <c r="C407" s="668"/>
      <c r="D407" s="668"/>
      <c r="E407" s="668"/>
      <c r="F407" s="668"/>
      <c r="G407" s="668"/>
      <c r="H407" s="668"/>
      <c r="I407" s="668"/>
    </row>
    <row r="408" spans="2:11" x14ac:dyDescent="0.2">
      <c r="B408" s="351" t="s">
        <v>33</v>
      </c>
      <c r="C408" s="352" t="s">
        <v>5</v>
      </c>
      <c r="D408" s="20" t="s">
        <v>6</v>
      </c>
      <c r="E408" s="21"/>
      <c r="F408" s="21"/>
      <c r="G408" s="21"/>
      <c r="H408" s="20" t="s">
        <v>45</v>
      </c>
      <c r="I408" s="30" t="s">
        <v>39</v>
      </c>
      <c r="K408" s="47"/>
    </row>
    <row r="409" spans="2:11" x14ac:dyDescent="0.2">
      <c r="B409" s="319" t="s">
        <v>60</v>
      </c>
      <c r="C409" s="28" t="s">
        <v>56</v>
      </c>
      <c r="D409" s="29">
        <v>8</v>
      </c>
      <c r="E409" s="21"/>
      <c r="F409" s="21"/>
      <c r="G409" s="21"/>
      <c r="H409" s="535">
        <f>INSUMOS!E28</f>
        <v>2.77</v>
      </c>
      <c r="I409" s="536">
        <f>H409*D409</f>
        <v>22.16</v>
      </c>
    </row>
    <row r="410" spans="2:11" x14ac:dyDescent="0.2">
      <c r="B410" s="319" t="s">
        <v>67</v>
      </c>
      <c r="C410" s="188" t="s">
        <v>56</v>
      </c>
      <c r="D410" s="583">
        <v>0.2</v>
      </c>
      <c r="E410" s="357"/>
      <c r="F410" s="21"/>
      <c r="G410" s="21"/>
      <c r="H410" s="535">
        <f>INSUMOS!E29</f>
        <v>13</v>
      </c>
      <c r="I410" s="536">
        <f>H410*D410</f>
        <v>2.6</v>
      </c>
    </row>
    <row r="411" spans="2:11" x14ac:dyDescent="0.2">
      <c r="B411" s="358" t="s">
        <v>138</v>
      </c>
      <c r="C411" s="59" t="s">
        <v>53</v>
      </c>
      <c r="D411" s="581">
        <v>0.4</v>
      </c>
      <c r="E411" s="61"/>
      <c r="F411" s="190"/>
      <c r="G411" s="190"/>
      <c r="H411" s="560">
        <f>INSUMOS!E31</f>
        <v>4.42</v>
      </c>
      <c r="I411" s="536">
        <f>H411*D411</f>
        <v>1.77</v>
      </c>
    </row>
    <row r="412" spans="2:11" x14ac:dyDescent="0.2">
      <c r="B412" s="669" t="s">
        <v>43</v>
      </c>
      <c r="C412" s="708"/>
      <c r="D412" s="708"/>
      <c r="E412" s="708"/>
      <c r="F412" s="669"/>
      <c r="G412" s="669"/>
      <c r="H412" s="669"/>
      <c r="I412" s="536">
        <f>SUM(I409:I411)</f>
        <v>26.53</v>
      </c>
    </row>
    <row r="413" spans="2:11" x14ac:dyDescent="0.2">
      <c r="B413" s="668" t="s">
        <v>46</v>
      </c>
      <c r="C413" s="668"/>
      <c r="D413" s="668"/>
      <c r="E413" s="668"/>
      <c r="F413" s="668"/>
      <c r="G413" s="668"/>
      <c r="H413" s="668"/>
      <c r="I413" s="668"/>
    </row>
    <row r="414" spans="2:11" s="47" customFormat="1" ht="30" customHeight="1" x14ac:dyDescent="0.2">
      <c r="B414" s="339" t="s">
        <v>33</v>
      </c>
      <c r="C414" s="347" t="s">
        <v>5</v>
      </c>
      <c r="D414" s="20" t="s">
        <v>6</v>
      </c>
      <c r="E414" s="21"/>
      <c r="F414" s="21"/>
      <c r="G414" s="21"/>
      <c r="H414" s="20" t="s">
        <v>45</v>
      </c>
      <c r="I414" s="36" t="s">
        <v>39</v>
      </c>
      <c r="K414" s="11"/>
    </row>
    <row r="415" spans="2:11" s="47" customFormat="1" ht="15" customHeight="1" x14ac:dyDescent="0.2">
      <c r="B415" s="19"/>
      <c r="C415" s="20"/>
      <c r="D415" s="20"/>
      <c r="E415" s="21"/>
      <c r="F415" s="21"/>
      <c r="G415" s="21"/>
      <c r="H415" s="20"/>
      <c r="I415" s="30"/>
      <c r="K415" s="11"/>
    </row>
    <row r="416" spans="2:11" s="47" customFormat="1" ht="14.25" customHeight="1" x14ac:dyDescent="0.2">
      <c r="B416" s="669" t="s">
        <v>43</v>
      </c>
      <c r="C416" s="669"/>
      <c r="D416" s="669"/>
      <c r="E416" s="669"/>
      <c r="F416" s="669"/>
      <c r="G416" s="669"/>
      <c r="H416" s="669"/>
      <c r="I416" s="30"/>
    </row>
    <row r="417" spans="2:11" s="47" customFormat="1" ht="30" customHeight="1" x14ac:dyDescent="0.2">
      <c r="B417" s="668" t="s">
        <v>47</v>
      </c>
      <c r="C417" s="668"/>
      <c r="D417" s="668"/>
      <c r="E417" s="668"/>
      <c r="F417" s="668"/>
      <c r="G417" s="668"/>
      <c r="H417" s="668"/>
      <c r="I417" s="668"/>
    </row>
    <row r="418" spans="2:11" x14ac:dyDescent="0.2">
      <c r="B418" s="351" t="s">
        <v>33</v>
      </c>
      <c r="C418" s="352" t="s">
        <v>5</v>
      </c>
      <c r="D418" s="321" t="s">
        <v>6</v>
      </c>
      <c r="E418" s="21"/>
      <c r="F418" s="21"/>
      <c r="G418" s="21"/>
      <c r="H418" s="20" t="s">
        <v>45</v>
      </c>
      <c r="I418" s="30" t="s">
        <v>39</v>
      </c>
      <c r="K418" s="47"/>
    </row>
    <row r="419" spans="2:11" ht="12.75" customHeight="1" x14ac:dyDescent="0.2">
      <c r="B419" s="35" t="s">
        <v>68</v>
      </c>
      <c r="C419" s="27" t="s">
        <v>41</v>
      </c>
      <c r="D419" s="535">
        <v>0.5</v>
      </c>
      <c r="E419" s="21"/>
      <c r="F419" s="21"/>
      <c r="G419" s="21"/>
      <c r="H419" s="535">
        <f>INSUMOS!E20</f>
        <v>12.29</v>
      </c>
      <c r="I419" s="536">
        <f>H419*D419</f>
        <v>6.15</v>
      </c>
      <c r="K419" s="47"/>
    </row>
    <row r="420" spans="2:11" ht="12.75" customHeight="1" x14ac:dyDescent="0.2">
      <c r="B420" s="201" t="s">
        <v>48</v>
      </c>
      <c r="C420" s="27" t="s">
        <v>41</v>
      </c>
      <c r="D420" s="535">
        <v>2</v>
      </c>
      <c r="E420" s="21"/>
      <c r="F420" s="21"/>
      <c r="G420" s="21"/>
      <c r="H420" s="535">
        <f>INSUMOS!E13</f>
        <v>7.81</v>
      </c>
      <c r="I420" s="536">
        <f>H420*D420</f>
        <v>15.62</v>
      </c>
    </row>
    <row r="421" spans="2:11" x14ac:dyDescent="0.2">
      <c r="B421" s="669" t="s">
        <v>43</v>
      </c>
      <c r="C421" s="669"/>
      <c r="D421" s="669"/>
      <c r="E421" s="669"/>
      <c r="F421" s="669"/>
      <c r="G421" s="669"/>
      <c r="H421" s="669"/>
      <c r="I421" s="537">
        <f>SUM(I419:I420)</f>
        <v>21.77</v>
      </c>
    </row>
    <row r="422" spans="2:11" x14ac:dyDescent="0.2">
      <c r="B422" s="346" t="s">
        <v>49</v>
      </c>
      <c r="C422" s="271">
        <v>1</v>
      </c>
      <c r="D422" s="654" t="s">
        <v>50</v>
      </c>
      <c r="E422" s="655"/>
      <c r="F422" s="655"/>
      <c r="G422" s="655"/>
      <c r="H422" s="656"/>
      <c r="I422" s="537">
        <f>I406+I412+I416+I421</f>
        <v>67.180000000000007</v>
      </c>
      <c r="K422" s="47"/>
    </row>
    <row r="423" spans="2:11" ht="12.75" customHeight="1" x14ac:dyDescent="0.2">
      <c r="B423" s="665"/>
      <c r="C423" s="666"/>
      <c r="D423" s="666"/>
      <c r="E423" s="666"/>
      <c r="F423" s="666"/>
      <c r="G423" s="666"/>
      <c r="H423" s="667"/>
      <c r="I423" s="537">
        <f>I422/C422</f>
        <v>67.180000000000007</v>
      </c>
    </row>
    <row r="424" spans="2:11" s="47" customFormat="1" ht="16.5" customHeight="1" x14ac:dyDescent="0.2">
      <c r="B424" s="342" t="s">
        <v>135</v>
      </c>
      <c r="C424" s="477">
        <f>BDI!C$36</f>
        <v>25</v>
      </c>
      <c r="D424" s="343" t="s">
        <v>103</v>
      </c>
      <c r="E424" s="344"/>
      <c r="F424" s="344"/>
      <c r="G424" s="344"/>
      <c r="H424" s="345"/>
      <c r="I424" s="536">
        <f>C424/100*I423</f>
        <v>16.8</v>
      </c>
      <c r="K424" s="11"/>
    </row>
    <row r="425" spans="2:11" ht="13.5" thickBot="1" x14ac:dyDescent="0.25">
      <c r="B425" s="657" t="s">
        <v>51</v>
      </c>
      <c r="C425" s="657"/>
      <c r="D425" s="657"/>
      <c r="E425" s="657"/>
      <c r="F425" s="657"/>
      <c r="G425" s="657"/>
      <c r="H425" s="657"/>
      <c r="I425" s="506">
        <f>SUM(I423:I424)</f>
        <v>83.98</v>
      </c>
    </row>
    <row r="426" spans="2:11" ht="13.5" thickBot="1" x14ac:dyDescent="0.25">
      <c r="K426" s="47"/>
    </row>
    <row r="427" spans="2:11" ht="15.95" customHeight="1" x14ac:dyDescent="0.2">
      <c r="B427" s="530" t="s">
        <v>357</v>
      </c>
      <c r="C427" s="531" t="s">
        <v>150</v>
      </c>
      <c r="D427" s="685" t="s">
        <v>30</v>
      </c>
      <c r="E427" s="685"/>
      <c r="F427" s="685"/>
      <c r="G427" s="685"/>
      <c r="H427" s="685"/>
      <c r="I427" s="685"/>
    </row>
    <row r="428" spans="2:11" ht="15.95" customHeight="1" x14ac:dyDescent="0.2">
      <c r="B428" s="673" t="s">
        <v>134</v>
      </c>
      <c r="C428" s="674"/>
      <c r="D428" s="674"/>
      <c r="E428" s="674"/>
      <c r="F428" s="674"/>
      <c r="G428" s="675"/>
      <c r="H428" s="670" t="s">
        <v>494</v>
      </c>
      <c r="I428" s="671"/>
    </row>
    <row r="429" spans="2:11" ht="24.75" customHeight="1" x14ac:dyDescent="0.2">
      <c r="B429" s="672" t="s">
        <v>488</v>
      </c>
      <c r="C429" s="672"/>
      <c r="D429" s="672"/>
      <c r="E429" s="672"/>
      <c r="F429" s="672"/>
      <c r="G429" s="672"/>
      <c r="H429" s="12" t="s">
        <v>31</v>
      </c>
      <c r="I429" s="46" t="s">
        <v>142</v>
      </c>
    </row>
    <row r="430" spans="2:11" ht="15.95" customHeight="1" x14ac:dyDescent="0.2">
      <c r="B430" s="668" t="s">
        <v>32</v>
      </c>
      <c r="C430" s="668"/>
      <c r="D430" s="668"/>
      <c r="E430" s="668"/>
      <c r="F430" s="668"/>
      <c r="G430" s="668"/>
      <c r="H430" s="668"/>
      <c r="I430" s="668"/>
    </row>
    <row r="431" spans="2:11" ht="25.5" customHeight="1" x14ac:dyDescent="0.2">
      <c r="B431" s="13" t="s">
        <v>33</v>
      </c>
      <c r="C431" s="62" t="s">
        <v>5</v>
      </c>
      <c r="D431" s="14" t="s">
        <v>6</v>
      </c>
      <c r="E431" s="14" t="s">
        <v>35</v>
      </c>
      <c r="F431" s="14" t="s">
        <v>36</v>
      </c>
      <c r="G431" s="14" t="s">
        <v>37</v>
      </c>
      <c r="H431" s="14" t="s">
        <v>38</v>
      </c>
      <c r="I431" s="15" t="s">
        <v>39</v>
      </c>
    </row>
    <row r="432" spans="2:11" ht="15.95" customHeight="1" x14ac:dyDescent="0.2">
      <c r="B432" s="319" t="s">
        <v>515</v>
      </c>
      <c r="C432" s="28" t="s">
        <v>41</v>
      </c>
      <c r="D432" s="570">
        <v>4</v>
      </c>
      <c r="E432" s="20"/>
      <c r="F432" s="20"/>
      <c r="G432" s="535">
        <f>INSUMOS!E54</f>
        <v>15.78</v>
      </c>
      <c r="H432" s="356"/>
      <c r="I432" s="536">
        <f>G432*D432</f>
        <v>63.12</v>
      </c>
    </row>
    <row r="433" spans="2:11" ht="15.95" customHeight="1" x14ac:dyDescent="0.2">
      <c r="B433" s="669" t="s">
        <v>43</v>
      </c>
      <c r="C433" s="669"/>
      <c r="D433" s="669"/>
      <c r="E433" s="669"/>
      <c r="F433" s="669"/>
      <c r="G433" s="669"/>
      <c r="H433" s="669"/>
      <c r="I433" s="537">
        <f>SUM(I432:I432)</f>
        <v>63.12</v>
      </c>
    </row>
    <row r="434" spans="2:11" s="47" customFormat="1" ht="30" customHeight="1" x14ac:dyDescent="0.2">
      <c r="B434" s="668" t="s">
        <v>44</v>
      </c>
      <c r="C434" s="668"/>
      <c r="D434" s="668"/>
      <c r="E434" s="668"/>
      <c r="F434" s="668"/>
      <c r="G434" s="668"/>
      <c r="H434" s="668"/>
      <c r="I434" s="668"/>
      <c r="K434" s="11"/>
    </row>
    <row r="435" spans="2:11" x14ac:dyDescent="0.2">
      <c r="B435" s="353" t="s">
        <v>33</v>
      </c>
      <c r="C435" s="348" t="s">
        <v>5</v>
      </c>
      <c r="D435" s="24" t="s">
        <v>6</v>
      </c>
      <c r="E435" s="25"/>
      <c r="F435" s="25"/>
      <c r="G435" s="25"/>
      <c r="H435" s="24" t="s">
        <v>45</v>
      </c>
      <c r="I435" s="36" t="s">
        <v>39</v>
      </c>
    </row>
    <row r="436" spans="2:11" x14ac:dyDescent="0.2">
      <c r="B436" s="319"/>
      <c r="C436" s="28"/>
      <c r="D436" s="29"/>
      <c r="E436" s="21"/>
      <c r="F436" s="21"/>
      <c r="G436" s="21"/>
      <c r="H436" s="20"/>
      <c r="I436" s="30"/>
      <c r="K436" s="47"/>
    </row>
    <row r="437" spans="2:11" x14ac:dyDescent="0.2">
      <c r="B437" s="669" t="s">
        <v>43</v>
      </c>
      <c r="C437" s="669"/>
      <c r="D437" s="669"/>
      <c r="E437" s="669"/>
      <c r="F437" s="669"/>
      <c r="G437" s="669"/>
      <c r="H437" s="669"/>
      <c r="I437" s="30"/>
    </row>
    <row r="438" spans="2:11" x14ac:dyDescent="0.2">
      <c r="B438" s="668" t="s">
        <v>46</v>
      </c>
      <c r="C438" s="668"/>
      <c r="D438" s="668"/>
      <c r="E438" s="668"/>
      <c r="F438" s="668"/>
      <c r="G438" s="668"/>
      <c r="H438" s="668"/>
      <c r="I438" s="668"/>
    </row>
    <row r="439" spans="2:11" x14ac:dyDescent="0.2">
      <c r="B439" s="339" t="s">
        <v>33</v>
      </c>
      <c r="C439" s="27" t="s">
        <v>5</v>
      </c>
      <c r="D439" s="20" t="s">
        <v>6</v>
      </c>
      <c r="E439" s="21"/>
      <c r="F439" s="21"/>
      <c r="G439" s="21"/>
      <c r="H439" s="20" t="s">
        <v>45</v>
      </c>
      <c r="I439" s="30" t="s">
        <v>39</v>
      </c>
    </row>
    <row r="440" spans="2:11" x14ac:dyDescent="0.2">
      <c r="B440" s="319" t="s">
        <v>69</v>
      </c>
      <c r="C440" s="59" t="s">
        <v>142</v>
      </c>
      <c r="D440" s="535">
        <v>1</v>
      </c>
      <c r="E440" s="21"/>
      <c r="F440" s="21"/>
      <c r="G440" s="21"/>
      <c r="H440" s="535">
        <f>INSUMOS!E68+INSUMOS!E67</f>
        <v>176.02</v>
      </c>
      <c r="I440" s="536">
        <f>D440*H440</f>
        <v>176.02</v>
      </c>
    </row>
    <row r="441" spans="2:11" x14ac:dyDescent="0.2">
      <c r="B441" s="669" t="s">
        <v>43</v>
      </c>
      <c r="C441" s="669"/>
      <c r="D441" s="669"/>
      <c r="E441" s="669"/>
      <c r="F441" s="669"/>
      <c r="G441" s="669"/>
      <c r="H441" s="669"/>
      <c r="I441" s="536">
        <f>SUM(I440:I440)</f>
        <v>176.02</v>
      </c>
    </row>
    <row r="442" spans="2:11" s="47" customFormat="1" ht="30" customHeight="1" x14ac:dyDescent="0.2">
      <c r="B442" s="668" t="s">
        <v>47</v>
      </c>
      <c r="C442" s="668"/>
      <c r="D442" s="668"/>
      <c r="E442" s="668"/>
      <c r="F442" s="668"/>
      <c r="G442" s="668"/>
      <c r="H442" s="668"/>
      <c r="I442" s="668"/>
      <c r="K442" s="11"/>
    </row>
    <row r="443" spans="2:11" s="47" customFormat="1" ht="30" customHeight="1" x14ac:dyDescent="0.2">
      <c r="B443" s="353" t="s">
        <v>33</v>
      </c>
      <c r="C443" s="348" t="s">
        <v>5</v>
      </c>
      <c r="D443" s="354" t="s">
        <v>6</v>
      </c>
      <c r="E443" s="25"/>
      <c r="F443" s="25"/>
      <c r="G443" s="25"/>
      <c r="H443" s="24" t="s">
        <v>45</v>
      </c>
      <c r="I443" s="36" t="s">
        <v>39</v>
      </c>
      <c r="K443" s="11"/>
    </row>
    <row r="444" spans="2:11" s="47" customFormat="1" ht="16.5" customHeight="1" x14ac:dyDescent="0.2">
      <c r="B444" s="35" t="s">
        <v>62</v>
      </c>
      <c r="C444" s="27" t="s">
        <v>41</v>
      </c>
      <c r="D444" s="535">
        <v>4</v>
      </c>
      <c r="E444" s="25"/>
      <c r="F444" s="25"/>
      <c r="G444" s="25"/>
      <c r="H444" s="535">
        <f>INSUMOS!E12</f>
        <v>19.84</v>
      </c>
      <c r="I444" s="536">
        <f>H444*D444</f>
        <v>79.36</v>
      </c>
    </row>
    <row r="445" spans="2:11" s="47" customFormat="1" ht="15" customHeight="1" x14ac:dyDescent="0.2">
      <c r="B445" s="201" t="s">
        <v>48</v>
      </c>
      <c r="C445" s="27" t="s">
        <v>41</v>
      </c>
      <c r="D445" s="535">
        <v>0.2</v>
      </c>
      <c r="E445" s="25"/>
      <c r="F445" s="25"/>
      <c r="G445" s="25"/>
      <c r="H445" s="535">
        <f>INSUMOS!E13</f>
        <v>7.81</v>
      </c>
      <c r="I445" s="536">
        <f>H445*D445</f>
        <v>1.56</v>
      </c>
    </row>
    <row r="446" spans="2:11" ht="15.95" customHeight="1" x14ac:dyDescent="0.2">
      <c r="B446" s="669" t="s">
        <v>43</v>
      </c>
      <c r="C446" s="669"/>
      <c r="D446" s="669"/>
      <c r="E446" s="669"/>
      <c r="F446" s="669"/>
      <c r="G446" s="669"/>
      <c r="H446" s="669"/>
      <c r="I446" s="537">
        <f>SUM(I444:I445)</f>
        <v>80.92</v>
      </c>
      <c r="K446" s="47"/>
    </row>
    <row r="447" spans="2:11" ht="15.95" customHeight="1" x14ac:dyDescent="0.2">
      <c r="B447" s="346" t="s">
        <v>49</v>
      </c>
      <c r="C447" s="271">
        <v>1</v>
      </c>
      <c r="D447" s="654" t="s">
        <v>50</v>
      </c>
      <c r="E447" s="655"/>
      <c r="F447" s="655"/>
      <c r="G447" s="655"/>
      <c r="H447" s="656"/>
      <c r="I447" s="537">
        <f>I433+I437+I441+I446</f>
        <v>320.06</v>
      </c>
      <c r="K447" s="33"/>
    </row>
    <row r="448" spans="2:11" s="47" customFormat="1" ht="16.5" customHeight="1" x14ac:dyDescent="0.2">
      <c r="B448" s="665"/>
      <c r="C448" s="666"/>
      <c r="D448" s="666"/>
      <c r="E448" s="666"/>
      <c r="F448" s="666"/>
      <c r="G448" s="666"/>
      <c r="H448" s="667"/>
      <c r="I448" s="537">
        <f>I447/C447</f>
        <v>320.06</v>
      </c>
      <c r="K448" s="11"/>
    </row>
    <row r="449" spans="2:11" ht="15.95" customHeight="1" x14ac:dyDescent="0.2">
      <c r="B449" s="342" t="s">
        <v>135</v>
      </c>
      <c r="C449" s="477">
        <f>BDI!C$36</f>
        <v>25</v>
      </c>
      <c r="D449" s="343" t="s">
        <v>103</v>
      </c>
      <c r="E449" s="344"/>
      <c r="F449" s="344"/>
      <c r="G449" s="344"/>
      <c r="H449" s="345"/>
      <c r="I449" s="536">
        <f>C449/100*I448</f>
        <v>80.02</v>
      </c>
    </row>
    <row r="450" spans="2:11" ht="15.95" customHeight="1" thickBot="1" x14ac:dyDescent="0.25">
      <c r="B450" s="657" t="s">
        <v>51</v>
      </c>
      <c r="C450" s="657"/>
      <c r="D450" s="657"/>
      <c r="E450" s="657"/>
      <c r="F450" s="657"/>
      <c r="G450" s="657"/>
      <c r="H450" s="657"/>
      <c r="I450" s="506">
        <f>SUM(I448:I449)</f>
        <v>400.08</v>
      </c>
      <c r="K450" s="47"/>
    </row>
    <row r="451" spans="2:11" ht="15.95" customHeight="1" thickBot="1" x14ac:dyDescent="0.25"/>
    <row r="452" spans="2:11" s="47" customFormat="1" ht="30" customHeight="1" x14ac:dyDescent="0.2">
      <c r="B452" s="530" t="s">
        <v>357</v>
      </c>
      <c r="C452" s="531" t="s">
        <v>151</v>
      </c>
      <c r="D452" s="685" t="s">
        <v>30</v>
      </c>
      <c r="E452" s="685"/>
      <c r="F452" s="685"/>
      <c r="G452" s="685"/>
      <c r="H452" s="685"/>
      <c r="I452" s="685"/>
      <c r="K452" s="11"/>
    </row>
    <row r="453" spans="2:11" ht="15.95" customHeight="1" x14ac:dyDescent="0.2">
      <c r="B453" s="673" t="s">
        <v>134</v>
      </c>
      <c r="C453" s="674"/>
      <c r="D453" s="674"/>
      <c r="E453" s="674"/>
      <c r="F453" s="674"/>
      <c r="G453" s="675"/>
      <c r="H453" s="670" t="s">
        <v>494</v>
      </c>
      <c r="I453" s="671"/>
    </row>
    <row r="454" spans="2:11" ht="30" customHeight="1" x14ac:dyDescent="0.2">
      <c r="B454" s="711" t="s">
        <v>329</v>
      </c>
      <c r="C454" s="712"/>
      <c r="D454" s="712"/>
      <c r="E454" s="712"/>
      <c r="F454" s="712"/>
      <c r="G454" s="713"/>
      <c r="H454" s="12" t="s">
        <v>31</v>
      </c>
      <c r="I454" s="46" t="s">
        <v>142</v>
      </c>
      <c r="K454" s="47"/>
    </row>
    <row r="455" spans="2:11" ht="15.95" customHeight="1" x14ac:dyDescent="0.2">
      <c r="B455" s="668" t="s">
        <v>32</v>
      </c>
      <c r="C455" s="668"/>
      <c r="D455" s="668"/>
      <c r="E455" s="668"/>
      <c r="F455" s="668"/>
      <c r="G455" s="668"/>
      <c r="H455" s="668"/>
      <c r="I455" s="668"/>
    </row>
    <row r="456" spans="2:11" s="47" customFormat="1" ht="30" customHeight="1" x14ac:dyDescent="0.2">
      <c r="B456" s="13" t="s">
        <v>33</v>
      </c>
      <c r="C456" s="62" t="s">
        <v>5</v>
      </c>
      <c r="D456" s="14" t="s">
        <v>6</v>
      </c>
      <c r="E456" s="14" t="s">
        <v>35</v>
      </c>
      <c r="F456" s="14" t="s">
        <v>36</v>
      </c>
      <c r="G456" s="14" t="s">
        <v>37</v>
      </c>
      <c r="H456" s="14" t="s">
        <v>38</v>
      </c>
      <c r="I456" s="15" t="s">
        <v>39</v>
      </c>
      <c r="K456" s="11"/>
    </row>
    <row r="457" spans="2:11" ht="15.95" customHeight="1" x14ac:dyDescent="0.2">
      <c r="B457" s="319" t="s">
        <v>63</v>
      </c>
      <c r="C457" s="28" t="s">
        <v>41</v>
      </c>
      <c r="D457" s="582">
        <v>12</v>
      </c>
      <c r="E457" s="24"/>
      <c r="F457" s="24"/>
      <c r="G457" s="535">
        <f>INSUMOS!E62</f>
        <v>9.44</v>
      </c>
      <c r="H457" s="356"/>
      <c r="I457" s="536">
        <f>G457*D457</f>
        <v>113.28</v>
      </c>
    </row>
    <row r="458" spans="2:11" ht="15.95" customHeight="1" x14ac:dyDescent="0.2">
      <c r="B458" s="669" t="s">
        <v>43</v>
      </c>
      <c r="C458" s="669"/>
      <c r="D458" s="669"/>
      <c r="E458" s="669"/>
      <c r="F458" s="669"/>
      <c r="G458" s="669"/>
      <c r="H458" s="669"/>
      <c r="I458" s="537">
        <f>SUM(I457:I457)</f>
        <v>113.28</v>
      </c>
      <c r="K458" s="47"/>
    </row>
    <row r="459" spans="2:11" ht="15.95" customHeight="1" x14ac:dyDescent="0.2">
      <c r="B459" s="668" t="s">
        <v>44</v>
      </c>
      <c r="C459" s="668"/>
      <c r="D459" s="668"/>
      <c r="E459" s="668"/>
      <c r="F459" s="668"/>
      <c r="G459" s="668"/>
      <c r="H459" s="668"/>
      <c r="I459" s="668"/>
    </row>
    <row r="460" spans="2:11" ht="15.95" customHeight="1" x14ac:dyDescent="0.2">
      <c r="B460" s="353" t="s">
        <v>33</v>
      </c>
      <c r="C460" s="348" t="s">
        <v>5</v>
      </c>
      <c r="D460" s="24" t="s">
        <v>6</v>
      </c>
      <c r="E460" s="25"/>
      <c r="F460" s="25"/>
      <c r="G460" s="25"/>
      <c r="H460" s="24" t="s">
        <v>45</v>
      </c>
      <c r="I460" s="36" t="s">
        <v>39</v>
      </c>
    </row>
    <row r="461" spans="2:11" ht="15.95" customHeight="1" x14ac:dyDescent="0.2">
      <c r="B461" s="319" t="s">
        <v>60</v>
      </c>
      <c r="C461" s="28" t="s">
        <v>56</v>
      </c>
      <c r="D461" s="570">
        <v>12</v>
      </c>
      <c r="E461" s="21"/>
      <c r="F461" s="21"/>
      <c r="G461" s="21"/>
      <c r="H461" s="535">
        <f>INSUMOS!E28</f>
        <v>2.77</v>
      </c>
      <c r="I461" s="536">
        <f>H461*D461</f>
        <v>33.24</v>
      </c>
    </row>
    <row r="462" spans="2:11" ht="15.95" customHeight="1" x14ac:dyDescent="0.2">
      <c r="B462" s="319" t="s">
        <v>67</v>
      </c>
      <c r="C462" s="28" t="s">
        <v>56</v>
      </c>
      <c r="D462" s="570">
        <v>0.3</v>
      </c>
      <c r="E462" s="21"/>
      <c r="F462" s="21"/>
      <c r="G462" s="21"/>
      <c r="H462" s="535">
        <f>INSUMOS!E29</f>
        <v>13</v>
      </c>
      <c r="I462" s="536">
        <f>H462*D462</f>
        <v>3.9</v>
      </c>
    </row>
    <row r="463" spans="2:11" ht="15.95" customHeight="1" x14ac:dyDescent="0.2">
      <c r="B463" s="669" t="s">
        <v>43</v>
      </c>
      <c r="C463" s="669"/>
      <c r="D463" s="669"/>
      <c r="E463" s="669"/>
      <c r="F463" s="669"/>
      <c r="G463" s="669"/>
      <c r="H463" s="669"/>
      <c r="I463" s="536">
        <f>SUM(I461:I462)</f>
        <v>37.14</v>
      </c>
    </row>
    <row r="464" spans="2:11" ht="15.95" customHeight="1" x14ac:dyDescent="0.2">
      <c r="B464" s="668" t="s">
        <v>46</v>
      </c>
      <c r="C464" s="668"/>
      <c r="D464" s="668"/>
      <c r="E464" s="668"/>
      <c r="F464" s="668"/>
      <c r="G464" s="668"/>
      <c r="H464" s="668"/>
      <c r="I464" s="668"/>
    </row>
    <row r="465" spans="1:11" ht="15.95" customHeight="1" x14ac:dyDescent="0.2">
      <c r="B465" s="339" t="s">
        <v>33</v>
      </c>
      <c r="C465" s="347" t="s">
        <v>5</v>
      </c>
      <c r="D465" s="20" t="s">
        <v>6</v>
      </c>
      <c r="E465" s="21"/>
      <c r="F465" s="21"/>
      <c r="G465" s="21"/>
      <c r="H465" s="20" t="s">
        <v>45</v>
      </c>
      <c r="I465" s="36" t="s">
        <v>39</v>
      </c>
    </row>
    <row r="466" spans="1:11" s="47" customFormat="1" ht="30" customHeight="1" x14ac:dyDescent="0.2">
      <c r="B466" s="19"/>
      <c r="C466" s="20"/>
      <c r="D466" s="20"/>
      <c r="E466" s="21"/>
      <c r="F466" s="21"/>
      <c r="G466" s="21"/>
      <c r="H466" s="20"/>
      <c r="I466" s="30"/>
      <c r="K466" s="11"/>
    </row>
    <row r="467" spans="1:11" x14ac:dyDescent="0.2">
      <c r="B467" s="669" t="s">
        <v>43</v>
      </c>
      <c r="C467" s="669"/>
      <c r="D467" s="669"/>
      <c r="E467" s="669"/>
      <c r="F467" s="669"/>
      <c r="G467" s="669"/>
      <c r="H467" s="669"/>
      <c r="I467" s="30"/>
    </row>
    <row r="468" spans="1:11" x14ac:dyDescent="0.2">
      <c r="B468" s="668" t="s">
        <v>47</v>
      </c>
      <c r="C468" s="668"/>
      <c r="D468" s="668"/>
      <c r="E468" s="668"/>
      <c r="F468" s="668"/>
      <c r="G468" s="668"/>
      <c r="H468" s="668"/>
      <c r="I468" s="668"/>
      <c r="K468" s="47"/>
    </row>
    <row r="469" spans="1:11" x14ac:dyDescent="0.2">
      <c r="B469" s="353" t="s">
        <v>33</v>
      </c>
      <c r="C469" s="348" t="s">
        <v>5</v>
      </c>
      <c r="D469" s="354" t="s">
        <v>6</v>
      </c>
      <c r="E469" s="25"/>
      <c r="F469" s="25"/>
      <c r="G469" s="25"/>
      <c r="H469" s="24" t="s">
        <v>45</v>
      </c>
      <c r="I469" s="36" t="s">
        <v>39</v>
      </c>
    </row>
    <row r="470" spans="1:11" x14ac:dyDescent="0.2">
      <c r="B470" s="35" t="s">
        <v>68</v>
      </c>
      <c r="C470" s="27" t="s">
        <v>41</v>
      </c>
      <c r="D470" s="535">
        <v>6</v>
      </c>
      <c r="E470" s="21"/>
      <c r="F470" s="21"/>
      <c r="G470" s="21"/>
      <c r="H470" s="535">
        <f>INSUMOS!E20</f>
        <v>12.29</v>
      </c>
      <c r="I470" s="536">
        <f>H470*D470</f>
        <v>73.739999999999995</v>
      </c>
    </row>
    <row r="471" spans="1:11" x14ac:dyDescent="0.2">
      <c r="B471" s="201" t="s">
        <v>48</v>
      </c>
      <c r="C471" s="27" t="s">
        <v>41</v>
      </c>
      <c r="D471" s="535">
        <v>6</v>
      </c>
      <c r="E471" s="21"/>
      <c r="F471" s="21"/>
      <c r="G471" s="21"/>
      <c r="H471" s="535">
        <f>INSUMOS!E13</f>
        <v>7.81</v>
      </c>
      <c r="I471" s="536">
        <f>H471*D471</f>
        <v>46.86</v>
      </c>
    </row>
    <row r="472" spans="1:11" x14ac:dyDescent="0.2">
      <c r="B472" s="669" t="s">
        <v>43</v>
      </c>
      <c r="C472" s="669"/>
      <c r="D472" s="669"/>
      <c r="E472" s="669"/>
      <c r="F472" s="669"/>
      <c r="G472" s="669"/>
      <c r="H472" s="669"/>
      <c r="I472" s="537">
        <f>SUM(I470:I471)</f>
        <v>120.6</v>
      </c>
    </row>
    <row r="473" spans="1:11" s="47" customFormat="1" ht="17.25" customHeight="1" x14ac:dyDescent="0.2">
      <c r="B473" s="346" t="s">
        <v>49</v>
      </c>
      <c r="C473" s="271">
        <v>1</v>
      </c>
      <c r="D473" s="654" t="s">
        <v>50</v>
      </c>
      <c r="E473" s="655"/>
      <c r="F473" s="655"/>
      <c r="G473" s="655"/>
      <c r="H473" s="656"/>
      <c r="I473" s="537">
        <f>I458+I463+I467+I472</f>
        <v>271.02</v>
      </c>
      <c r="K473" s="11"/>
    </row>
    <row r="474" spans="1:11" s="47" customFormat="1" ht="15.75" customHeight="1" x14ac:dyDescent="0.2">
      <c r="B474" s="665"/>
      <c r="C474" s="666"/>
      <c r="D474" s="666"/>
      <c r="E474" s="666"/>
      <c r="F474" s="666"/>
      <c r="G474" s="666"/>
      <c r="H474" s="667"/>
      <c r="I474" s="537">
        <f>I473/C473</f>
        <v>271.02</v>
      </c>
      <c r="K474" s="11"/>
    </row>
    <row r="475" spans="1:11" s="47" customFormat="1" ht="15.75" customHeight="1" x14ac:dyDescent="0.2">
      <c r="B475" s="342" t="s">
        <v>135</v>
      </c>
      <c r="C475" s="477">
        <f>BDI!C$36</f>
        <v>25</v>
      </c>
      <c r="D475" s="343" t="s">
        <v>103</v>
      </c>
      <c r="E475" s="344"/>
      <c r="F475" s="344"/>
      <c r="G475" s="344"/>
      <c r="H475" s="345"/>
      <c r="I475" s="536">
        <f>C475/100*I474</f>
        <v>67.760000000000005</v>
      </c>
    </row>
    <row r="476" spans="1:11" s="47" customFormat="1" ht="19.5" customHeight="1" thickBot="1" x14ac:dyDescent="0.25">
      <c r="B476" s="657" t="s">
        <v>51</v>
      </c>
      <c r="C476" s="657"/>
      <c r="D476" s="657"/>
      <c r="E476" s="657"/>
      <c r="F476" s="657"/>
      <c r="G476" s="657"/>
      <c r="H476" s="657"/>
      <c r="I476" s="506">
        <f>SUM(I474:I475)</f>
        <v>338.78</v>
      </c>
    </row>
    <row r="477" spans="1:11" x14ac:dyDescent="0.2">
      <c r="A477" s="33"/>
      <c r="B477" s="356"/>
      <c r="C477" s="359"/>
      <c r="D477" s="359"/>
      <c r="E477" s="356"/>
      <c r="F477" s="356"/>
      <c r="G477" s="356"/>
      <c r="H477" s="356"/>
      <c r="I477" s="359"/>
      <c r="K477" s="47"/>
    </row>
    <row r="478" spans="1:11" ht="15.95" customHeight="1" thickBot="1" x14ac:dyDescent="0.25">
      <c r="K478" s="47"/>
    </row>
    <row r="479" spans="1:11" ht="15.95" customHeight="1" x14ac:dyDescent="0.2">
      <c r="B479" s="530" t="s">
        <v>357</v>
      </c>
      <c r="C479" s="531" t="s">
        <v>166</v>
      </c>
      <c r="D479" s="685" t="s">
        <v>30</v>
      </c>
      <c r="E479" s="685"/>
      <c r="F479" s="685"/>
      <c r="G479" s="685"/>
      <c r="H479" s="685"/>
      <c r="I479" s="685"/>
    </row>
    <row r="480" spans="1:11" s="47" customFormat="1" ht="20.25" customHeight="1" x14ac:dyDescent="0.2">
      <c r="B480" s="673" t="s">
        <v>134</v>
      </c>
      <c r="C480" s="674"/>
      <c r="D480" s="674"/>
      <c r="E480" s="674"/>
      <c r="F480" s="674"/>
      <c r="G480" s="675"/>
      <c r="H480" s="670" t="s">
        <v>494</v>
      </c>
      <c r="I480" s="671"/>
      <c r="K480" s="11"/>
    </row>
    <row r="481" spans="2:11" ht="15.95" customHeight="1" x14ac:dyDescent="0.2">
      <c r="B481" s="672" t="s">
        <v>330</v>
      </c>
      <c r="C481" s="672"/>
      <c r="D481" s="672"/>
      <c r="E481" s="672"/>
      <c r="F481" s="672"/>
      <c r="G481" s="672"/>
      <c r="H481" s="12" t="s">
        <v>31</v>
      </c>
      <c r="I481" s="46" t="s">
        <v>142</v>
      </c>
    </row>
    <row r="482" spans="2:11" ht="15.95" customHeight="1" x14ac:dyDescent="0.2">
      <c r="B482" s="668" t="s">
        <v>32</v>
      </c>
      <c r="C482" s="668"/>
      <c r="D482" s="668"/>
      <c r="E482" s="668"/>
      <c r="F482" s="668"/>
      <c r="G482" s="668"/>
      <c r="H482" s="668"/>
      <c r="I482" s="668"/>
      <c r="K482" s="47"/>
    </row>
    <row r="483" spans="2:11" ht="25.5" customHeight="1" x14ac:dyDescent="0.2">
      <c r="B483" s="13" t="s">
        <v>33</v>
      </c>
      <c r="C483" s="62" t="s">
        <v>5</v>
      </c>
      <c r="D483" s="14" t="s">
        <v>6</v>
      </c>
      <c r="E483" s="14" t="s">
        <v>35</v>
      </c>
      <c r="F483" s="14" t="s">
        <v>36</v>
      </c>
      <c r="G483" s="14" t="s">
        <v>37</v>
      </c>
      <c r="H483" s="14" t="s">
        <v>38</v>
      </c>
      <c r="I483" s="15" t="s">
        <v>39</v>
      </c>
    </row>
    <row r="484" spans="2:11" ht="15.95" customHeight="1" x14ac:dyDescent="0.2">
      <c r="B484" s="319"/>
      <c r="C484" s="34"/>
      <c r="D484" s="54"/>
      <c r="E484" s="24"/>
      <c r="F484" s="24"/>
      <c r="G484" s="24"/>
      <c r="H484" s="24"/>
      <c r="I484" s="36"/>
    </row>
    <row r="485" spans="2:11" ht="15.95" customHeight="1" x14ac:dyDescent="0.2">
      <c r="B485" s="669" t="s">
        <v>43</v>
      </c>
      <c r="C485" s="669"/>
      <c r="D485" s="669"/>
      <c r="E485" s="669"/>
      <c r="F485" s="669"/>
      <c r="G485" s="669"/>
      <c r="H485" s="669"/>
      <c r="I485" s="335"/>
    </row>
    <row r="486" spans="2:11" s="47" customFormat="1" ht="30" customHeight="1" x14ac:dyDescent="0.2">
      <c r="B486" s="668" t="s">
        <v>44</v>
      </c>
      <c r="C486" s="668"/>
      <c r="D486" s="668"/>
      <c r="E486" s="668"/>
      <c r="F486" s="668"/>
      <c r="G486" s="668"/>
      <c r="H486" s="668"/>
      <c r="I486" s="668"/>
      <c r="K486" s="11"/>
    </row>
    <row r="487" spans="2:11" ht="15.95" customHeight="1" x14ac:dyDescent="0.2">
      <c r="B487" s="353" t="s">
        <v>33</v>
      </c>
      <c r="C487" s="348" t="s">
        <v>5</v>
      </c>
      <c r="D487" s="20" t="s">
        <v>6</v>
      </c>
      <c r="E487" s="25"/>
      <c r="F487" s="25"/>
      <c r="G487" s="25"/>
      <c r="H487" s="24" t="s">
        <v>45</v>
      </c>
      <c r="I487" s="36" t="s">
        <v>39</v>
      </c>
    </row>
    <row r="488" spans="2:11" ht="15.95" customHeight="1" x14ac:dyDescent="0.2">
      <c r="B488" s="319"/>
      <c r="C488" s="28"/>
      <c r="D488" s="29"/>
      <c r="E488" s="21"/>
      <c r="F488" s="21"/>
      <c r="G488" s="21"/>
      <c r="H488" s="20"/>
      <c r="I488" s="30"/>
      <c r="K488" s="47"/>
    </row>
    <row r="489" spans="2:11" ht="15.95" customHeight="1" x14ac:dyDescent="0.2">
      <c r="B489" s="669" t="s">
        <v>43</v>
      </c>
      <c r="C489" s="669"/>
      <c r="D489" s="669"/>
      <c r="E489" s="669"/>
      <c r="F489" s="669"/>
      <c r="G489" s="669"/>
      <c r="H489" s="669"/>
      <c r="I489" s="30"/>
    </row>
    <row r="490" spans="2:11" s="47" customFormat="1" ht="30" customHeight="1" x14ac:dyDescent="0.2">
      <c r="B490" s="668" t="s">
        <v>46</v>
      </c>
      <c r="C490" s="668"/>
      <c r="D490" s="668"/>
      <c r="E490" s="668"/>
      <c r="F490" s="668"/>
      <c r="G490" s="668"/>
      <c r="H490" s="668"/>
      <c r="I490" s="668"/>
      <c r="K490" s="11"/>
    </row>
    <row r="491" spans="2:11" ht="15.95" customHeight="1" x14ac:dyDescent="0.2">
      <c r="B491" s="339" t="s">
        <v>33</v>
      </c>
      <c r="C491" s="347" t="s">
        <v>5</v>
      </c>
      <c r="D491" s="20" t="s">
        <v>6</v>
      </c>
      <c r="E491" s="21"/>
      <c r="F491" s="21"/>
      <c r="G491" s="21"/>
      <c r="H491" s="20" t="s">
        <v>45</v>
      </c>
      <c r="I491" s="36" t="s">
        <v>39</v>
      </c>
    </row>
    <row r="492" spans="2:11" ht="15.95" customHeight="1" x14ac:dyDescent="0.2">
      <c r="B492" s="319" t="s">
        <v>163</v>
      </c>
      <c r="C492" s="59" t="s">
        <v>142</v>
      </c>
      <c r="D492" s="535">
        <v>1</v>
      </c>
      <c r="E492" s="21"/>
      <c r="F492" s="21"/>
      <c r="G492" s="21"/>
      <c r="H492" s="535">
        <f>INSUMOS!E71</f>
        <v>599.1</v>
      </c>
      <c r="I492" s="536">
        <f>D492*H492</f>
        <v>599.1</v>
      </c>
      <c r="K492" s="47"/>
    </row>
    <row r="493" spans="2:11" ht="15.95" customHeight="1" x14ac:dyDescent="0.2">
      <c r="B493" s="669" t="s">
        <v>43</v>
      </c>
      <c r="C493" s="669"/>
      <c r="D493" s="669"/>
      <c r="E493" s="669"/>
      <c r="F493" s="669"/>
      <c r="G493" s="669"/>
      <c r="H493" s="669"/>
      <c r="I493" s="536">
        <f>SUM(I492:I492)</f>
        <v>599.1</v>
      </c>
    </row>
    <row r="494" spans="2:11" ht="15.95" customHeight="1" x14ac:dyDescent="0.2">
      <c r="B494" s="668" t="s">
        <v>47</v>
      </c>
      <c r="C494" s="668"/>
      <c r="D494" s="668"/>
      <c r="E494" s="668"/>
      <c r="F494" s="668"/>
      <c r="G494" s="668"/>
      <c r="H494" s="668"/>
      <c r="I494" s="668"/>
    </row>
    <row r="495" spans="2:11" ht="15.95" customHeight="1" x14ac:dyDescent="0.2">
      <c r="B495" s="353" t="s">
        <v>33</v>
      </c>
      <c r="C495" s="348" t="s">
        <v>5</v>
      </c>
      <c r="D495" s="354" t="s">
        <v>6</v>
      </c>
      <c r="E495" s="25"/>
      <c r="F495" s="25"/>
      <c r="G495" s="25"/>
      <c r="H495" s="24" t="s">
        <v>45</v>
      </c>
      <c r="I495" s="36" t="s">
        <v>39</v>
      </c>
    </row>
    <row r="496" spans="2:11" ht="15.95" customHeight="1" x14ac:dyDescent="0.2">
      <c r="B496" s="201"/>
      <c r="C496" s="347"/>
      <c r="D496" s="24"/>
      <c r="E496" s="25"/>
      <c r="F496" s="25"/>
      <c r="G496" s="25"/>
      <c r="H496" s="24"/>
      <c r="I496" s="36"/>
    </row>
    <row r="497" spans="1:11" ht="15.95" customHeight="1" x14ac:dyDescent="0.2">
      <c r="B497" s="714"/>
      <c r="C497" s="714"/>
      <c r="D497" s="714"/>
      <c r="E497" s="714"/>
      <c r="F497" s="714"/>
      <c r="G497" s="714"/>
      <c r="H497" s="714"/>
      <c r="I497" s="30"/>
    </row>
    <row r="498" spans="1:11" ht="15.95" customHeight="1" x14ac:dyDescent="0.2">
      <c r="B498" s="669" t="s">
        <v>43</v>
      </c>
      <c r="C498" s="669"/>
      <c r="D498" s="669"/>
      <c r="E498" s="669"/>
      <c r="F498" s="669"/>
      <c r="G498" s="669"/>
      <c r="H498" s="669"/>
      <c r="I498" s="355"/>
    </row>
    <row r="499" spans="1:11" ht="15.95" customHeight="1" x14ac:dyDescent="0.2">
      <c r="B499" s="341" t="s">
        <v>49</v>
      </c>
      <c r="C499" s="20">
        <v>1</v>
      </c>
      <c r="D499" s="682" t="s">
        <v>50</v>
      </c>
      <c r="E499" s="682"/>
      <c r="F499" s="682"/>
      <c r="G499" s="682"/>
      <c r="H499" s="682"/>
      <c r="I499" s="537">
        <f>I498+I493+I489+I485</f>
        <v>599.1</v>
      </c>
    </row>
    <row r="500" spans="1:11" s="47" customFormat="1" ht="19.5" customHeight="1" x14ac:dyDescent="0.2">
      <c r="B500" s="665"/>
      <c r="C500" s="666"/>
      <c r="D500" s="666"/>
      <c r="E500" s="666"/>
      <c r="F500" s="666"/>
      <c r="G500" s="666"/>
      <c r="H500" s="667"/>
      <c r="I500" s="537">
        <f>I499/C499</f>
        <v>599.1</v>
      </c>
      <c r="K500" s="11"/>
    </row>
    <row r="501" spans="1:11" ht="19.5" customHeight="1" x14ac:dyDescent="0.2">
      <c r="B501" s="342" t="s">
        <v>135</v>
      </c>
      <c r="C501" s="477">
        <f>BDI!C$36</f>
        <v>25</v>
      </c>
      <c r="D501" s="343" t="s">
        <v>103</v>
      </c>
      <c r="E501" s="344"/>
      <c r="F501" s="344"/>
      <c r="G501" s="344"/>
      <c r="H501" s="345"/>
      <c r="I501" s="536">
        <f>C501/100*I500</f>
        <v>149.78</v>
      </c>
    </row>
    <row r="502" spans="1:11" ht="13.5" thickBot="1" x14ac:dyDescent="0.25">
      <c r="B502" s="657" t="s">
        <v>51</v>
      </c>
      <c r="C502" s="657"/>
      <c r="D502" s="657"/>
      <c r="E502" s="657"/>
      <c r="F502" s="657"/>
      <c r="G502" s="657"/>
      <c r="H502" s="657"/>
      <c r="I502" s="506">
        <f>SUM(I500:I501)</f>
        <v>748.88</v>
      </c>
      <c r="K502" s="47"/>
    </row>
    <row r="503" spans="1:11" ht="13.5" thickBot="1" x14ac:dyDescent="0.25"/>
    <row r="504" spans="1:11" ht="15.75" x14ac:dyDescent="0.2">
      <c r="B504" s="530" t="s">
        <v>357</v>
      </c>
      <c r="C504" s="531" t="s">
        <v>355</v>
      </c>
      <c r="D504" s="685" t="s">
        <v>30</v>
      </c>
      <c r="E504" s="685"/>
      <c r="F504" s="685"/>
      <c r="G504" s="685"/>
      <c r="H504" s="685"/>
      <c r="I504" s="685"/>
    </row>
    <row r="505" spans="1:11" ht="17.25" customHeight="1" x14ac:dyDescent="0.2">
      <c r="B505" s="673" t="s">
        <v>134</v>
      </c>
      <c r="C505" s="674"/>
      <c r="D505" s="674"/>
      <c r="E505" s="674"/>
      <c r="F505" s="674"/>
      <c r="G505" s="675"/>
      <c r="H505" s="670" t="s">
        <v>494</v>
      </c>
      <c r="I505" s="671"/>
    </row>
    <row r="506" spans="1:11" s="47" customFormat="1" ht="42.75" customHeight="1" x14ac:dyDescent="0.2">
      <c r="B506" s="747" t="s">
        <v>331</v>
      </c>
      <c r="C506" s="748"/>
      <c r="D506" s="748"/>
      <c r="E506" s="748"/>
      <c r="F506" s="748"/>
      <c r="G506" s="749"/>
      <c r="H506" s="12" t="s">
        <v>31</v>
      </c>
      <c r="I506" s="46" t="s">
        <v>23</v>
      </c>
      <c r="K506" s="11"/>
    </row>
    <row r="507" spans="1:11" s="47" customFormat="1" ht="30" customHeight="1" x14ac:dyDescent="0.2">
      <c r="B507" s="658" t="s">
        <v>32</v>
      </c>
      <c r="C507" s="658"/>
      <c r="D507" s="658"/>
      <c r="E507" s="658"/>
      <c r="F507" s="658"/>
      <c r="G507" s="658"/>
      <c r="H507" s="658"/>
      <c r="I507" s="658"/>
      <c r="K507" s="11"/>
    </row>
    <row r="508" spans="1:11" s="47" customFormat="1" ht="30" customHeight="1" x14ac:dyDescent="0.2">
      <c r="B508" s="13" t="s">
        <v>33</v>
      </c>
      <c r="C508" s="14" t="s">
        <v>34</v>
      </c>
      <c r="D508" s="14" t="s">
        <v>6</v>
      </c>
      <c r="E508" s="14" t="s">
        <v>35</v>
      </c>
      <c r="F508" s="14" t="s">
        <v>36</v>
      </c>
      <c r="G508" s="14" t="s">
        <v>37</v>
      </c>
      <c r="H508" s="14" t="s">
        <v>38</v>
      </c>
      <c r="I508" s="15" t="s">
        <v>39</v>
      </c>
    </row>
    <row r="509" spans="1:11" s="47" customFormat="1" ht="24" customHeight="1" x14ac:dyDescent="0.2">
      <c r="B509" s="319" t="s">
        <v>71</v>
      </c>
      <c r="C509" s="28" t="s">
        <v>41</v>
      </c>
      <c r="D509" s="570">
        <v>0.6</v>
      </c>
      <c r="E509" s="20"/>
      <c r="F509" s="20"/>
      <c r="G509" s="535">
        <f>INSUMOS!E44</f>
        <v>1.98</v>
      </c>
      <c r="H509" s="356"/>
      <c r="I509" s="536">
        <f>G509*D509</f>
        <v>1.19</v>
      </c>
    </row>
    <row r="510" spans="1:11" x14ac:dyDescent="0.2">
      <c r="A510" s="33"/>
      <c r="B510" s="669" t="s">
        <v>43</v>
      </c>
      <c r="C510" s="669"/>
      <c r="D510" s="669"/>
      <c r="E510" s="669"/>
      <c r="F510" s="669"/>
      <c r="G510" s="669"/>
      <c r="H510" s="669"/>
      <c r="I510" s="552">
        <f>SUM(I509:I509)</f>
        <v>1.19</v>
      </c>
      <c r="K510" s="47"/>
    </row>
    <row r="511" spans="1:11" ht="15.95" customHeight="1" x14ac:dyDescent="0.2">
      <c r="A511" s="33"/>
      <c r="B511" s="658" t="s">
        <v>44</v>
      </c>
      <c r="C511" s="658"/>
      <c r="D511" s="658"/>
      <c r="E511" s="658"/>
      <c r="F511" s="658"/>
      <c r="G511" s="658"/>
      <c r="H511" s="658"/>
      <c r="I511" s="658"/>
      <c r="K511" s="47"/>
    </row>
    <row r="512" spans="1:11" ht="15.95" customHeight="1" x14ac:dyDescent="0.2">
      <c r="B512" s="336" t="s">
        <v>33</v>
      </c>
      <c r="C512" s="24" t="s">
        <v>34</v>
      </c>
      <c r="D512" s="24" t="s">
        <v>6</v>
      </c>
      <c r="E512" s="337"/>
      <c r="F512" s="337"/>
      <c r="G512" s="337"/>
      <c r="H512" s="24" t="s">
        <v>45</v>
      </c>
      <c r="I512" s="36" t="s">
        <v>39</v>
      </c>
    </row>
    <row r="513" spans="2:11" ht="15.95" customHeight="1" x14ac:dyDescent="0.2">
      <c r="B513" s="201" t="s">
        <v>516</v>
      </c>
      <c r="C513" s="20" t="s">
        <v>53</v>
      </c>
      <c r="D513" s="535">
        <v>340</v>
      </c>
      <c r="E513" s="25"/>
      <c r="F513" s="25"/>
      <c r="G513" s="337"/>
      <c r="H513" s="535">
        <f>INSUMOS!E34</f>
        <v>0.5</v>
      </c>
      <c r="I513" s="555">
        <f>D513*H513</f>
        <v>170</v>
      </c>
    </row>
    <row r="514" spans="2:11" s="47" customFormat="1" ht="30" customHeight="1" x14ac:dyDescent="0.2">
      <c r="B514" s="201" t="s">
        <v>88</v>
      </c>
      <c r="C514" s="20" t="s">
        <v>23</v>
      </c>
      <c r="D514" s="585">
        <v>0.63200000000000001</v>
      </c>
      <c r="E514" s="25"/>
      <c r="F514" s="25"/>
      <c r="G514" s="337"/>
      <c r="H514" s="535">
        <f>INSUMOS!E37</f>
        <v>59</v>
      </c>
      <c r="I514" s="555">
        <f>D514*H514</f>
        <v>37.29</v>
      </c>
      <c r="K514" s="11"/>
    </row>
    <row r="515" spans="2:11" ht="15.95" customHeight="1" x14ac:dyDescent="0.2">
      <c r="B515" s="201" t="s">
        <v>89</v>
      </c>
      <c r="C515" s="20" t="s">
        <v>23</v>
      </c>
      <c r="D515" s="535">
        <v>0.37</v>
      </c>
      <c r="E515" s="25"/>
      <c r="F515" s="25"/>
      <c r="G515" s="25"/>
      <c r="H515" s="535">
        <f>INSUMOS!E35</f>
        <v>62</v>
      </c>
      <c r="I515" s="555">
        <f>H515*D515</f>
        <v>22.94</v>
      </c>
    </row>
    <row r="516" spans="2:11" ht="15.95" customHeight="1" x14ac:dyDescent="0.2">
      <c r="B516" s="201" t="s">
        <v>90</v>
      </c>
      <c r="C516" s="20" t="s">
        <v>23</v>
      </c>
      <c r="D516" s="535">
        <v>0.37</v>
      </c>
      <c r="E516" s="25"/>
      <c r="F516" s="25"/>
      <c r="G516" s="25"/>
      <c r="H516" s="535">
        <f>INSUMOS!E36</f>
        <v>62</v>
      </c>
      <c r="I516" s="555">
        <f>H516*D516</f>
        <v>22.94</v>
      </c>
      <c r="J516" s="22"/>
      <c r="K516" s="47"/>
    </row>
    <row r="517" spans="2:11" ht="15.95" customHeight="1" x14ac:dyDescent="0.2">
      <c r="B517" s="358" t="s">
        <v>517</v>
      </c>
      <c r="C517" s="20" t="s">
        <v>53</v>
      </c>
      <c r="D517" s="535">
        <v>20</v>
      </c>
      <c r="E517" s="21"/>
      <c r="F517" s="21"/>
      <c r="G517" s="21"/>
      <c r="H517" s="535">
        <f>INSUMOS!E48</f>
        <v>4.1500000000000004</v>
      </c>
      <c r="I517" s="536">
        <f>D517*H517</f>
        <v>83</v>
      </c>
      <c r="J517" s="22"/>
    </row>
    <row r="518" spans="2:11" ht="15.95" customHeight="1" x14ac:dyDescent="0.2">
      <c r="B518" s="318" t="s">
        <v>91</v>
      </c>
      <c r="C518" s="321" t="s">
        <v>52</v>
      </c>
      <c r="D518" s="535">
        <v>0.64</v>
      </c>
      <c r="E518" s="25"/>
      <c r="F518" s="25"/>
      <c r="G518" s="25"/>
      <c r="H518" s="535">
        <f>INSUMOS!E55</f>
        <v>18.09</v>
      </c>
      <c r="I518" s="555">
        <f>D518*H518</f>
        <v>11.58</v>
      </c>
    </row>
    <row r="519" spans="2:11" ht="15.95" customHeight="1" x14ac:dyDescent="0.2">
      <c r="B519" s="318" t="s">
        <v>136</v>
      </c>
      <c r="C519" s="360" t="s">
        <v>53</v>
      </c>
      <c r="D519" s="586">
        <v>0.7</v>
      </c>
      <c r="E519" s="361"/>
      <c r="F519" s="362"/>
      <c r="G519" s="362"/>
      <c r="H519" s="560">
        <f>INSUMOS!E30</f>
        <v>7.44</v>
      </c>
      <c r="I519" s="555">
        <f>D519*H519</f>
        <v>5.21</v>
      </c>
    </row>
    <row r="520" spans="2:11" s="47" customFormat="1" ht="17.25" customHeight="1" x14ac:dyDescent="0.2">
      <c r="B520" s="363" t="s">
        <v>137</v>
      </c>
      <c r="C520" s="59" t="s">
        <v>56</v>
      </c>
      <c r="D520" s="477">
        <v>0.34</v>
      </c>
      <c r="E520" s="364"/>
      <c r="F520" s="365"/>
      <c r="G520" s="365"/>
      <c r="H520" s="561">
        <f>INSUMOS!E52</f>
        <v>5.1100000000000003</v>
      </c>
      <c r="I520" s="536">
        <f>D520*H520</f>
        <v>1.74</v>
      </c>
      <c r="K520" s="11"/>
    </row>
    <row r="521" spans="2:11" ht="15.95" customHeight="1" x14ac:dyDescent="0.2">
      <c r="B521" s="708" t="s">
        <v>43</v>
      </c>
      <c r="C521" s="708"/>
      <c r="D521" s="708"/>
      <c r="E521" s="708"/>
      <c r="F521" s="708"/>
      <c r="G521" s="708"/>
      <c r="H521" s="708"/>
      <c r="I521" s="552">
        <f>SUM(I513:I520)</f>
        <v>354.7</v>
      </c>
    </row>
    <row r="522" spans="2:11" ht="15.95" customHeight="1" x14ac:dyDescent="0.2">
      <c r="B522" s="658" t="s">
        <v>46</v>
      </c>
      <c r="C522" s="658"/>
      <c r="D522" s="658"/>
      <c r="E522" s="658"/>
      <c r="F522" s="658"/>
      <c r="G522" s="658"/>
      <c r="H522" s="658"/>
      <c r="I522" s="658"/>
      <c r="K522" s="47"/>
    </row>
    <row r="523" spans="2:11" ht="15.95" customHeight="1" x14ac:dyDescent="0.2">
      <c r="B523" s="339" t="s">
        <v>33</v>
      </c>
      <c r="C523" s="20" t="s">
        <v>34</v>
      </c>
      <c r="D523" s="20" t="s">
        <v>6</v>
      </c>
      <c r="E523" s="21"/>
      <c r="F523" s="21"/>
      <c r="G523" s="21"/>
      <c r="H523" s="20" t="s">
        <v>45</v>
      </c>
      <c r="I523" s="36" t="s">
        <v>39</v>
      </c>
    </row>
    <row r="524" spans="2:11" s="47" customFormat="1" ht="13.5" customHeight="1" x14ac:dyDescent="0.2">
      <c r="B524" s="19"/>
      <c r="C524" s="20"/>
      <c r="D524" s="20"/>
      <c r="E524" s="21"/>
      <c r="F524" s="21"/>
      <c r="G524" s="21"/>
      <c r="H524" s="20"/>
      <c r="I524" s="30"/>
      <c r="K524" s="11"/>
    </row>
    <row r="525" spans="2:11" ht="15.95" customHeight="1" x14ac:dyDescent="0.2">
      <c r="B525" s="669" t="s">
        <v>43</v>
      </c>
      <c r="C525" s="669"/>
      <c r="D525" s="669"/>
      <c r="E525" s="669"/>
      <c r="F525" s="669"/>
      <c r="G525" s="669"/>
      <c r="H525" s="669"/>
      <c r="I525" s="36"/>
    </row>
    <row r="526" spans="2:11" ht="15.95" customHeight="1" x14ac:dyDescent="0.2">
      <c r="B526" s="658" t="s">
        <v>47</v>
      </c>
      <c r="C526" s="658"/>
      <c r="D526" s="658"/>
      <c r="E526" s="658"/>
      <c r="F526" s="658"/>
      <c r="G526" s="658"/>
      <c r="H526" s="658"/>
      <c r="I526" s="658"/>
      <c r="K526" s="47"/>
    </row>
    <row r="527" spans="2:11" ht="15.95" customHeight="1" x14ac:dyDescent="0.2">
      <c r="B527" s="340" t="s">
        <v>33</v>
      </c>
      <c r="C527" s="20" t="s">
        <v>34</v>
      </c>
      <c r="D527" s="20" t="s">
        <v>6</v>
      </c>
      <c r="E527" s="21"/>
      <c r="F527" s="21"/>
      <c r="G527" s="21"/>
      <c r="H527" s="20" t="s">
        <v>45</v>
      </c>
      <c r="I527" s="30" t="s">
        <v>39</v>
      </c>
    </row>
    <row r="528" spans="2:11" ht="15.95" customHeight="1" x14ac:dyDescent="0.2">
      <c r="B528" s="201" t="s">
        <v>83</v>
      </c>
      <c r="C528" s="24" t="s">
        <v>41</v>
      </c>
      <c r="D528" s="535">
        <v>3</v>
      </c>
      <c r="E528" s="21"/>
      <c r="F528" s="21"/>
      <c r="G528" s="21"/>
      <c r="H528" s="535">
        <f>INSUMOS!E17</f>
        <v>10.37</v>
      </c>
      <c r="I528" s="536">
        <f>D528*H528</f>
        <v>31.11</v>
      </c>
    </row>
    <row r="529" spans="2:11" ht="15.95" customHeight="1" x14ac:dyDescent="0.2">
      <c r="B529" s="201" t="s">
        <v>48</v>
      </c>
      <c r="C529" s="20" t="s">
        <v>41</v>
      </c>
      <c r="D529" s="535">
        <v>13</v>
      </c>
      <c r="E529" s="21"/>
      <c r="F529" s="21"/>
      <c r="G529" s="21"/>
      <c r="H529" s="535">
        <f>INSUMOS!E13</f>
        <v>7.81</v>
      </c>
      <c r="I529" s="536">
        <f>D529*H529</f>
        <v>101.53</v>
      </c>
    </row>
    <row r="530" spans="2:11" ht="15.95" customHeight="1" x14ac:dyDescent="0.2">
      <c r="B530" s="669" t="s">
        <v>43</v>
      </c>
      <c r="C530" s="669"/>
      <c r="D530" s="669"/>
      <c r="E530" s="669"/>
      <c r="F530" s="669"/>
      <c r="G530" s="669"/>
      <c r="H530" s="669"/>
      <c r="I530" s="552">
        <f>SUM(I528:I529)</f>
        <v>132.63999999999999</v>
      </c>
    </row>
    <row r="531" spans="2:11" ht="15.95" customHeight="1" x14ac:dyDescent="0.2">
      <c r="B531" s="341" t="s">
        <v>49</v>
      </c>
      <c r="C531" s="20">
        <v>1</v>
      </c>
      <c r="D531" s="682" t="s">
        <v>50</v>
      </c>
      <c r="E531" s="682"/>
      <c r="F531" s="682"/>
      <c r="G531" s="682"/>
      <c r="H531" s="682"/>
      <c r="I531" s="552">
        <f>I510+I521+I525+I530</f>
        <v>488.53</v>
      </c>
    </row>
    <row r="532" spans="2:11" ht="15.95" customHeight="1" x14ac:dyDescent="0.2">
      <c r="B532" s="665"/>
      <c r="C532" s="666"/>
      <c r="D532" s="666"/>
      <c r="E532" s="666"/>
      <c r="F532" s="666"/>
      <c r="G532" s="666"/>
      <c r="H532" s="667"/>
      <c r="I532" s="552">
        <f>I531/C531</f>
        <v>488.53</v>
      </c>
    </row>
    <row r="533" spans="2:11" s="47" customFormat="1" ht="16.5" customHeight="1" x14ac:dyDescent="0.2">
      <c r="B533" s="342" t="s">
        <v>135</v>
      </c>
      <c r="C533" s="477">
        <f>BDI!C$36</f>
        <v>25</v>
      </c>
      <c r="D533" s="343" t="s">
        <v>103</v>
      </c>
      <c r="E533" s="344"/>
      <c r="F533" s="344"/>
      <c r="G533" s="344"/>
      <c r="H533" s="345"/>
      <c r="I533" s="536">
        <f>C533/100*I532</f>
        <v>122.13</v>
      </c>
      <c r="K533" s="11"/>
    </row>
    <row r="534" spans="2:11" ht="13.5" thickBot="1" x14ac:dyDescent="0.25">
      <c r="B534" s="657" t="s">
        <v>51</v>
      </c>
      <c r="C534" s="657"/>
      <c r="D534" s="657"/>
      <c r="E534" s="657"/>
      <c r="F534" s="657"/>
      <c r="G534" s="657"/>
      <c r="H534" s="657"/>
      <c r="I534" s="506">
        <f>SUM(I532:I533)</f>
        <v>610.66</v>
      </c>
    </row>
    <row r="535" spans="2:11" ht="16.5" thickBot="1" x14ac:dyDescent="0.25">
      <c r="B535" s="23"/>
      <c r="C535" s="23"/>
      <c r="D535" s="23"/>
      <c r="E535" s="23"/>
      <c r="F535" s="23"/>
      <c r="G535" s="23"/>
      <c r="H535" s="23"/>
      <c r="I535" s="459"/>
    </row>
    <row r="536" spans="2:11" ht="15.75" x14ac:dyDescent="0.2">
      <c r="B536" s="530" t="s">
        <v>357</v>
      </c>
      <c r="C536" s="531" t="s">
        <v>536</v>
      </c>
      <c r="D536" s="685" t="s">
        <v>30</v>
      </c>
      <c r="E536" s="685"/>
      <c r="F536" s="685"/>
      <c r="G536" s="685"/>
      <c r="H536" s="685"/>
      <c r="I536" s="685"/>
    </row>
    <row r="537" spans="2:11" x14ac:dyDescent="0.2">
      <c r="B537" s="673" t="s">
        <v>134</v>
      </c>
      <c r="C537" s="674"/>
      <c r="D537" s="674"/>
      <c r="E537" s="674"/>
      <c r="F537" s="674"/>
      <c r="G537" s="675"/>
      <c r="H537" s="670" t="s">
        <v>494</v>
      </c>
      <c r="I537" s="671"/>
    </row>
    <row r="538" spans="2:11" ht="34.5" customHeight="1" x14ac:dyDescent="0.2">
      <c r="B538" s="672" t="s">
        <v>445</v>
      </c>
      <c r="C538" s="672"/>
      <c r="D538" s="672"/>
      <c r="E538" s="672"/>
      <c r="F538" s="672"/>
      <c r="G538" s="672"/>
      <c r="H538" s="12" t="s">
        <v>31</v>
      </c>
      <c r="I538" s="46" t="s">
        <v>19</v>
      </c>
    </row>
    <row r="539" spans="2:11" x14ac:dyDescent="0.2">
      <c r="B539" s="668" t="s">
        <v>32</v>
      </c>
      <c r="C539" s="668"/>
      <c r="D539" s="668"/>
      <c r="E539" s="668"/>
      <c r="F539" s="668"/>
      <c r="G539" s="668"/>
      <c r="H539" s="668"/>
      <c r="I539" s="668"/>
    </row>
    <row r="540" spans="2:11" ht="25.5" x14ac:dyDescent="0.2">
      <c r="B540" s="209" t="s">
        <v>33</v>
      </c>
      <c r="C540" s="210" t="s">
        <v>5</v>
      </c>
      <c r="D540" s="212" t="s">
        <v>6</v>
      </c>
      <c r="E540" s="212" t="s">
        <v>35</v>
      </c>
      <c r="F540" s="212" t="s">
        <v>36</v>
      </c>
      <c r="G540" s="212" t="s">
        <v>37</v>
      </c>
      <c r="H540" s="212" t="s">
        <v>38</v>
      </c>
      <c r="I540" s="213" t="s">
        <v>39</v>
      </c>
    </row>
    <row r="541" spans="2:11" x14ac:dyDescent="0.2">
      <c r="B541" s="319"/>
      <c r="C541" s="34"/>
      <c r="D541" s="384"/>
      <c r="E541" s="24"/>
      <c r="F541" s="24"/>
      <c r="G541" s="24"/>
      <c r="H541" s="24"/>
      <c r="I541" s="36"/>
    </row>
    <row r="542" spans="2:11" x14ac:dyDescent="0.2">
      <c r="B542" s="669" t="s">
        <v>43</v>
      </c>
      <c r="C542" s="669"/>
      <c r="D542" s="669"/>
      <c r="E542" s="669"/>
      <c r="F542" s="669"/>
      <c r="G542" s="669"/>
      <c r="H542" s="669"/>
      <c r="I542" s="335"/>
    </row>
    <row r="543" spans="2:11" x14ac:dyDescent="0.2">
      <c r="B543" s="668" t="s">
        <v>44</v>
      </c>
      <c r="C543" s="668"/>
      <c r="D543" s="668"/>
      <c r="E543" s="668"/>
      <c r="F543" s="668"/>
      <c r="G543" s="668"/>
      <c r="H543" s="668"/>
      <c r="I543" s="668"/>
    </row>
    <row r="544" spans="2:11" x14ac:dyDescent="0.2">
      <c r="B544" s="353" t="s">
        <v>33</v>
      </c>
      <c r="C544" s="348" t="s">
        <v>5</v>
      </c>
      <c r="D544" s="25" t="s">
        <v>6</v>
      </c>
      <c r="E544" s="25"/>
      <c r="F544" s="25"/>
      <c r="G544" s="25"/>
      <c r="H544" s="24" t="s">
        <v>45</v>
      </c>
      <c r="I544" s="36" t="s">
        <v>39</v>
      </c>
    </row>
    <row r="545" spans="2:9" x14ac:dyDescent="0.2">
      <c r="B545" s="319" t="s">
        <v>235</v>
      </c>
      <c r="C545" s="28" t="s">
        <v>53</v>
      </c>
      <c r="D545" s="570">
        <v>0.05</v>
      </c>
      <c r="E545" s="21"/>
      <c r="F545" s="21"/>
      <c r="G545" s="21"/>
      <c r="H545" s="535">
        <f>INSUMOS!E53</f>
        <v>17.2</v>
      </c>
      <c r="I545" s="536">
        <f>H545*D545</f>
        <v>0.86</v>
      </c>
    </row>
    <row r="546" spans="2:9" x14ac:dyDescent="0.2">
      <c r="B546" s="319" t="s">
        <v>236</v>
      </c>
      <c r="C546" s="28" t="s">
        <v>19</v>
      </c>
      <c r="D546" s="570">
        <v>1</v>
      </c>
      <c r="E546" s="21"/>
      <c r="F546" s="21"/>
      <c r="G546" s="21"/>
      <c r="H546" s="535">
        <f>INSUMOS!E43</f>
        <v>16.66</v>
      </c>
      <c r="I546" s="536">
        <f>H546*D546</f>
        <v>16.66</v>
      </c>
    </row>
    <row r="547" spans="2:9" x14ac:dyDescent="0.2">
      <c r="B547" s="669" t="s">
        <v>43</v>
      </c>
      <c r="C547" s="669"/>
      <c r="D547" s="669"/>
      <c r="E547" s="669"/>
      <c r="F547" s="669"/>
      <c r="G547" s="669"/>
      <c r="H547" s="669"/>
      <c r="I547" s="536">
        <f>SUM(I545:I546)</f>
        <v>17.52</v>
      </c>
    </row>
    <row r="548" spans="2:9" x14ac:dyDescent="0.2">
      <c r="B548" s="668" t="s">
        <v>46</v>
      </c>
      <c r="C548" s="668"/>
      <c r="D548" s="668"/>
      <c r="E548" s="668"/>
      <c r="F548" s="668"/>
      <c r="G548" s="668"/>
      <c r="H548" s="668"/>
      <c r="I548" s="668"/>
    </row>
    <row r="549" spans="2:9" x14ac:dyDescent="0.2">
      <c r="B549" s="339" t="s">
        <v>33</v>
      </c>
      <c r="C549" s="347" t="s">
        <v>5</v>
      </c>
      <c r="D549" s="21" t="s">
        <v>6</v>
      </c>
      <c r="E549" s="21"/>
      <c r="F549" s="21"/>
      <c r="G549" s="21"/>
      <c r="H549" s="20" t="s">
        <v>45</v>
      </c>
      <c r="I549" s="36" t="s">
        <v>39</v>
      </c>
    </row>
    <row r="550" spans="2:9" x14ac:dyDescent="0.2">
      <c r="B550" s="35" t="s">
        <v>237</v>
      </c>
      <c r="C550" s="20" t="s">
        <v>19</v>
      </c>
      <c r="D550" s="535">
        <v>1</v>
      </c>
      <c r="E550" s="21"/>
      <c r="F550" s="21"/>
      <c r="G550" s="21"/>
      <c r="H550" s="535">
        <f>I1026</f>
        <v>0.1</v>
      </c>
      <c r="I550" s="536">
        <f>D550*H550</f>
        <v>0.1</v>
      </c>
    </row>
    <row r="551" spans="2:9" x14ac:dyDescent="0.2">
      <c r="B551" s="669" t="s">
        <v>43</v>
      </c>
      <c r="C551" s="669"/>
      <c r="D551" s="669"/>
      <c r="E551" s="669"/>
      <c r="F551" s="669"/>
      <c r="G551" s="669"/>
      <c r="H551" s="669"/>
      <c r="I551" s="536">
        <f>SUM(I550:I550)</f>
        <v>0.1</v>
      </c>
    </row>
    <row r="552" spans="2:9" x14ac:dyDescent="0.2">
      <c r="B552" s="668" t="s">
        <v>47</v>
      </c>
      <c r="C552" s="668"/>
      <c r="D552" s="668"/>
      <c r="E552" s="668"/>
      <c r="F552" s="668"/>
      <c r="G552" s="668"/>
      <c r="H552" s="668"/>
      <c r="I552" s="668"/>
    </row>
    <row r="553" spans="2:9" x14ac:dyDescent="0.2">
      <c r="B553" s="353" t="s">
        <v>33</v>
      </c>
      <c r="C553" s="348" t="s">
        <v>5</v>
      </c>
      <c r="D553" s="385" t="s">
        <v>6</v>
      </c>
      <c r="E553" s="25"/>
      <c r="F553" s="25"/>
      <c r="G553" s="25"/>
      <c r="H553" s="24" t="s">
        <v>45</v>
      </c>
      <c r="I553" s="36" t="s">
        <v>39</v>
      </c>
    </row>
    <row r="554" spans="2:9" x14ac:dyDescent="0.2">
      <c r="B554" s="35" t="s">
        <v>48</v>
      </c>
      <c r="C554" s="347" t="s">
        <v>41</v>
      </c>
      <c r="D554" s="556">
        <v>0.06</v>
      </c>
      <c r="E554" s="25"/>
      <c r="F554" s="25"/>
      <c r="G554" s="25"/>
      <c r="H554" s="535">
        <f>INSUMOS!E13</f>
        <v>7.81</v>
      </c>
      <c r="I554" s="555">
        <f>H554*D554</f>
        <v>0.47</v>
      </c>
    </row>
    <row r="555" spans="2:9" x14ac:dyDescent="0.2">
      <c r="B555" s="201" t="s">
        <v>70</v>
      </c>
      <c r="C555" s="347" t="s">
        <v>41</v>
      </c>
      <c r="D555" s="556">
        <v>0.03</v>
      </c>
      <c r="E555" s="25"/>
      <c r="F555" s="25"/>
      <c r="G555" s="25"/>
      <c r="H555" s="535">
        <f>INSUMOS!E21</f>
        <v>10.37</v>
      </c>
      <c r="I555" s="555">
        <f>H555*D555</f>
        <v>0.31</v>
      </c>
    </row>
    <row r="556" spans="2:9" x14ac:dyDescent="0.2">
      <c r="B556" s="669" t="s">
        <v>43</v>
      </c>
      <c r="C556" s="669"/>
      <c r="D556" s="669"/>
      <c r="E556" s="669"/>
      <c r="F556" s="669"/>
      <c r="G556" s="669"/>
      <c r="H556" s="669"/>
      <c r="I556" s="552">
        <f>SUM(I554:I555)</f>
        <v>0.78</v>
      </c>
    </row>
    <row r="557" spans="2:9" x14ac:dyDescent="0.2">
      <c r="B557" s="341" t="s">
        <v>49</v>
      </c>
      <c r="C557" s="20">
        <v>1</v>
      </c>
      <c r="D557" s="682" t="s">
        <v>50</v>
      </c>
      <c r="E557" s="682"/>
      <c r="F557" s="682"/>
      <c r="G557" s="682"/>
      <c r="H557" s="682"/>
      <c r="I557" s="537">
        <f>I556+I551+I547+I542</f>
        <v>18.399999999999999</v>
      </c>
    </row>
    <row r="558" spans="2:9" x14ac:dyDescent="0.2">
      <c r="B558" s="342"/>
      <c r="C558" s="386"/>
      <c r="D558" s="387"/>
      <c r="E558" s="387"/>
      <c r="F558" s="387"/>
      <c r="G558" s="387"/>
      <c r="H558" s="190"/>
      <c r="I558" s="552">
        <f>I557/C557</f>
        <v>18.399999999999999</v>
      </c>
    </row>
    <row r="559" spans="2:9" x14ac:dyDescent="0.2">
      <c r="B559" s="342" t="s">
        <v>238</v>
      </c>
      <c r="C559" s="477">
        <f>BDI!C$36</f>
        <v>25</v>
      </c>
      <c r="D559" s="344" t="s">
        <v>103</v>
      </c>
      <c r="E559" s="344"/>
      <c r="F559" s="344"/>
      <c r="G559" s="344"/>
      <c r="H559" s="345"/>
      <c r="I559" s="536">
        <f>C559/100*I558</f>
        <v>4.5999999999999996</v>
      </c>
    </row>
    <row r="560" spans="2:9" ht="13.5" thickBot="1" x14ac:dyDescent="0.25">
      <c r="B560" s="657" t="s">
        <v>51</v>
      </c>
      <c r="C560" s="703"/>
      <c r="D560" s="657"/>
      <c r="E560" s="657"/>
      <c r="F560" s="657"/>
      <c r="G560" s="657"/>
      <c r="H560" s="657"/>
      <c r="I560" s="506">
        <f>SUM(I558:I559)</f>
        <v>23</v>
      </c>
    </row>
    <row r="561" spans="1:11" ht="13.5" thickBot="1" x14ac:dyDescent="0.25">
      <c r="C561" s="11"/>
      <c r="D561" s="11"/>
      <c r="I561" s="11"/>
    </row>
    <row r="562" spans="1:11" ht="15.75" x14ac:dyDescent="0.2">
      <c r="B562" s="530" t="s">
        <v>357</v>
      </c>
      <c r="C562" s="531" t="s">
        <v>26</v>
      </c>
      <c r="D562" s="745" t="s">
        <v>30</v>
      </c>
      <c r="E562" s="745"/>
      <c r="F562" s="745"/>
      <c r="G562" s="745"/>
      <c r="H562" s="745"/>
      <c r="I562" s="746"/>
    </row>
    <row r="563" spans="1:11" x14ac:dyDescent="0.2">
      <c r="B563" s="673" t="s">
        <v>134</v>
      </c>
      <c r="C563" s="674"/>
      <c r="D563" s="674"/>
      <c r="E563" s="674"/>
      <c r="F563" s="674"/>
      <c r="G563" s="675"/>
      <c r="H563" s="670" t="s">
        <v>494</v>
      </c>
      <c r="I563" s="671"/>
    </row>
    <row r="564" spans="1:11" ht="45.75" customHeight="1" x14ac:dyDescent="0.2">
      <c r="B564" s="736" t="s">
        <v>447</v>
      </c>
      <c r="C564" s="680"/>
      <c r="D564" s="680"/>
      <c r="E564" s="680"/>
      <c r="F564" s="680"/>
      <c r="G564" s="681"/>
      <c r="H564" s="12" t="s">
        <v>31</v>
      </c>
      <c r="I564" s="46" t="s">
        <v>142</v>
      </c>
    </row>
    <row r="565" spans="1:11" x14ac:dyDescent="0.2">
      <c r="B565" s="705" t="s">
        <v>32</v>
      </c>
      <c r="C565" s="668"/>
      <c r="D565" s="668"/>
      <c r="E565" s="668"/>
      <c r="F565" s="668"/>
      <c r="G565" s="668"/>
      <c r="H565" s="668"/>
      <c r="I565" s="706"/>
    </row>
    <row r="566" spans="1:11" ht="25.5" x14ac:dyDescent="0.2">
      <c r="B566" s="73" t="s">
        <v>33</v>
      </c>
      <c r="C566" s="62" t="s">
        <v>5</v>
      </c>
      <c r="D566" s="14" t="s">
        <v>6</v>
      </c>
      <c r="E566" s="14" t="s">
        <v>35</v>
      </c>
      <c r="F566" s="14" t="s">
        <v>36</v>
      </c>
      <c r="G566" s="14" t="s">
        <v>37</v>
      </c>
      <c r="H566" s="14" t="s">
        <v>38</v>
      </c>
      <c r="I566" s="74" t="s">
        <v>39</v>
      </c>
    </row>
    <row r="567" spans="1:11" x14ac:dyDescent="0.2">
      <c r="B567" s="366"/>
      <c r="C567" s="34"/>
      <c r="D567" s="54"/>
      <c r="E567" s="24"/>
      <c r="F567" s="24"/>
      <c r="G567" s="24"/>
      <c r="H567" s="24"/>
      <c r="I567" s="195"/>
    </row>
    <row r="568" spans="1:11" s="47" customFormat="1" ht="18" customHeight="1" x14ac:dyDescent="0.2">
      <c r="B568" s="737" t="s">
        <v>43</v>
      </c>
      <c r="C568" s="738"/>
      <c r="D568" s="738"/>
      <c r="E568" s="738"/>
      <c r="F568" s="738"/>
      <c r="G568" s="738"/>
      <c r="H568" s="738"/>
      <c r="I568" s="367"/>
      <c r="K568" s="11"/>
    </row>
    <row r="569" spans="1:11" s="47" customFormat="1" ht="12.75" customHeight="1" x14ac:dyDescent="0.2">
      <c r="B569" s="739" t="s">
        <v>44</v>
      </c>
      <c r="C569" s="740"/>
      <c r="D569" s="740"/>
      <c r="E569" s="740"/>
      <c r="F569" s="740"/>
      <c r="G569" s="740"/>
      <c r="H569" s="740"/>
      <c r="I569" s="741"/>
      <c r="K569" s="11"/>
    </row>
    <row r="570" spans="1:11" s="47" customFormat="1" ht="30" customHeight="1" x14ac:dyDescent="0.2">
      <c r="B570" s="368" t="s">
        <v>33</v>
      </c>
      <c r="C570" s="60" t="s">
        <v>5</v>
      </c>
      <c r="D570" s="59" t="s">
        <v>6</v>
      </c>
      <c r="E570" s="61"/>
      <c r="F570" s="61"/>
      <c r="G570" s="61"/>
      <c r="H570" s="59" t="s">
        <v>45</v>
      </c>
      <c r="I570" s="75" t="s">
        <v>39</v>
      </c>
    </row>
    <row r="571" spans="1:11" s="47" customFormat="1" ht="22.5" customHeight="1" x14ac:dyDescent="0.2">
      <c r="B571" s="369" t="s">
        <v>72</v>
      </c>
      <c r="C571" s="59" t="s">
        <v>142</v>
      </c>
      <c r="D571" s="477">
        <v>1</v>
      </c>
      <c r="E571" s="61"/>
      <c r="F571" s="61"/>
      <c r="G571" s="61"/>
      <c r="H571" s="477">
        <f>INSUMOS!E73</f>
        <v>34.49</v>
      </c>
      <c r="I571" s="557">
        <f t="shared" ref="I571:I582" si="1">H571*D571</f>
        <v>34.49</v>
      </c>
    </row>
    <row r="572" spans="1:11" x14ac:dyDescent="0.2">
      <c r="A572" s="33"/>
      <c r="B572" s="369" t="s">
        <v>73</v>
      </c>
      <c r="C572" s="59" t="s">
        <v>142</v>
      </c>
      <c r="D572" s="477">
        <v>1</v>
      </c>
      <c r="E572" s="61"/>
      <c r="F572" s="61"/>
      <c r="G572" s="61"/>
      <c r="H572" s="477">
        <f>INSUMOS!E74</f>
        <v>50.8</v>
      </c>
      <c r="I572" s="557">
        <f t="shared" si="1"/>
        <v>50.8</v>
      </c>
      <c r="K572" s="47"/>
    </row>
    <row r="573" spans="1:11" ht="15.95" customHeight="1" x14ac:dyDescent="0.2">
      <c r="B573" s="369" t="s">
        <v>199</v>
      </c>
      <c r="C573" s="59" t="s">
        <v>142</v>
      </c>
      <c r="D573" s="477">
        <v>2</v>
      </c>
      <c r="E573" s="61"/>
      <c r="F573" s="61"/>
      <c r="G573" s="61"/>
      <c r="H573" s="477">
        <f>INSUMOS!E75</f>
        <v>9.27</v>
      </c>
      <c r="I573" s="557">
        <f t="shared" si="1"/>
        <v>18.54</v>
      </c>
      <c r="K573" s="47"/>
    </row>
    <row r="574" spans="1:11" x14ac:dyDescent="0.2">
      <c r="B574" s="369" t="s">
        <v>153</v>
      </c>
      <c r="C574" s="59" t="s">
        <v>142</v>
      </c>
      <c r="D574" s="477">
        <v>1</v>
      </c>
      <c r="E574" s="61"/>
      <c r="F574" s="61"/>
      <c r="G574" s="61"/>
      <c r="H574" s="477">
        <f>INSUMOS!E77</f>
        <v>19.899999999999999</v>
      </c>
      <c r="I574" s="557">
        <f t="shared" si="1"/>
        <v>19.899999999999999</v>
      </c>
    </row>
    <row r="575" spans="1:11" s="47" customFormat="1" ht="30" customHeight="1" x14ac:dyDescent="0.2">
      <c r="B575" s="108" t="s">
        <v>74</v>
      </c>
      <c r="C575" s="59" t="s">
        <v>142</v>
      </c>
      <c r="D575" s="477">
        <v>8</v>
      </c>
      <c r="E575" s="61"/>
      <c r="F575" s="61"/>
      <c r="G575" s="61"/>
      <c r="H575" s="477">
        <f>INSUMOS!E76</f>
        <v>13.99</v>
      </c>
      <c r="I575" s="557">
        <f t="shared" si="1"/>
        <v>111.92</v>
      </c>
      <c r="K575" s="11"/>
    </row>
    <row r="576" spans="1:11" ht="15.95" customHeight="1" x14ac:dyDescent="0.2">
      <c r="B576" s="76" t="s">
        <v>75</v>
      </c>
      <c r="C576" s="59" t="s">
        <v>19</v>
      </c>
      <c r="D576" s="581">
        <v>20</v>
      </c>
      <c r="E576" s="61"/>
      <c r="F576" s="61"/>
      <c r="G576" s="61"/>
      <c r="H576" s="477">
        <f>INSUMOS!E39</f>
        <v>0.9</v>
      </c>
      <c r="I576" s="557">
        <f t="shared" si="1"/>
        <v>18</v>
      </c>
    </row>
    <row r="577" spans="2:11" ht="15.95" customHeight="1" x14ac:dyDescent="0.2">
      <c r="B577" s="76" t="s">
        <v>76</v>
      </c>
      <c r="C577" s="59" t="s">
        <v>142</v>
      </c>
      <c r="D577" s="581">
        <v>4</v>
      </c>
      <c r="E577" s="61"/>
      <c r="F577" s="61"/>
      <c r="G577" s="61"/>
      <c r="H577" s="477">
        <f>INSUMOS!E40</f>
        <v>2.6</v>
      </c>
      <c r="I577" s="557">
        <f t="shared" si="1"/>
        <v>10.4</v>
      </c>
      <c r="K577" s="47"/>
    </row>
    <row r="578" spans="2:11" ht="15.95" customHeight="1" x14ac:dyDescent="0.2">
      <c r="B578" s="108" t="s">
        <v>535</v>
      </c>
      <c r="C578" s="59" t="s">
        <v>142</v>
      </c>
      <c r="D578" s="581">
        <v>3</v>
      </c>
      <c r="E578" s="61"/>
      <c r="F578" s="61"/>
      <c r="G578" s="61"/>
      <c r="H578" s="477">
        <f>INSUMOS!E72</f>
        <v>8.7899999999999991</v>
      </c>
      <c r="I578" s="557">
        <f t="shared" si="1"/>
        <v>26.37</v>
      </c>
    </row>
    <row r="579" spans="2:11" ht="15.95" customHeight="1" x14ac:dyDescent="0.2">
      <c r="B579" s="108" t="s">
        <v>77</v>
      </c>
      <c r="C579" s="59" t="s">
        <v>19</v>
      </c>
      <c r="D579" s="581">
        <v>6</v>
      </c>
      <c r="E579" s="61"/>
      <c r="F579" s="61"/>
      <c r="G579" s="61"/>
      <c r="H579" s="477">
        <f>INSUMOS!E64</f>
        <v>2.3199999999999998</v>
      </c>
      <c r="I579" s="557">
        <f t="shared" si="1"/>
        <v>13.92</v>
      </c>
    </row>
    <row r="580" spans="2:11" s="47" customFormat="1" ht="30" customHeight="1" x14ac:dyDescent="0.2">
      <c r="B580" s="369" t="s">
        <v>520</v>
      </c>
      <c r="C580" s="59" t="s">
        <v>142</v>
      </c>
      <c r="D580" s="581">
        <v>0.08</v>
      </c>
      <c r="E580" s="61"/>
      <c r="F580" s="61"/>
      <c r="G580" s="61"/>
      <c r="H580" s="477">
        <f>INSUMOS!E41</f>
        <v>1049</v>
      </c>
      <c r="I580" s="557">
        <f t="shared" si="1"/>
        <v>83.92</v>
      </c>
      <c r="K580" s="11"/>
    </row>
    <row r="581" spans="2:11" ht="15.95" customHeight="1" x14ac:dyDescent="0.2">
      <c r="B581" s="369" t="s">
        <v>78</v>
      </c>
      <c r="C581" s="59" t="s">
        <v>142</v>
      </c>
      <c r="D581" s="581">
        <v>2</v>
      </c>
      <c r="E581" s="61"/>
      <c r="F581" s="61"/>
      <c r="G581" s="61"/>
      <c r="H581" s="477">
        <f>INSUMOS!E69</f>
        <v>3.29</v>
      </c>
      <c r="I581" s="557">
        <f t="shared" si="1"/>
        <v>6.58</v>
      </c>
    </row>
    <row r="582" spans="2:11" ht="15.95" customHeight="1" x14ac:dyDescent="0.2">
      <c r="B582" s="76" t="s">
        <v>79</v>
      </c>
      <c r="C582" s="59" t="s">
        <v>142</v>
      </c>
      <c r="D582" s="581">
        <v>1</v>
      </c>
      <c r="E582" s="61"/>
      <c r="F582" s="61"/>
      <c r="G582" s="61"/>
      <c r="H582" s="477">
        <f>INSUMOS!E70</f>
        <v>13.42</v>
      </c>
      <c r="I582" s="557">
        <f t="shared" si="1"/>
        <v>13.42</v>
      </c>
      <c r="K582" s="47"/>
    </row>
    <row r="583" spans="2:11" ht="15.95" customHeight="1" x14ac:dyDescent="0.2">
      <c r="B583" s="81" t="s">
        <v>155</v>
      </c>
      <c r="C583" s="59" t="s">
        <v>142</v>
      </c>
      <c r="D583" s="581">
        <v>1</v>
      </c>
      <c r="E583" s="61"/>
      <c r="F583" s="61"/>
      <c r="G583" s="61"/>
      <c r="H583" s="477">
        <f>INSUMOS!E42</f>
        <v>2057.5500000000002</v>
      </c>
      <c r="I583" s="557">
        <f t="shared" ref="I583:I589" si="2">H583*D583</f>
        <v>2057.5500000000002</v>
      </c>
    </row>
    <row r="584" spans="2:11" s="47" customFormat="1" ht="30" customHeight="1" x14ac:dyDescent="0.2">
      <c r="B584" s="81" t="s">
        <v>80</v>
      </c>
      <c r="C584" s="59" t="s">
        <v>142</v>
      </c>
      <c r="D584" s="581">
        <v>1</v>
      </c>
      <c r="E584" s="61"/>
      <c r="F584" s="61"/>
      <c r="G584" s="61"/>
      <c r="H584" s="477">
        <f>INSUMOS!E84</f>
        <v>82.88</v>
      </c>
      <c r="I584" s="557">
        <f t="shared" si="2"/>
        <v>82.88</v>
      </c>
      <c r="K584" s="11"/>
    </row>
    <row r="585" spans="2:11" ht="28.5" customHeight="1" x14ac:dyDescent="0.2">
      <c r="B585" s="81" t="s">
        <v>152</v>
      </c>
      <c r="C585" s="59" t="s">
        <v>142</v>
      </c>
      <c r="D585" s="581">
        <v>1</v>
      </c>
      <c r="E585" s="61"/>
      <c r="F585" s="61"/>
      <c r="G585" s="61"/>
      <c r="H585" s="477">
        <f>INSUMOS!E85</f>
        <v>430</v>
      </c>
      <c r="I585" s="557">
        <f t="shared" si="2"/>
        <v>430</v>
      </c>
    </row>
    <row r="586" spans="2:11" ht="27" customHeight="1" x14ac:dyDescent="0.2">
      <c r="B586" s="81" t="s">
        <v>194</v>
      </c>
      <c r="C586" s="59" t="s">
        <v>19</v>
      </c>
      <c r="D586" s="581">
        <v>50</v>
      </c>
      <c r="E586" s="61"/>
      <c r="F586" s="61"/>
      <c r="G586" s="61"/>
      <c r="H586" s="477">
        <f>INSUMOS!E43</f>
        <v>16.66</v>
      </c>
      <c r="I586" s="557">
        <f t="shared" si="2"/>
        <v>833</v>
      </c>
      <c r="K586" s="47"/>
    </row>
    <row r="587" spans="2:11" ht="20.25" customHeight="1" x14ac:dyDescent="0.2">
      <c r="B587" s="319" t="s">
        <v>191</v>
      </c>
      <c r="C587" s="59" t="s">
        <v>142</v>
      </c>
      <c r="D587" s="570">
        <v>1</v>
      </c>
      <c r="E587" s="21"/>
      <c r="F587" s="21"/>
      <c r="G587" s="21"/>
      <c r="H587" s="535">
        <f>INSUMOS!E49</f>
        <v>337.71</v>
      </c>
      <c r="I587" s="536">
        <f>H587*D587</f>
        <v>337.71</v>
      </c>
    </row>
    <row r="588" spans="2:11" ht="15.95" customHeight="1" x14ac:dyDescent="0.2">
      <c r="B588" s="77" t="s">
        <v>81</v>
      </c>
      <c r="C588" s="59" t="s">
        <v>19</v>
      </c>
      <c r="D588" s="581">
        <v>1</v>
      </c>
      <c r="E588" s="61"/>
      <c r="F588" s="61"/>
      <c r="G588" s="61"/>
      <c r="H588" s="477">
        <f>INSUMOS!E65</f>
        <v>34.69</v>
      </c>
      <c r="I588" s="557">
        <f t="shared" si="2"/>
        <v>34.69</v>
      </c>
    </row>
    <row r="589" spans="2:11" ht="15.95" customHeight="1" x14ac:dyDescent="0.2">
      <c r="B589" s="78" t="s">
        <v>190</v>
      </c>
      <c r="C589" s="59" t="s">
        <v>19</v>
      </c>
      <c r="D589" s="581">
        <v>60</v>
      </c>
      <c r="E589" s="61"/>
      <c r="F589" s="61"/>
      <c r="G589" s="61"/>
      <c r="H589" s="477">
        <f>INSUMOS!E66</f>
        <v>3.53</v>
      </c>
      <c r="I589" s="557">
        <f t="shared" si="2"/>
        <v>211.8</v>
      </c>
    </row>
    <row r="590" spans="2:11" ht="15.95" customHeight="1" x14ac:dyDescent="0.2">
      <c r="B590" s="743" t="s">
        <v>43</v>
      </c>
      <c r="C590" s="744"/>
      <c r="D590" s="744"/>
      <c r="E590" s="744"/>
      <c r="F590" s="744"/>
      <c r="G590" s="744"/>
      <c r="H590" s="744"/>
      <c r="I590" s="557">
        <f>SUM(I571:I589)</f>
        <v>4395.8900000000003</v>
      </c>
    </row>
    <row r="591" spans="2:11" ht="15.95" customHeight="1" x14ac:dyDescent="0.2">
      <c r="B591" s="739" t="s">
        <v>46</v>
      </c>
      <c r="C591" s="740"/>
      <c r="D591" s="740"/>
      <c r="E591" s="740"/>
      <c r="F591" s="740"/>
      <c r="G591" s="740"/>
      <c r="H591" s="740"/>
      <c r="I591" s="741"/>
    </row>
    <row r="592" spans="2:11" ht="15.95" customHeight="1" x14ac:dyDescent="0.2">
      <c r="B592" s="368" t="s">
        <v>33</v>
      </c>
      <c r="C592" s="370" t="s">
        <v>5</v>
      </c>
      <c r="D592" s="59" t="s">
        <v>6</v>
      </c>
      <c r="E592" s="61"/>
      <c r="F592" s="61"/>
      <c r="G592" s="61"/>
      <c r="H592" s="59" t="s">
        <v>45</v>
      </c>
      <c r="I592" s="371" t="s">
        <v>39</v>
      </c>
    </row>
    <row r="593" spans="1:11" s="47" customFormat="1" ht="30" customHeight="1" x14ac:dyDescent="0.2">
      <c r="B593" s="78"/>
      <c r="C593" s="59"/>
      <c r="D593" s="59"/>
      <c r="E593" s="61"/>
      <c r="F593" s="61"/>
      <c r="G593" s="61"/>
      <c r="H593" s="59"/>
      <c r="I593" s="75"/>
      <c r="K593" s="11"/>
    </row>
    <row r="594" spans="1:11" x14ac:dyDescent="0.2">
      <c r="B594" s="742" t="s">
        <v>43</v>
      </c>
      <c r="C594" s="708"/>
      <c r="D594" s="708"/>
      <c r="E594" s="708"/>
      <c r="F594" s="708"/>
      <c r="G594" s="708"/>
      <c r="H594" s="708"/>
      <c r="I594" s="372"/>
    </row>
    <row r="595" spans="1:11" x14ac:dyDescent="0.2">
      <c r="B595" s="705" t="s">
        <v>47</v>
      </c>
      <c r="C595" s="668"/>
      <c r="D595" s="668"/>
      <c r="E595" s="668"/>
      <c r="F595" s="668"/>
      <c r="G595" s="668"/>
      <c r="H595" s="668"/>
      <c r="I595" s="706"/>
      <c r="K595" s="47"/>
    </row>
    <row r="596" spans="1:11" x14ac:dyDescent="0.2">
      <c r="B596" s="373" t="s">
        <v>33</v>
      </c>
      <c r="C596" s="348" t="s">
        <v>5</v>
      </c>
      <c r="D596" s="354" t="s">
        <v>6</v>
      </c>
      <c r="E596" s="25"/>
      <c r="F596" s="25"/>
      <c r="G596" s="25"/>
      <c r="H596" s="24" t="s">
        <v>45</v>
      </c>
      <c r="I596" s="195" t="s">
        <v>39</v>
      </c>
    </row>
    <row r="597" spans="1:11" x14ac:dyDescent="0.2">
      <c r="B597" s="374" t="s">
        <v>48</v>
      </c>
      <c r="C597" s="27" t="s">
        <v>41</v>
      </c>
      <c r="D597" s="535">
        <v>8</v>
      </c>
      <c r="E597" s="21"/>
      <c r="F597" s="21"/>
      <c r="G597" s="21"/>
      <c r="H597" s="535">
        <f>INSUMOS!E13</f>
        <v>7.81</v>
      </c>
      <c r="I597" s="525">
        <f>H597*D597</f>
        <v>62.48</v>
      </c>
    </row>
    <row r="598" spans="1:11" x14ac:dyDescent="0.2">
      <c r="B598" s="375" t="s">
        <v>82</v>
      </c>
      <c r="C598" s="27" t="s">
        <v>41</v>
      </c>
      <c r="D598" s="535">
        <v>2</v>
      </c>
      <c r="E598" s="21"/>
      <c r="F598" s="21"/>
      <c r="G598" s="21"/>
      <c r="H598" s="535">
        <f>INSUMOS!E18</f>
        <v>10.37</v>
      </c>
      <c r="I598" s="525">
        <f>H598*D598</f>
        <v>20.74</v>
      </c>
    </row>
    <row r="599" spans="1:11" s="47" customFormat="1" ht="13.5" customHeight="1" x14ac:dyDescent="0.2">
      <c r="B599" s="375" t="s">
        <v>70</v>
      </c>
      <c r="C599" s="27" t="s">
        <v>41</v>
      </c>
      <c r="D599" s="535">
        <v>3</v>
      </c>
      <c r="E599" s="21"/>
      <c r="F599" s="21"/>
      <c r="G599" s="21"/>
      <c r="H599" s="535">
        <f>INSUMOS!E21</f>
        <v>10.37</v>
      </c>
      <c r="I599" s="525">
        <f>H599*D599</f>
        <v>31.11</v>
      </c>
      <c r="K599" s="11"/>
    </row>
    <row r="600" spans="1:11" s="47" customFormat="1" ht="19.5" customHeight="1" x14ac:dyDescent="0.2">
      <c r="B600" s="707" t="s">
        <v>43</v>
      </c>
      <c r="C600" s="669"/>
      <c r="D600" s="669"/>
      <c r="E600" s="669"/>
      <c r="F600" s="669"/>
      <c r="G600" s="669"/>
      <c r="H600" s="669"/>
      <c r="I600" s="524">
        <f>SUM(I597:I599)</f>
        <v>114.33</v>
      </c>
      <c r="K600" s="11"/>
    </row>
    <row r="601" spans="1:11" s="47" customFormat="1" ht="15" customHeight="1" x14ac:dyDescent="0.2">
      <c r="B601" s="376" t="s">
        <v>49</v>
      </c>
      <c r="C601" s="271">
        <v>1</v>
      </c>
      <c r="D601" s="654" t="s">
        <v>50</v>
      </c>
      <c r="E601" s="655"/>
      <c r="F601" s="655"/>
      <c r="G601" s="655"/>
      <c r="H601" s="656"/>
      <c r="I601" s="524">
        <f>I568+I590+I594+I600</f>
        <v>4510.22</v>
      </c>
    </row>
    <row r="602" spans="1:11" x14ac:dyDescent="0.2">
      <c r="A602" s="33"/>
      <c r="B602" s="709"/>
      <c r="C602" s="666"/>
      <c r="D602" s="666"/>
      <c r="E602" s="666"/>
      <c r="F602" s="666"/>
      <c r="G602" s="666"/>
      <c r="H602" s="667"/>
      <c r="I602" s="524">
        <f>I601/C601</f>
        <v>4510.22</v>
      </c>
      <c r="K602" s="47"/>
    </row>
    <row r="603" spans="1:11" ht="15" customHeight="1" x14ac:dyDescent="0.2">
      <c r="B603" s="377" t="s">
        <v>135</v>
      </c>
      <c r="C603" s="477">
        <f>BDI!C$36</f>
        <v>25</v>
      </c>
      <c r="D603" s="343" t="s">
        <v>103</v>
      </c>
      <c r="E603" s="344"/>
      <c r="F603" s="344"/>
      <c r="G603" s="344"/>
      <c r="H603" s="345"/>
      <c r="I603" s="525">
        <f>C603/100*I602</f>
        <v>1127.56</v>
      </c>
      <c r="K603" s="47"/>
    </row>
    <row r="604" spans="1:11" ht="15" customHeight="1" thickBot="1" x14ac:dyDescent="0.25">
      <c r="B604" s="683" t="s">
        <v>51</v>
      </c>
      <c r="C604" s="684"/>
      <c r="D604" s="684"/>
      <c r="E604" s="684"/>
      <c r="F604" s="684"/>
      <c r="G604" s="684"/>
      <c r="H604" s="684"/>
      <c r="I604" s="506">
        <f>SUM(I602:I603)</f>
        <v>5637.78</v>
      </c>
    </row>
    <row r="605" spans="1:11" ht="15" customHeight="1" thickBot="1" x14ac:dyDescent="0.25">
      <c r="B605" s="447"/>
      <c r="C605" s="447"/>
      <c r="D605" s="447"/>
      <c r="E605" s="447"/>
      <c r="F605" s="447"/>
      <c r="G605" s="447"/>
      <c r="H605" s="447"/>
      <c r="I605" s="417"/>
    </row>
    <row r="606" spans="1:11" ht="46.5" customHeight="1" x14ac:dyDescent="0.2">
      <c r="B606" s="530" t="s">
        <v>357</v>
      </c>
      <c r="C606" s="532" t="s">
        <v>538</v>
      </c>
      <c r="D606" s="685" t="s">
        <v>30</v>
      </c>
      <c r="E606" s="685"/>
      <c r="F606" s="685"/>
      <c r="G606" s="685"/>
      <c r="H606" s="685"/>
      <c r="I606" s="685"/>
    </row>
    <row r="607" spans="1:11" ht="15" customHeight="1" x14ac:dyDescent="0.2">
      <c r="B607" s="673" t="s">
        <v>134</v>
      </c>
      <c r="C607" s="674"/>
      <c r="D607" s="674"/>
      <c r="E607" s="674"/>
      <c r="F607" s="674"/>
      <c r="G607" s="675"/>
      <c r="H607" s="670" t="s">
        <v>494</v>
      </c>
      <c r="I607" s="671"/>
    </row>
    <row r="608" spans="1:11" ht="34.5" customHeight="1" x14ac:dyDescent="0.2">
      <c r="B608" s="672" t="s">
        <v>533</v>
      </c>
      <c r="C608" s="672"/>
      <c r="D608" s="672"/>
      <c r="E608" s="672"/>
      <c r="F608" s="672"/>
      <c r="G608" s="672"/>
      <c r="H608" s="12" t="s">
        <v>31</v>
      </c>
      <c r="I608" s="46" t="s">
        <v>23</v>
      </c>
    </row>
    <row r="609" spans="2:9" ht="15" customHeight="1" x14ac:dyDescent="0.2">
      <c r="B609" s="668" t="s">
        <v>32</v>
      </c>
      <c r="C609" s="668"/>
      <c r="D609" s="668"/>
      <c r="E609" s="668"/>
      <c r="F609" s="668"/>
      <c r="G609" s="668"/>
      <c r="H609" s="668"/>
      <c r="I609" s="668"/>
    </row>
    <row r="610" spans="2:9" ht="21.75" customHeight="1" x14ac:dyDescent="0.2">
      <c r="B610" s="13" t="s">
        <v>33</v>
      </c>
      <c r="C610" s="62" t="s">
        <v>5</v>
      </c>
      <c r="D610" s="14" t="s">
        <v>6</v>
      </c>
      <c r="E610" s="14" t="s">
        <v>35</v>
      </c>
      <c r="F610" s="14" t="s">
        <v>36</v>
      </c>
      <c r="G610" s="14" t="s">
        <v>37</v>
      </c>
      <c r="H610" s="14" t="s">
        <v>38</v>
      </c>
      <c r="I610" s="15" t="s">
        <v>39</v>
      </c>
    </row>
    <row r="611" spans="2:9" ht="15" customHeight="1" x14ac:dyDescent="0.2">
      <c r="B611" s="319"/>
      <c r="C611" s="34"/>
      <c r="D611" s="54"/>
      <c r="E611" s="24"/>
      <c r="F611" s="24"/>
      <c r="G611" s="24"/>
      <c r="H611" s="24"/>
      <c r="I611" s="36"/>
    </row>
    <row r="612" spans="2:9" ht="15" customHeight="1" x14ac:dyDescent="0.2">
      <c r="B612" s="669" t="s">
        <v>43</v>
      </c>
      <c r="C612" s="669"/>
      <c r="D612" s="669"/>
      <c r="E612" s="669"/>
      <c r="F612" s="669"/>
      <c r="G612" s="669"/>
      <c r="H612" s="669"/>
      <c r="I612" s="335"/>
    </row>
    <row r="613" spans="2:9" ht="15" customHeight="1" x14ac:dyDescent="0.2">
      <c r="B613" s="668" t="s">
        <v>44</v>
      </c>
      <c r="C613" s="668"/>
      <c r="D613" s="668"/>
      <c r="E613" s="668"/>
      <c r="F613" s="668"/>
      <c r="G613" s="668"/>
      <c r="H613" s="668"/>
      <c r="I613" s="668"/>
    </row>
    <row r="614" spans="2:9" ht="15" customHeight="1" x14ac:dyDescent="0.2">
      <c r="B614" s="351" t="s">
        <v>33</v>
      </c>
      <c r="C614" s="352" t="s">
        <v>5</v>
      </c>
      <c r="D614" s="20" t="s">
        <v>6</v>
      </c>
      <c r="E614" s="21"/>
      <c r="F614" s="21"/>
      <c r="G614" s="21"/>
      <c r="H614" s="20" t="s">
        <v>45</v>
      </c>
      <c r="I614" s="30" t="s">
        <v>39</v>
      </c>
    </row>
    <row r="615" spans="2:9" ht="15" customHeight="1" x14ac:dyDescent="0.2">
      <c r="B615" s="319"/>
      <c r="C615" s="28"/>
      <c r="D615" s="29"/>
      <c r="E615" s="21"/>
      <c r="F615" s="21"/>
      <c r="G615" s="21"/>
      <c r="H615" s="20"/>
      <c r="I615" s="30"/>
    </row>
    <row r="616" spans="2:9" ht="15" customHeight="1" x14ac:dyDescent="0.2">
      <c r="B616" s="669" t="s">
        <v>43</v>
      </c>
      <c r="C616" s="669"/>
      <c r="D616" s="669"/>
      <c r="E616" s="669"/>
      <c r="F616" s="669"/>
      <c r="G616" s="669"/>
      <c r="H616" s="669"/>
      <c r="I616" s="30"/>
    </row>
    <row r="617" spans="2:9" ht="15" customHeight="1" x14ac:dyDescent="0.2">
      <c r="B617" s="668" t="s">
        <v>46</v>
      </c>
      <c r="C617" s="668"/>
      <c r="D617" s="668"/>
      <c r="E617" s="668"/>
      <c r="F617" s="668"/>
      <c r="G617" s="668"/>
      <c r="H617" s="668"/>
      <c r="I617" s="668"/>
    </row>
    <row r="618" spans="2:9" ht="15" customHeight="1" x14ac:dyDescent="0.2">
      <c r="B618" s="339" t="s">
        <v>33</v>
      </c>
      <c r="C618" s="27" t="s">
        <v>5</v>
      </c>
      <c r="D618" s="20" t="s">
        <v>6</v>
      </c>
      <c r="E618" s="21"/>
      <c r="F618" s="21"/>
      <c r="G618" s="21"/>
      <c r="H618" s="20" t="s">
        <v>45</v>
      </c>
      <c r="I618" s="30" t="s">
        <v>39</v>
      </c>
    </row>
    <row r="619" spans="2:9" ht="15" customHeight="1" x14ac:dyDescent="0.2">
      <c r="B619" s="319"/>
      <c r="C619" s="20"/>
      <c r="D619" s="20"/>
      <c r="E619" s="21"/>
      <c r="F619" s="21"/>
      <c r="G619" s="21"/>
      <c r="H619" s="20"/>
      <c r="I619" s="30"/>
    </row>
    <row r="620" spans="2:9" ht="15" customHeight="1" x14ac:dyDescent="0.2">
      <c r="B620" s="669" t="s">
        <v>43</v>
      </c>
      <c r="C620" s="669"/>
      <c r="D620" s="669"/>
      <c r="E620" s="669"/>
      <c r="F620" s="669"/>
      <c r="G620" s="669"/>
      <c r="H620" s="669"/>
      <c r="I620" s="30"/>
    </row>
    <row r="621" spans="2:9" ht="15" customHeight="1" x14ac:dyDescent="0.2">
      <c r="B621" s="668" t="s">
        <v>47</v>
      </c>
      <c r="C621" s="668"/>
      <c r="D621" s="668"/>
      <c r="E621" s="668"/>
      <c r="F621" s="668"/>
      <c r="G621" s="668"/>
      <c r="H621" s="668"/>
      <c r="I621" s="668"/>
    </row>
    <row r="622" spans="2:9" ht="15" customHeight="1" x14ac:dyDescent="0.2">
      <c r="B622" s="351" t="s">
        <v>33</v>
      </c>
      <c r="C622" s="352" t="s">
        <v>5</v>
      </c>
      <c r="D622" s="321" t="s">
        <v>6</v>
      </c>
      <c r="E622" s="21"/>
      <c r="F622" s="21"/>
      <c r="G622" s="21"/>
      <c r="H622" s="20" t="s">
        <v>45</v>
      </c>
      <c r="I622" s="30" t="s">
        <v>39</v>
      </c>
    </row>
    <row r="623" spans="2:9" ht="15" customHeight="1" x14ac:dyDescent="0.2">
      <c r="B623" s="35" t="s">
        <v>48</v>
      </c>
      <c r="C623" s="27" t="s">
        <v>41</v>
      </c>
      <c r="D623" s="535">
        <v>1.9</v>
      </c>
      <c r="E623" s="21"/>
      <c r="F623" s="21"/>
      <c r="G623" s="21"/>
      <c r="H623" s="535">
        <f>INSUMOS!E13</f>
        <v>7.81</v>
      </c>
      <c r="I623" s="536">
        <f>H623*D623</f>
        <v>14.84</v>
      </c>
    </row>
    <row r="624" spans="2:9" ht="15" customHeight="1" x14ac:dyDescent="0.2">
      <c r="B624" s="669" t="s">
        <v>43</v>
      </c>
      <c r="C624" s="669"/>
      <c r="D624" s="669"/>
      <c r="E624" s="669"/>
      <c r="F624" s="669"/>
      <c r="G624" s="669"/>
      <c r="H624" s="669"/>
      <c r="I624" s="537">
        <f>SUM(I623:I623)</f>
        <v>14.84</v>
      </c>
    </row>
    <row r="625" spans="2:9" ht="15" customHeight="1" x14ac:dyDescent="0.2">
      <c r="B625" s="346" t="s">
        <v>49</v>
      </c>
      <c r="C625" s="271">
        <v>1</v>
      </c>
      <c r="D625" s="654" t="s">
        <v>50</v>
      </c>
      <c r="E625" s="655"/>
      <c r="F625" s="655"/>
      <c r="G625" s="655"/>
      <c r="H625" s="656"/>
      <c r="I625" s="537">
        <f>I612+I616+I620+I624</f>
        <v>14.84</v>
      </c>
    </row>
    <row r="626" spans="2:9" ht="15" customHeight="1" x14ac:dyDescent="0.2">
      <c r="B626" s="665"/>
      <c r="C626" s="666"/>
      <c r="D626" s="666"/>
      <c r="E626" s="666"/>
      <c r="F626" s="666"/>
      <c r="G626" s="666"/>
      <c r="H626" s="667"/>
      <c r="I626" s="537">
        <f>I625/C625</f>
        <v>14.84</v>
      </c>
    </row>
    <row r="627" spans="2:9" ht="15" customHeight="1" x14ac:dyDescent="0.2">
      <c r="B627" s="342" t="s">
        <v>135</v>
      </c>
      <c r="C627" s="477">
        <f>BDI!C$36</f>
        <v>25</v>
      </c>
      <c r="D627" s="343" t="s">
        <v>103</v>
      </c>
      <c r="E627" s="344"/>
      <c r="F627" s="344"/>
      <c r="G627" s="344"/>
      <c r="H627" s="345"/>
      <c r="I627" s="536">
        <f>C627/100*I626</f>
        <v>3.71</v>
      </c>
    </row>
    <row r="628" spans="2:9" ht="15" customHeight="1" thickBot="1" x14ac:dyDescent="0.25">
      <c r="B628" s="657" t="s">
        <v>51</v>
      </c>
      <c r="C628" s="657"/>
      <c r="D628" s="657"/>
      <c r="E628" s="657"/>
      <c r="F628" s="657"/>
      <c r="G628" s="657"/>
      <c r="H628" s="657"/>
      <c r="I628" s="506">
        <f>SUM(I626:I627)</f>
        <v>18.55</v>
      </c>
    </row>
    <row r="629" spans="2:9" ht="15" customHeight="1" thickBot="1" x14ac:dyDescent="0.25">
      <c r="B629" s="356"/>
      <c r="C629" s="359"/>
      <c r="D629" s="359"/>
      <c r="E629" s="356"/>
      <c r="F629" s="356"/>
      <c r="G629" s="356"/>
      <c r="H629" s="356"/>
      <c r="I629" s="359"/>
    </row>
    <row r="630" spans="2:9" ht="45.75" customHeight="1" x14ac:dyDescent="0.2">
      <c r="B630" s="530" t="s">
        <v>357</v>
      </c>
      <c r="C630" s="532" t="s">
        <v>539</v>
      </c>
      <c r="D630" s="685" t="s">
        <v>30</v>
      </c>
      <c r="E630" s="685"/>
      <c r="F630" s="685"/>
      <c r="G630" s="685"/>
      <c r="H630" s="685"/>
      <c r="I630" s="685"/>
    </row>
    <row r="631" spans="2:9" ht="15" customHeight="1" x14ac:dyDescent="0.2">
      <c r="B631" s="673" t="s">
        <v>134</v>
      </c>
      <c r="C631" s="674"/>
      <c r="D631" s="674"/>
      <c r="E631" s="674"/>
      <c r="F631" s="674"/>
      <c r="G631" s="675"/>
      <c r="H631" s="670" t="s">
        <v>494</v>
      </c>
      <c r="I631" s="671"/>
    </row>
    <row r="632" spans="2:9" ht="15" customHeight="1" x14ac:dyDescent="0.2">
      <c r="B632" s="721" t="s">
        <v>332</v>
      </c>
      <c r="C632" s="721"/>
      <c r="D632" s="721"/>
      <c r="E632" s="721"/>
      <c r="F632" s="721"/>
      <c r="G632" s="721"/>
      <c r="H632" s="12" t="s">
        <v>31</v>
      </c>
      <c r="I632" s="46" t="s">
        <v>23</v>
      </c>
    </row>
    <row r="633" spans="2:9" ht="15" customHeight="1" x14ac:dyDescent="0.2">
      <c r="B633" s="668" t="s">
        <v>32</v>
      </c>
      <c r="C633" s="668"/>
      <c r="D633" s="668"/>
      <c r="E633" s="668"/>
      <c r="F633" s="668"/>
      <c r="G633" s="668"/>
      <c r="H633" s="668"/>
      <c r="I633" s="668"/>
    </row>
    <row r="634" spans="2:9" ht="27" customHeight="1" x14ac:dyDescent="0.2">
      <c r="B634" s="13" t="s">
        <v>33</v>
      </c>
      <c r="C634" s="62" t="s">
        <v>5</v>
      </c>
      <c r="D634" s="14" t="s">
        <v>6</v>
      </c>
      <c r="E634" s="14" t="s">
        <v>35</v>
      </c>
      <c r="F634" s="14" t="s">
        <v>36</v>
      </c>
      <c r="G634" s="14" t="s">
        <v>37</v>
      </c>
      <c r="H634" s="14" t="s">
        <v>38</v>
      </c>
      <c r="I634" s="15" t="s">
        <v>39</v>
      </c>
    </row>
    <row r="635" spans="2:9" ht="15" customHeight="1" x14ac:dyDescent="0.2">
      <c r="B635" s="319"/>
      <c r="C635" s="28"/>
      <c r="D635" s="29"/>
      <c r="E635" s="20"/>
      <c r="F635" s="20"/>
      <c r="G635" s="20"/>
      <c r="H635" s="20"/>
      <c r="I635" s="30"/>
    </row>
    <row r="636" spans="2:9" ht="15" customHeight="1" x14ac:dyDescent="0.2">
      <c r="B636" s="669" t="s">
        <v>43</v>
      </c>
      <c r="C636" s="669"/>
      <c r="D636" s="669"/>
      <c r="E636" s="669"/>
      <c r="F636" s="669"/>
      <c r="G636" s="669"/>
      <c r="H636" s="669"/>
      <c r="I636" s="335"/>
    </row>
    <row r="637" spans="2:9" ht="15" customHeight="1" x14ac:dyDescent="0.2">
      <c r="B637" s="668" t="s">
        <v>44</v>
      </c>
      <c r="C637" s="668"/>
      <c r="D637" s="668"/>
      <c r="E637" s="668"/>
      <c r="F637" s="668"/>
      <c r="G637" s="668"/>
      <c r="H637" s="668"/>
      <c r="I637" s="668"/>
    </row>
    <row r="638" spans="2:9" ht="15" customHeight="1" x14ac:dyDescent="0.2">
      <c r="B638" s="353" t="s">
        <v>33</v>
      </c>
      <c r="C638" s="348" t="s">
        <v>5</v>
      </c>
      <c r="D638" s="24" t="s">
        <v>6</v>
      </c>
      <c r="E638" s="25"/>
      <c r="F638" s="25"/>
      <c r="G638" s="25"/>
      <c r="H638" s="24" t="s">
        <v>45</v>
      </c>
      <c r="I638" s="36" t="s">
        <v>39</v>
      </c>
    </row>
    <row r="639" spans="2:9" ht="15" customHeight="1" x14ac:dyDescent="0.2">
      <c r="B639" s="35"/>
      <c r="C639" s="28"/>
      <c r="D639" s="29"/>
      <c r="E639" s="21"/>
      <c r="F639" s="21"/>
      <c r="G639" s="21"/>
      <c r="H639" s="20"/>
      <c r="I639" s="30"/>
    </row>
    <row r="640" spans="2:9" ht="15" customHeight="1" x14ac:dyDescent="0.2">
      <c r="B640" s="669" t="s">
        <v>43</v>
      </c>
      <c r="C640" s="669"/>
      <c r="D640" s="669"/>
      <c r="E640" s="669"/>
      <c r="F640" s="669"/>
      <c r="G640" s="669"/>
      <c r="H640" s="669"/>
      <c r="I640" s="30"/>
    </row>
    <row r="641" spans="2:9" ht="15" customHeight="1" x14ac:dyDescent="0.2">
      <c r="B641" s="668" t="s">
        <v>46</v>
      </c>
      <c r="C641" s="668"/>
      <c r="D641" s="668"/>
      <c r="E641" s="668"/>
      <c r="F641" s="668"/>
      <c r="G641" s="668"/>
      <c r="H641" s="668"/>
      <c r="I641" s="668"/>
    </row>
    <row r="642" spans="2:9" ht="15" customHeight="1" x14ac:dyDescent="0.2">
      <c r="B642" s="339" t="s">
        <v>33</v>
      </c>
      <c r="C642" s="347" t="s">
        <v>5</v>
      </c>
      <c r="D642" s="20" t="s">
        <v>6</v>
      </c>
      <c r="E642" s="21"/>
      <c r="F642" s="21"/>
      <c r="G642" s="21"/>
      <c r="H642" s="20" t="s">
        <v>45</v>
      </c>
      <c r="I642" s="36" t="s">
        <v>39</v>
      </c>
    </row>
    <row r="643" spans="2:9" ht="15" customHeight="1" x14ac:dyDescent="0.2">
      <c r="B643" s="319"/>
      <c r="C643" s="20"/>
      <c r="D643" s="20"/>
      <c r="E643" s="21"/>
      <c r="F643" s="21"/>
      <c r="G643" s="21"/>
      <c r="H643" s="20"/>
      <c r="I643" s="30"/>
    </row>
    <row r="644" spans="2:9" ht="15" customHeight="1" x14ac:dyDescent="0.2">
      <c r="B644" s="669" t="s">
        <v>43</v>
      </c>
      <c r="C644" s="669"/>
      <c r="D644" s="669"/>
      <c r="E644" s="669"/>
      <c r="F644" s="669"/>
      <c r="G644" s="669"/>
      <c r="H644" s="669"/>
      <c r="I644" s="30"/>
    </row>
    <row r="645" spans="2:9" ht="15" customHeight="1" x14ac:dyDescent="0.2">
      <c r="B645" s="668" t="s">
        <v>47</v>
      </c>
      <c r="C645" s="668"/>
      <c r="D645" s="668"/>
      <c r="E645" s="668"/>
      <c r="F645" s="668"/>
      <c r="G645" s="668"/>
      <c r="H645" s="668"/>
      <c r="I645" s="668"/>
    </row>
    <row r="646" spans="2:9" ht="15" customHeight="1" x14ac:dyDescent="0.2">
      <c r="B646" s="353" t="s">
        <v>33</v>
      </c>
      <c r="C646" s="348" t="s">
        <v>5</v>
      </c>
      <c r="D646" s="354" t="s">
        <v>6</v>
      </c>
      <c r="E646" s="25"/>
      <c r="F646" s="25"/>
      <c r="G646" s="25"/>
      <c r="H646" s="24" t="s">
        <v>45</v>
      </c>
      <c r="I646" s="36" t="s">
        <v>39</v>
      </c>
    </row>
    <row r="647" spans="2:9" ht="15" customHeight="1" x14ac:dyDescent="0.2">
      <c r="B647" s="35" t="s">
        <v>48</v>
      </c>
      <c r="C647" s="27" t="s">
        <v>41</v>
      </c>
      <c r="D647" s="535">
        <v>1.7</v>
      </c>
      <c r="E647" s="21"/>
      <c r="F647" s="21"/>
      <c r="G647" s="21"/>
      <c r="H647" s="535">
        <f>INSUMOS!E13</f>
        <v>7.81</v>
      </c>
      <c r="I647" s="536">
        <f>H647*D647</f>
        <v>13.28</v>
      </c>
    </row>
    <row r="648" spans="2:9" ht="15" customHeight="1" x14ac:dyDescent="0.2">
      <c r="B648" s="669" t="s">
        <v>43</v>
      </c>
      <c r="C648" s="669"/>
      <c r="D648" s="669"/>
      <c r="E648" s="669"/>
      <c r="F648" s="669"/>
      <c r="G648" s="669"/>
      <c r="H648" s="669"/>
      <c r="I648" s="537">
        <f>SUM(I647:I647)</f>
        <v>13.28</v>
      </c>
    </row>
    <row r="649" spans="2:9" ht="15" customHeight="1" x14ac:dyDescent="0.2">
      <c r="B649" s="346" t="s">
        <v>49</v>
      </c>
      <c r="C649" s="271">
        <v>1</v>
      </c>
      <c r="D649" s="654" t="s">
        <v>50</v>
      </c>
      <c r="E649" s="655"/>
      <c r="F649" s="655"/>
      <c r="G649" s="655"/>
      <c r="H649" s="656"/>
      <c r="I649" s="537">
        <f>I636+I640+I644+I648</f>
        <v>13.28</v>
      </c>
    </row>
    <row r="650" spans="2:9" ht="15" customHeight="1" x14ac:dyDescent="0.2">
      <c r="B650" s="665"/>
      <c r="C650" s="666"/>
      <c r="D650" s="666"/>
      <c r="E650" s="666"/>
      <c r="F650" s="666"/>
      <c r="G650" s="666"/>
      <c r="H650" s="667"/>
      <c r="I650" s="537">
        <f>I649/C649</f>
        <v>13.28</v>
      </c>
    </row>
    <row r="651" spans="2:9" ht="15" customHeight="1" x14ac:dyDescent="0.2">
      <c r="B651" s="342" t="s">
        <v>135</v>
      </c>
      <c r="C651" s="477">
        <f>BDI!C$36</f>
        <v>25</v>
      </c>
      <c r="D651" s="343" t="s">
        <v>103</v>
      </c>
      <c r="E651" s="344"/>
      <c r="F651" s="344"/>
      <c r="G651" s="344"/>
      <c r="H651" s="345"/>
      <c r="I651" s="536">
        <f>C651/100*I650</f>
        <v>3.32</v>
      </c>
    </row>
    <row r="652" spans="2:9" ht="15" customHeight="1" thickBot="1" x14ac:dyDescent="0.25">
      <c r="B652" s="657" t="s">
        <v>51</v>
      </c>
      <c r="C652" s="657"/>
      <c r="D652" s="657"/>
      <c r="E652" s="657"/>
      <c r="F652" s="657"/>
      <c r="G652" s="657"/>
      <c r="H652" s="657"/>
      <c r="I652" s="506">
        <f>SUM(I650:I651)</f>
        <v>16.600000000000001</v>
      </c>
    </row>
    <row r="653" spans="2:9" ht="15" customHeight="1" thickBot="1" x14ac:dyDescent="0.25">
      <c r="B653" s="447"/>
      <c r="C653" s="447"/>
      <c r="D653" s="447"/>
      <c r="E653" s="447"/>
      <c r="F653" s="447"/>
      <c r="G653" s="447"/>
      <c r="H653" s="447"/>
      <c r="I653" s="417"/>
    </row>
    <row r="654" spans="2:9" ht="15" customHeight="1" x14ac:dyDescent="0.2">
      <c r="B654" s="530" t="s">
        <v>357</v>
      </c>
      <c r="C654" s="531" t="s">
        <v>540</v>
      </c>
      <c r="D654" s="676" t="s">
        <v>30</v>
      </c>
      <c r="E654" s="677"/>
      <c r="F654" s="677"/>
      <c r="G654" s="677"/>
      <c r="H654" s="677"/>
      <c r="I654" s="678"/>
    </row>
    <row r="655" spans="2:9" ht="15" customHeight="1" x14ac:dyDescent="0.2">
      <c r="B655" s="673" t="s">
        <v>134</v>
      </c>
      <c r="C655" s="674"/>
      <c r="D655" s="674"/>
      <c r="E655" s="674"/>
      <c r="F655" s="674"/>
      <c r="G655" s="675"/>
      <c r="H655" s="670" t="s">
        <v>494</v>
      </c>
      <c r="I655" s="671"/>
    </row>
    <row r="656" spans="2:9" ht="15" customHeight="1" x14ac:dyDescent="0.2">
      <c r="B656" s="747" t="s">
        <v>333</v>
      </c>
      <c r="C656" s="748"/>
      <c r="D656" s="748"/>
      <c r="E656" s="748"/>
      <c r="F656" s="748"/>
      <c r="G656" s="749"/>
      <c r="H656" s="12" t="s">
        <v>31</v>
      </c>
      <c r="I656" s="208" t="s">
        <v>19</v>
      </c>
    </row>
    <row r="657" spans="2:9" ht="15" customHeight="1" x14ac:dyDescent="0.2">
      <c r="B657" s="750" t="s">
        <v>32</v>
      </c>
      <c r="C657" s="751"/>
      <c r="D657" s="751"/>
      <c r="E657" s="751"/>
      <c r="F657" s="751"/>
      <c r="G657" s="751"/>
      <c r="H657" s="751"/>
      <c r="I657" s="752"/>
    </row>
    <row r="658" spans="2:9" ht="15" customHeight="1" x14ac:dyDescent="0.2">
      <c r="B658" s="209" t="s">
        <v>33</v>
      </c>
      <c r="C658" s="210" t="s">
        <v>5</v>
      </c>
      <c r="D658" s="211" t="s">
        <v>6</v>
      </c>
      <c r="E658" s="212" t="s">
        <v>35</v>
      </c>
      <c r="F658" s="212" t="s">
        <v>36</v>
      </c>
      <c r="G658" s="212" t="s">
        <v>37</v>
      </c>
      <c r="H658" s="212" t="s">
        <v>38</v>
      </c>
      <c r="I658" s="213" t="s">
        <v>39</v>
      </c>
    </row>
    <row r="659" spans="2:9" ht="15" customHeight="1" x14ac:dyDescent="0.2">
      <c r="B659" s="319"/>
      <c r="C659" s="34"/>
      <c r="D659" s="384"/>
      <c r="E659" s="24"/>
      <c r="F659" s="24"/>
      <c r="G659" s="24"/>
      <c r="H659" s="24"/>
      <c r="I659" s="36">
        <f>H659*D659</f>
        <v>0</v>
      </c>
    </row>
    <row r="660" spans="2:9" ht="15" customHeight="1" x14ac:dyDescent="0.2">
      <c r="B660" s="753" t="s">
        <v>43</v>
      </c>
      <c r="C660" s="754"/>
      <c r="D660" s="754"/>
      <c r="E660" s="754"/>
      <c r="F660" s="754"/>
      <c r="G660" s="754"/>
      <c r="H660" s="755"/>
      <c r="I660" s="335">
        <f>SUM(I659:I659)</f>
        <v>0</v>
      </c>
    </row>
    <row r="661" spans="2:9" ht="15" customHeight="1" x14ac:dyDescent="0.2">
      <c r="B661" s="750" t="s">
        <v>44</v>
      </c>
      <c r="C661" s="751"/>
      <c r="D661" s="751"/>
      <c r="E661" s="751"/>
      <c r="F661" s="751"/>
      <c r="G661" s="751"/>
      <c r="H661" s="751"/>
      <c r="I661" s="752"/>
    </row>
    <row r="662" spans="2:9" ht="15" customHeight="1" x14ac:dyDescent="0.2">
      <c r="B662" s="353" t="s">
        <v>33</v>
      </c>
      <c r="C662" s="348" t="s">
        <v>5</v>
      </c>
      <c r="D662" s="25" t="s">
        <v>6</v>
      </c>
      <c r="E662" s="25"/>
      <c r="F662" s="25"/>
      <c r="G662" s="25"/>
      <c r="H662" s="24" t="s">
        <v>45</v>
      </c>
      <c r="I662" s="36" t="s">
        <v>39</v>
      </c>
    </row>
    <row r="663" spans="2:9" ht="15" customHeight="1" x14ac:dyDescent="0.2">
      <c r="B663" s="319" t="s">
        <v>235</v>
      </c>
      <c r="C663" s="28" t="s">
        <v>53</v>
      </c>
      <c r="D663" s="570">
        <v>0.05</v>
      </c>
      <c r="E663" s="21"/>
      <c r="F663" s="21"/>
      <c r="G663" s="21"/>
      <c r="H663" s="535">
        <f>INSUMOS!E53</f>
        <v>17.2</v>
      </c>
      <c r="I663" s="536">
        <f>H663*D663</f>
        <v>0.86</v>
      </c>
    </row>
    <row r="664" spans="2:9" ht="15" customHeight="1" x14ac:dyDescent="0.2">
      <c r="B664" s="319" t="s">
        <v>241</v>
      </c>
      <c r="C664" s="28" t="s">
        <v>19</v>
      </c>
      <c r="D664" s="570">
        <v>1</v>
      </c>
      <c r="E664" s="21"/>
      <c r="F664" s="21"/>
      <c r="G664" s="21"/>
      <c r="H664" s="535">
        <f>INSUMOS!E32</f>
        <v>5.64</v>
      </c>
      <c r="I664" s="536">
        <f>H664*D664</f>
        <v>5.64</v>
      </c>
    </row>
    <row r="665" spans="2:9" ht="15" customHeight="1" x14ac:dyDescent="0.2">
      <c r="B665" s="35" t="s">
        <v>242</v>
      </c>
      <c r="C665" s="28" t="s">
        <v>11</v>
      </c>
      <c r="D665" s="570">
        <v>0.02</v>
      </c>
      <c r="E665" s="21"/>
      <c r="F665" s="21"/>
      <c r="G665" s="21"/>
      <c r="H665" s="535">
        <f>INSUMOS!E33</f>
        <v>46.97</v>
      </c>
      <c r="I665" s="536">
        <f>H665*D665</f>
        <v>0.94</v>
      </c>
    </row>
    <row r="666" spans="2:9" ht="15" customHeight="1" x14ac:dyDescent="0.2">
      <c r="B666" s="753" t="s">
        <v>43</v>
      </c>
      <c r="C666" s="754"/>
      <c r="D666" s="754"/>
      <c r="E666" s="754"/>
      <c r="F666" s="754"/>
      <c r="G666" s="754"/>
      <c r="H666" s="755"/>
      <c r="I666" s="536">
        <f>SUM(I663:I665)</f>
        <v>7.44</v>
      </c>
    </row>
    <row r="667" spans="2:9" ht="15" customHeight="1" x14ac:dyDescent="0.2">
      <c r="B667" s="750" t="s">
        <v>46</v>
      </c>
      <c r="C667" s="751"/>
      <c r="D667" s="751"/>
      <c r="E667" s="751"/>
      <c r="F667" s="751"/>
      <c r="G667" s="751"/>
      <c r="H667" s="751"/>
      <c r="I667" s="752"/>
    </row>
    <row r="668" spans="2:9" ht="15" customHeight="1" x14ac:dyDescent="0.2">
      <c r="B668" s="339" t="s">
        <v>33</v>
      </c>
      <c r="C668" s="347" t="s">
        <v>5</v>
      </c>
      <c r="D668" s="21" t="s">
        <v>6</v>
      </c>
      <c r="E668" s="21"/>
      <c r="F668" s="21"/>
      <c r="G668" s="21"/>
      <c r="H668" s="20" t="s">
        <v>45</v>
      </c>
      <c r="I668" s="36" t="s">
        <v>39</v>
      </c>
    </row>
    <row r="669" spans="2:9" ht="15" customHeight="1" x14ac:dyDescent="0.2">
      <c r="B669" s="35" t="s">
        <v>243</v>
      </c>
      <c r="C669" s="28" t="s">
        <v>19</v>
      </c>
      <c r="D669" s="570">
        <v>1</v>
      </c>
      <c r="E669" s="21"/>
      <c r="F669" s="21"/>
      <c r="G669" s="21"/>
      <c r="H669" s="535">
        <f>I1052</f>
        <v>0.03</v>
      </c>
      <c r="I669" s="536">
        <f>D669*H669</f>
        <v>0.03</v>
      </c>
    </row>
    <row r="670" spans="2:9" ht="15" customHeight="1" x14ac:dyDescent="0.2">
      <c r="B670" s="753" t="s">
        <v>43</v>
      </c>
      <c r="C670" s="754"/>
      <c r="D670" s="754"/>
      <c r="E670" s="754"/>
      <c r="F670" s="754"/>
      <c r="G670" s="754"/>
      <c r="H670" s="755"/>
      <c r="I670" s="536">
        <f>SUM(I669:I669)</f>
        <v>0.03</v>
      </c>
    </row>
    <row r="671" spans="2:9" ht="15" customHeight="1" x14ac:dyDescent="0.2">
      <c r="B671" s="750" t="s">
        <v>47</v>
      </c>
      <c r="C671" s="751"/>
      <c r="D671" s="751"/>
      <c r="E671" s="751"/>
      <c r="F671" s="751"/>
      <c r="G671" s="751"/>
      <c r="H671" s="751"/>
      <c r="I671" s="752"/>
    </row>
    <row r="672" spans="2:9" ht="15" customHeight="1" x14ac:dyDescent="0.2">
      <c r="B672" s="353" t="s">
        <v>33</v>
      </c>
      <c r="C672" s="348" t="s">
        <v>5</v>
      </c>
      <c r="D672" s="385" t="s">
        <v>6</v>
      </c>
      <c r="E672" s="25"/>
      <c r="F672" s="25"/>
      <c r="G672" s="25"/>
      <c r="H672" s="24" t="s">
        <v>45</v>
      </c>
      <c r="I672" s="36" t="s">
        <v>39</v>
      </c>
    </row>
    <row r="673" spans="2:9" ht="15" customHeight="1" x14ac:dyDescent="0.2">
      <c r="B673" s="35" t="s">
        <v>48</v>
      </c>
      <c r="C673" s="27" t="s">
        <v>41</v>
      </c>
      <c r="D673" s="535">
        <v>0.1</v>
      </c>
      <c r="E673" s="25"/>
      <c r="F673" s="25"/>
      <c r="G673" s="25"/>
      <c r="H673" s="535">
        <f>INSUMOS!E13</f>
        <v>7.81</v>
      </c>
      <c r="I673" s="536">
        <f>H673*D673</f>
        <v>0.78</v>
      </c>
    </row>
    <row r="674" spans="2:9" ht="15" customHeight="1" x14ac:dyDescent="0.2">
      <c r="B674" s="201" t="s">
        <v>70</v>
      </c>
      <c r="C674" s="27" t="s">
        <v>41</v>
      </c>
      <c r="D674" s="535">
        <v>0.1</v>
      </c>
      <c r="E674" s="25"/>
      <c r="F674" s="25"/>
      <c r="G674" s="25"/>
      <c r="H674" s="535">
        <f>INSUMOS!E21</f>
        <v>10.37</v>
      </c>
      <c r="I674" s="536">
        <f>H674*D674</f>
        <v>1.04</v>
      </c>
    </row>
    <row r="675" spans="2:9" ht="15" customHeight="1" x14ac:dyDescent="0.2">
      <c r="B675" s="753" t="s">
        <v>43</v>
      </c>
      <c r="C675" s="754"/>
      <c r="D675" s="754"/>
      <c r="E675" s="754"/>
      <c r="F675" s="754"/>
      <c r="G675" s="754"/>
      <c r="H675" s="755"/>
      <c r="I675" s="537">
        <f>SUM(I673:I674)</f>
        <v>1.82</v>
      </c>
    </row>
    <row r="676" spans="2:9" ht="15" customHeight="1" x14ac:dyDescent="0.2">
      <c r="B676" s="341" t="s">
        <v>49</v>
      </c>
      <c r="C676" s="20">
        <v>1</v>
      </c>
      <c r="D676" s="782" t="s">
        <v>50</v>
      </c>
      <c r="E676" s="754"/>
      <c r="F676" s="754"/>
      <c r="G676" s="754"/>
      <c r="H676" s="755"/>
      <c r="I676" s="552">
        <f>I675+I670+I666+I660</f>
        <v>9.2899999999999991</v>
      </c>
    </row>
    <row r="677" spans="2:9" ht="15" customHeight="1" x14ac:dyDescent="0.2">
      <c r="B677" s="342"/>
      <c r="C677" s="386"/>
      <c r="D677" s="387"/>
      <c r="E677" s="387"/>
      <c r="F677" s="387"/>
      <c r="G677" s="387"/>
      <c r="H677" s="190"/>
      <c r="I677" s="552">
        <f>I676/C676</f>
        <v>9.2899999999999991</v>
      </c>
    </row>
    <row r="678" spans="2:9" ht="15" customHeight="1" x14ac:dyDescent="0.2">
      <c r="B678" s="342" t="s">
        <v>239</v>
      </c>
      <c r="C678" s="477">
        <f>BDI!C$36</f>
        <v>25</v>
      </c>
      <c r="D678" s="344" t="s">
        <v>103</v>
      </c>
      <c r="E678" s="344"/>
      <c r="F678" s="344"/>
      <c r="G678" s="344"/>
      <c r="H678" s="345"/>
      <c r="I678" s="536">
        <f>C678/100*I677</f>
        <v>2.3199999999999998</v>
      </c>
    </row>
    <row r="679" spans="2:9" ht="15" customHeight="1" thickBot="1" x14ac:dyDescent="0.25">
      <c r="B679" s="783" t="s">
        <v>51</v>
      </c>
      <c r="C679" s="757"/>
      <c r="D679" s="784"/>
      <c r="E679" s="784"/>
      <c r="F679" s="784"/>
      <c r="G679" s="784"/>
      <c r="H679" s="785"/>
      <c r="I679" s="506">
        <f>I677+I678</f>
        <v>11.61</v>
      </c>
    </row>
    <row r="680" spans="2:9" ht="15" customHeight="1" thickBot="1" x14ac:dyDescent="0.25">
      <c r="B680" s="447"/>
      <c r="C680" s="447"/>
      <c r="D680" s="447"/>
      <c r="E680" s="447"/>
      <c r="F680" s="447"/>
      <c r="G680" s="447"/>
      <c r="H680" s="447"/>
      <c r="I680" s="417"/>
    </row>
    <row r="681" spans="2:9" ht="15" customHeight="1" x14ac:dyDescent="0.2">
      <c r="B681" s="530" t="s">
        <v>357</v>
      </c>
      <c r="C681" s="531" t="s">
        <v>541</v>
      </c>
      <c r="D681" s="676" t="s">
        <v>30</v>
      </c>
      <c r="E681" s="677"/>
      <c r="F681" s="677"/>
      <c r="G681" s="677"/>
      <c r="H681" s="677"/>
      <c r="I681" s="678"/>
    </row>
    <row r="682" spans="2:9" ht="15" customHeight="1" x14ac:dyDescent="0.2">
      <c r="B682" s="673" t="s">
        <v>134</v>
      </c>
      <c r="C682" s="674"/>
      <c r="D682" s="674"/>
      <c r="E682" s="674"/>
      <c r="F682" s="674"/>
      <c r="G682" s="675"/>
      <c r="H682" s="670" t="s">
        <v>494</v>
      </c>
      <c r="I682" s="671"/>
    </row>
    <row r="683" spans="2:9" ht="30.75" customHeight="1" x14ac:dyDescent="0.2">
      <c r="B683" s="679" t="s">
        <v>334</v>
      </c>
      <c r="C683" s="680"/>
      <c r="D683" s="680"/>
      <c r="E683" s="680"/>
      <c r="F683" s="680"/>
      <c r="G683" s="681"/>
      <c r="H683" s="12" t="s">
        <v>31</v>
      </c>
      <c r="I683" s="202" t="s">
        <v>142</v>
      </c>
    </row>
    <row r="684" spans="2:9" ht="15" customHeight="1" x14ac:dyDescent="0.2">
      <c r="B684" s="668" t="s">
        <v>32</v>
      </c>
      <c r="C684" s="668"/>
      <c r="D684" s="668"/>
      <c r="E684" s="668"/>
      <c r="F684" s="668"/>
      <c r="G684" s="668"/>
      <c r="H684" s="668"/>
      <c r="I684" s="668"/>
    </row>
    <row r="685" spans="2:9" ht="23.25" customHeight="1" x14ac:dyDescent="0.2">
      <c r="B685" s="13" t="s">
        <v>33</v>
      </c>
      <c r="C685" s="62" t="s">
        <v>5</v>
      </c>
      <c r="D685" s="14" t="s">
        <v>6</v>
      </c>
      <c r="E685" s="14" t="s">
        <v>35</v>
      </c>
      <c r="F685" s="14" t="s">
        <v>36</v>
      </c>
      <c r="G685" s="14" t="s">
        <v>37</v>
      </c>
      <c r="H685" s="14" t="s">
        <v>38</v>
      </c>
      <c r="I685" s="203" t="s">
        <v>39</v>
      </c>
    </row>
    <row r="686" spans="2:9" ht="15" customHeight="1" x14ac:dyDescent="0.2">
      <c r="B686" s="319"/>
      <c r="C686" s="34"/>
      <c r="D686" s="54"/>
      <c r="E686" s="24"/>
      <c r="F686" s="24"/>
      <c r="G686" s="24"/>
      <c r="H686" s="24"/>
      <c r="I686" s="36"/>
    </row>
    <row r="687" spans="2:9" ht="15" customHeight="1" x14ac:dyDescent="0.2">
      <c r="B687" s="669" t="s">
        <v>43</v>
      </c>
      <c r="C687" s="669"/>
      <c r="D687" s="669"/>
      <c r="E687" s="669"/>
      <c r="F687" s="669"/>
      <c r="G687" s="669"/>
      <c r="H687" s="669"/>
      <c r="I687" s="335"/>
    </row>
    <row r="688" spans="2:9" ht="15" customHeight="1" x14ac:dyDescent="0.2">
      <c r="B688" s="668" t="s">
        <v>44</v>
      </c>
      <c r="C688" s="668"/>
      <c r="D688" s="668"/>
      <c r="E688" s="668"/>
      <c r="F688" s="668"/>
      <c r="G688" s="668"/>
      <c r="H688" s="668"/>
      <c r="I688" s="668"/>
    </row>
    <row r="689" spans="2:9" ht="15" customHeight="1" x14ac:dyDescent="0.2">
      <c r="B689" s="353" t="s">
        <v>33</v>
      </c>
      <c r="C689" s="352" t="s">
        <v>5</v>
      </c>
      <c r="D689" s="24" t="s">
        <v>6</v>
      </c>
      <c r="E689" s="25"/>
      <c r="F689" s="25"/>
      <c r="G689" s="25"/>
      <c r="H689" s="24" t="s">
        <v>45</v>
      </c>
      <c r="I689" s="36" t="s">
        <v>39</v>
      </c>
    </row>
    <row r="690" spans="2:9" ht="15" customHeight="1" x14ac:dyDescent="0.2">
      <c r="B690" s="319" t="s">
        <v>216</v>
      </c>
      <c r="C690" s="59" t="s">
        <v>142</v>
      </c>
      <c r="D690" s="539">
        <v>1</v>
      </c>
      <c r="E690" s="21"/>
      <c r="F690" s="21"/>
      <c r="G690" s="21"/>
      <c r="H690" s="535">
        <f>INSUMOS!E63</f>
        <v>1536.44</v>
      </c>
      <c r="I690" s="536">
        <f>H690*D690</f>
        <v>1536.44</v>
      </c>
    </row>
    <row r="691" spans="2:9" ht="24.75" customHeight="1" x14ac:dyDescent="0.2">
      <c r="B691" s="204" t="s">
        <v>224</v>
      </c>
      <c r="C691" s="20" t="s">
        <v>142</v>
      </c>
      <c r="D691" s="539">
        <v>1</v>
      </c>
      <c r="E691" s="21"/>
      <c r="F691" s="21"/>
      <c r="G691" s="21"/>
      <c r="H691" s="535">
        <f>INSUMOS!E51</f>
        <v>15.58</v>
      </c>
      <c r="I691" s="536">
        <f t="shared" ref="I691:I697" si="3">H691*D691</f>
        <v>15.58</v>
      </c>
    </row>
    <row r="692" spans="2:9" ht="22.5" customHeight="1" x14ac:dyDescent="0.2">
      <c r="B692" s="204" t="s">
        <v>225</v>
      </c>
      <c r="C692" s="20" t="s">
        <v>142</v>
      </c>
      <c r="D692" s="539">
        <v>3</v>
      </c>
      <c r="E692" s="21"/>
      <c r="F692" s="21"/>
      <c r="G692" s="21"/>
      <c r="H692" s="535">
        <f>INSUMOS!E98</f>
        <v>11.2</v>
      </c>
      <c r="I692" s="536">
        <f t="shared" si="3"/>
        <v>33.6</v>
      </c>
    </row>
    <row r="693" spans="2:9" ht="27.75" customHeight="1" x14ac:dyDescent="0.2">
      <c r="B693" s="204" t="s">
        <v>226</v>
      </c>
      <c r="C693" s="20" t="s">
        <v>142</v>
      </c>
      <c r="D693" s="539">
        <v>1</v>
      </c>
      <c r="E693" s="21"/>
      <c r="F693" s="21"/>
      <c r="G693" s="21"/>
      <c r="H693" s="535">
        <f>INSUMOS!E99</f>
        <v>30.99</v>
      </c>
      <c r="I693" s="536">
        <f t="shared" si="3"/>
        <v>30.99</v>
      </c>
    </row>
    <row r="694" spans="2:9" ht="15" customHeight="1" x14ac:dyDescent="0.2">
      <c r="B694" s="204" t="s">
        <v>227</v>
      </c>
      <c r="C694" s="20" t="s">
        <v>142</v>
      </c>
      <c r="D694" s="539">
        <v>1</v>
      </c>
      <c r="E694" s="21"/>
      <c r="F694" s="21"/>
      <c r="G694" s="21"/>
      <c r="H694" s="535">
        <f>INSUMOS!E100</f>
        <v>12.24</v>
      </c>
      <c r="I694" s="536">
        <f t="shared" si="3"/>
        <v>12.24</v>
      </c>
    </row>
    <row r="695" spans="2:9" ht="15" customHeight="1" x14ac:dyDescent="0.2">
      <c r="B695" s="204" t="s">
        <v>228</v>
      </c>
      <c r="C695" s="20" t="s">
        <v>142</v>
      </c>
      <c r="D695" s="539">
        <v>1</v>
      </c>
      <c r="E695" s="21"/>
      <c r="F695" s="21"/>
      <c r="G695" s="21"/>
      <c r="H695" s="535">
        <f>INSUMOS!E101</f>
        <v>7.54</v>
      </c>
      <c r="I695" s="536">
        <f t="shared" si="3"/>
        <v>7.54</v>
      </c>
    </row>
    <row r="696" spans="2:9" ht="27" customHeight="1" x14ac:dyDescent="0.2">
      <c r="B696" s="204" t="s">
        <v>229</v>
      </c>
      <c r="C696" s="20" t="s">
        <v>142</v>
      </c>
      <c r="D696" s="539">
        <v>1</v>
      </c>
      <c r="E696" s="21"/>
      <c r="F696" s="21"/>
      <c r="G696" s="21"/>
      <c r="H696" s="535">
        <f>INSUMOS!E102</f>
        <v>16.75</v>
      </c>
      <c r="I696" s="536">
        <f t="shared" si="3"/>
        <v>16.75</v>
      </c>
    </row>
    <row r="697" spans="2:9" ht="15" customHeight="1" x14ac:dyDescent="0.2">
      <c r="B697" s="35" t="s">
        <v>84</v>
      </c>
      <c r="C697" s="20" t="s">
        <v>142</v>
      </c>
      <c r="D697" s="539">
        <v>2</v>
      </c>
      <c r="E697" s="21"/>
      <c r="F697" s="21"/>
      <c r="G697" s="21"/>
      <c r="H697" s="535">
        <f>INSUMOS!E50</f>
        <v>16.55</v>
      </c>
      <c r="I697" s="536">
        <f t="shared" si="3"/>
        <v>33.1</v>
      </c>
    </row>
    <row r="698" spans="2:9" ht="15" customHeight="1" x14ac:dyDescent="0.2">
      <c r="B698" s="204" t="s">
        <v>230</v>
      </c>
      <c r="C698" s="20" t="s">
        <v>19</v>
      </c>
      <c r="D698" s="539">
        <v>4</v>
      </c>
      <c r="E698" s="21"/>
      <c r="F698" s="21"/>
      <c r="G698" s="21"/>
      <c r="H698" s="535">
        <f>INSUMOS!E32</f>
        <v>5.64</v>
      </c>
      <c r="I698" s="536">
        <f>H698*D698</f>
        <v>22.56</v>
      </c>
    </row>
    <row r="699" spans="2:9" ht="15" customHeight="1" x14ac:dyDescent="0.2">
      <c r="B699" s="710" t="s">
        <v>43</v>
      </c>
      <c r="C699" s="710"/>
      <c r="D699" s="710"/>
      <c r="E699" s="710"/>
      <c r="F699" s="710"/>
      <c r="G699" s="710"/>
      <c r="H699" s="710"/>
      <c r="I699" s="536">
        <f>SUM(I690:I698)</f>
        <v>1708.8</v>
      </c>
    </row>
    <row r="700" spans="2:9" ht="15" customHeight="1" x14ac:dyDescent="0.2">
      <c r="B700" s="668" t="s">
        <v>46</v>
      </c>
      <c r="C700" s="668"/>
      <c r="D700" s="668"/>
      <c r="E700" s="668"/>
      <c r="F700" s="668"/>
      <c r="G700" s="668"/>
      <c r="H700" s="668"/>
      <c r="I700" s="668"/>
    </row>
    <row r="701" spans="2:9" ht="15" customHeight="1" x14ac:dyDescent="0.2">
      <c r="B701" s="17" t="s">
        <v>33</v>
      </c>
      <c r="C701" s="26" t="s">
        <v>5</v>
      </c>
      <c r="D701" s="18" t="s">
        <v>6</v>
      </c>
      <c r="E701" s="192"/>
      <c r="F701" s="192"/>
      <c r="G701" s="192"/>
      <c r="H701" s="18" t="s">
        <v>45</v>
      </c>
      <c r="I701" s="36" t="s">
        <v>39</v>
      </c>
    </row>
    <row r="702" spans="2:9" ht="15" customHeight="1" x14ac:dyDescent="0.2">
      <c r="B702" s="319"/>
      <c r="C702" s="20"/>
      <c r="D702" s="20"/>
      <c r="E702" s="21"/>
      <c r="F702" s="21"/>
      <c r="G702" s="21"/>
      <c r="H702" s="20"/>
      <c r="I702" s="30"/>
    </row>
    <row r="703" spans="2:9" ht="15" customHeight="1" x14ac:dyDescent="0.2">
      <c r="B703" s="669" t="s">
        <v>43</v>
      </c>
      <c r="C703" s="669"/>
      <c r="D703" s="669"/>
      <c r="E703" s="669"/>
      <c r="F703" s="669"/>
      <c r="G703" s="669"/>
      <c r="H703" s="669"/>
      <c r="I703" s="30"/>
    </row>
    <row r="704" spans="2:9" ht="15" customHeight="1" x14ac:dyDescent="0.2">
      <c r="B704" s="668" t="s">
        <v>47</v>
      </c>
      <c r="C704" s="668"/>
      <c r="D704" s="668"/>
      <c r="E704" s="668"/>
      <c r="F704" s="668"/>
      <c r="G704" s="668"/>
      <c r="H704" s="668"/>
      <c r="I704" s="668"/>
    </row>
    <row r="705" spans="2:9" ht="15" customHeight="1" x14ac:dyDescent="0.2">
      <c r="B705" s="353" t="s">
        <v>33</v>
      </c>
      <c r="C705" s="352" t="s">
        <v>5</v>
      </c>
      <c r="D705" s="354" t="s">
        <v>6</v>
      </c>
      <c r="E705" s="25"/>
      <c r="F705" s="25"/>
      <c r="G705" s="25"/>
      <c r="H705" s="24" t="s">
        <v>45</v>
      </c>
      <c r="I705" s="36" t="s">
        <v>39</v>
      </c>
    </row>
    <row r="706" spans="2:9" ht="15" customHeight="1" x14ac:dyDescent="0.2">
      <c r="B706" s="35" t="s">
        <v>48</v>
      </c>
      <c r="C706" s="27" t="s">
        <v>41</v>
      </c>
      <c r="D706" s="535">
        <v>5</v>
      </c>
      <c r="E706" s="21"/>
      <c r="F706" s="21"/>
      <c r="G706" s="21"/>
      <c r="H706" s="535">
        <f>INSUMOS!E13</f>
        <v>7.81</v>
      </c>
      <c r="I706" s="536">
        <f>H706*D706</f>
        <v>39.049999999999997</v>
      </c>
    </row>
    <row r="707" spans="2:9" ht="15" customHeight="1" x14ac:dyDescent="0.2">
      <c r="B707" s="201" t="s">
        <v>70</v>
      </c>
      <c r="C707" s="27" t="s">
        <v>41</v>
      </c>
      <c r="D707" s="535">
        <v>5</v>
      </c>
      <c r="E707" s="21"/>
      <c r="F707" s="21"/>
      <c r="G707" s="21"/>
      <c r="H707" s="535">
        <f>INSUMOS!E21</f>
        <v>10.37</v>
      </c>
      <c r="I707" s="536">
        <f>H707*D707</f>
        <v>51.85</v>
      </c>
    </row>
    <row r="708" spans="2:9" ht="15" customHeight="1" x14ac:dyDescent="0.2">
      <c r="B708" s="669" t="s">
        <v>43</v>
      </c>
      <c r="C708" s="669"/>
      <c r="D708" s="669"/>
      <c r="E708" s="669"/>
      <c r="F708" s="669"/>
      <c r="G708" s="669"/>
      <c r="H708" s="669"/>
      <c r="I708" s="537">
        <f>SUM(I706:I707)</f>
        <v>90.9</v>
      </c>
    </row>
    <row r="709" spans="2:9" ht="15" customHeight="1" x14ac:dyDescent="0.2">
      <c r="B709" s="346" t="s">
        <v>49</v>
      </c>
      <c r="C709" s="271">
        <v>1</v>
      </c>
      <c r="D709" s="654" t="s">
        <v>50</v>
      </c>
      <c r="E709" s="655"/>
      <c r="F709" s="655"/>
      <c r="G709" s="655"/>
      <c r="H709" s="656"/>
      <c r="I709" s="537">
        <f>I687+I699+I703+I708</f>
        <v>1799.7</v>
      </c>
    </row>
    <row r="710" spans="2:9" ht="15" customHeight="1" x14ac:dyDescent="0.2">
      <c r="B710" s="665"/>
      <c r="C710" s="666"/>
      <c r="D710" s="666"/>
      <c r="E710" s="666"/>
      <c r="F710" s="666"/>
      <c r="G710" s="666"/>
      <c r="H710" s="667"/>
      <c r="I710" s="537">
        <f>I709/C709</f>
        <v>1799.7</v>
      </c>
    </row>
    <row r="711" spans="2:9" ht="15" customHeight="1" x14ac:dyDescent="0.2">
      <c r="B711" s="342" t="s">
        <v>135</v>
      </c>
      <c r="C711" s="477">
        <f>BDI!C$36</f>
        <v>25</v>
      </c>
      <c r="D711" s="343" t="s">
        <v>103</v>
      </c>
      <c r="E711" s="344"/>
      <c r="F711" s="344"/>
      <c r="G711" s="344"/>
      <c r="H711" s="345"/>
      <c r="I711" s="536">
        <f>C711/100*I710</f>
        <v>449.93</v>
      </c>
    </row>
    <row r="712" spans="2:9" ht="15" customHeight="1" thickBot="1" x14ac:dyDescent="0.25">
      <c r="B712" s="657" t="s">
        <v>51</v>
      </c>
      <c r="C712" s="657"/>
      <c r="D712" s="657"/>
      <c r="E712" s="657"/>
      <c r="F712" s="657"/>
      <c r="G712" s="657"/>
      <c r="H712" s="657"/>
      <c r="I712" s="506">
        <f>SUM(I710:I711)</f>
        <v>2249.63</v>
      </c>
    </row>
    <row r="713" spans="2:9" ht="29.25" customHeight="1" x14ac:dyDescent="0.2">
      <c r="B713" s="530" t="s">
        <v>357</v>
      </c>
      <c r="C713" s="532" t="s">
        <v>542</v>
      </c>
      <c r="D713" s="685" t="s">
        <v>30</v>
      </c>
      <c r="E713" s="685"/>
      <c r="F713" s="685"/>
      <c r="G713" s="685"/>
      <c r="H713" s="685"/>
      <c r="I713" s="685"/>
    </row>
    <row r="714" spans="2:9" ht="15" customHeight="1" x14ac:dyDescent="0.2">
      <c r="B714" s="673" t="s">
        <v>134</v>
      </c>
      <c r="C714" s="674"/>
      <c r="D714" s="674"/>
      <c r="E714" s="674"/>
      <c r="F714" s="674"/>
      <c r="G714" s="675"/>
      <c r="H714" s="670" t="s">
        <v>494</v>
      </c>
      <c r="I714" s="671"/>
    </row>
    <row r="715" spans="2:9" ht="29.25" customHeight="1" x14ac:dyDescent="0.2">
      <c r="B715" s="721" t="s">
        <v>335</v>
      </c>
      <c r="C715" s="721"/>
      <c r="D715" s="721"/>
      <c r="E715" s="721"/>
      <c r="F715" s="721"/>
      <c r="G715" s="721"/>
      <c r="H715" s="12" t="s">
        <v>31</v>
      </c>
      <c r="I715" s="202" t="s">
        <v>19</v>
      </c>
    </row>
    <row r="716" spans="2:9" ht="15" customHeight="1" x14ac:dyDescent="0.2">
      <c r="B716" s="668" t="s">
        <v>32</v>
      </c>
      <c r="C716" s="668"/>
      <c r="D716" s="668"/>
      <c r="E716" s="668"/>
      <c r="F716" s="668"/>
      <c r="G716" s="668"/>
      <c r="H716" s="668"/>
      <c r="I716" s="668"/>
    </row>
    <row r="717" spans="2:9" ht="28.5" customHeight="1" x14ac:dyDescent="0.2">
      <c r="B717" s="13" t="s">
        <v>33</v>
      </c>
      <c r="C717" s="62" t="s">
        <v>5</v>
      </c>
      <c r="D717" s="14" t="s">
        <v>6</v>
      </c>
      <c r="E717" s="14" t="s">
        <v>35</v>
      </c>
      <c r="F717" s="14" t="s">
        <v>36</v>
      </c>
      <c r="G717" s="14" t="s">
        <v>37</v>
      </c>
      <c r="H717" s="14" t="s">
        <v>38</v>
      </c>
      <c r="I717" s="15" t="s">
        <v>39</v>
      </c>
    </row>
    <row r="718" spans="2:9" ht="15" customHeight="1" x14ac:dyDescent="0.2">
      <c r="B718" s="319"/>
      <c r="C718" s="34"/>
      <c r="D718" s="54"/>
      <c r="E718" s="24"/>
      <c r="F718" s="24"/>
      <c r="G718" s="24"/>
      <c r="H718" s="24"/>
      <c r="I718" s="36"/>
    </row>
    <row r="719" spans="2:9" ht="15" customHeight="1" x14ac:dyDescent="0.2">
      <c r="B719" s="669" t="s">
        <v>43</v>
      </c>
      <c r="C719" s="669"/>
      <c r="D719" s="669"/>
      <c r="E719" s="669"/>
      <c r="F719" s="669"/>
      <c r="G719" s="669"/>
      <c r="H719" s="669"/>
      <c r="I719" s="335"/>
    </row>
    <row r="720" spans="2:9" ht="15" customHeight="1" x14ac:dyDescent="0.2">
      <c r="B720" s="668" t="s">
        <v>44</v>
      </c>
      <c r="C720" s="668"/>
      <c r="D720" s="668"/>
      <c r="E720" s="668"/>
      <c r="F720" s="668"/>
      <c r="G720" s="668"/>
      <c r="H720" s="668"/>
      <c r="I720" s="668"/>
    </row>
    <row r="721" spans="2:9" ht="15" customHeight="1" x14ac:dyDescent="0.2">
      <c r="B721" s="353" t="s">
        <v>33</v>
      </c>
      <c r="C721" s="352" t="s">
        <v>5</v>
      </c>
      <c r="D721" s="24" t="s">
        <v>6</v>
      </c>
      <c r="E721" s="25"/>
      <c r="F721" s="25"/>
      <c r="G721" s="25"/>
      <c r="H721" s="24" t="s">
        <v>45</v>
      </c>
      <c r="I721" s="36" t="s">
        <v>39</v>
      </c>
    </row>
    <row r="722" spans="2:9" ht="30.75" customHeight="1" x14ac:dyDescent="0.2">
      <c r="B722" s="45" t="s">
        <v>336</v>
      </c>
      <c r="C722" s="20" t="s">
        <v>23</v>
      </c>
      <c r="D722" s="580">
        <f>0.028/2</f>
        <v>1.4E-2</v>
      </c>
      <c r="E722" s="21"/>
      <c r="F722" s="21"/>
      <c r="G722" s="21"/>
      <c r="H722" s="535">
        <f>INSUMOS!E45</f>
        <v>32.4</v>
      </c>
      <c r="I722" s="536">
        <f>H722*D722</f>
        <v>0.45</v>
      </c>
    </row>
    <row r="723" spans="2:9" ht="37.5" customHeight="1" x14ac:dyDescent="0.2">
      <c r="B723" s="45" t="s">
        <v>349</v>
      </c>
      <c r="C723" s="28" t="s">
        <v>142</v>
      </c>
      <c r="D723" s="539">
        <v>0.66</v>
      </c>
      <c r="E723" s="21"/>
      <c r="F723" s="21"/>
      <c r="G723" s="21"/>
      <c r="H723" s="535">
        <f>INSUMOS!E46</f>
        <v>32.17</v>
      </c>
      <c r="I723" s="536">
        <f t="shared" ref="I723:I728" si="4">H723*D723</f>
        <v>21.23</v>
      </c>
    </row>
    <row r="724" spans="2:9" ht="15" customHeight="1" x14ac:dyDescent="0.2">
      <c r="B724" s="319" t="s">
        <v>337</v>
      </c>
      <c r="C724" s="20" t="s">
        <v>19</v>
      </c>
      <c r="D724" s="539">
        <v>10.28</v>
      </c>
      <c r="E724" s="21"/>
      <c r="F724" s="21"/>
      <c r="G724" s="21"/>
      <c r="H724" s="535">
        <f>INSUMOS!E47</f>
        <v>0.7</v>
      </c>
      <c r="I724" s="536">
        <f t="shared" si="4"/>
        <v>7.2</v>
      </c>
    </row>
    <row r="725" spans="2:9" ht="15" customHeight="1" x14ac:dyDescent="0.2">
      <c r="B725" s="408" t="s">
        <v>345</v>
      </c>
      <c r="C725" s="20" t="s">
        <v>19</v>
      </c>
      <c r="D725" s="539">
        <v>0.11</v>
      </c>
      <c r="E725" s="21"/>
      <c r="F725" s="21"/>
      <c r="G725" s="21"/>
      <c r="H725" s="535">
        <f>INSUMOS!E108*0.01666</f>
        <v>0.18</v>
      </c>
      <c r="I725" s="536">
        <f t="shared" si="4"/>
        <v>0.02</v>
      </c>
    </row>
    <row r="726" spans="2:9" ht="15" customHeight="1" x14ac:dyDescent="0.2">
      <c r="B726" s="409" t="s">
        <v>338</v>
      </c>
      <c r="C726" s="20" t="s">
        <v>23</v>
      </c>
      <c r="D726" s="539">
        <v>0.01</v>
      </c>
      <c r="E726" s="21"/>
      <c r="F726" s="21"/>
      <c r="G726" s="20"/>
      <c r="H726" s="535">
        <f>INSUMOS!E37</f>
        <v>59</v>
      </c>
      <c r="I726" s="536">
        <f t="shared" si="4"/>
        <v>0.59</v>
      </c>
    </row>
    <row r="727" spans="2:9" ht="15" customHeight="1" x14ac:dyDescent="0.2">
      <c r="B727" s="409" t="s">
        <v>339</v>
      </c>
      <c r="C727" s="20" t="s">
        <v>87</v>
      </c>
      <c r="D727" s="539">
        <v>1.8</v>
      </c>
      <c r="E727" s="21"/>
      <c r="F727" s="21"/>
      <c r="G727" s="20"/>
      <c r="H727" s="535">
        <f>INSUMOS!E34</f>
        <v>0.5</v>
      </c>
      <c r="I727" s="536">
        <f t="shared" si="4"/>
        <v>0.9</v>
      </c>
    </row>
    <row r="728" spans="2:9" ht="15" customHeight="1" x14ac:dyDescent="0.2">
      <c r="B728" s="35" t="s">
        <v>340</v>
      </c>
      <c r="C728" s="20" t="s">
        <v>23</v>
      </c>
      <c r="D728" s="539">
        <v>0.01</v>
      </c>
      <c r="E728" s="21"/>
      <c r="F728" s="21"/>
      <c r="G728" s="21"/>
      <c r="H728" s="535">
        <f>INSUMOS!E35</f>
        <v>62</v>
      </c>
      <c r="I728" s="536">
        <f t="shared" si="4"/>
        <v>0.62</v>
      </c>
    </row>
    <row r="729" spans="2:9" ht="15" customHeight="1" x14ac:dyDescent="0.2">
      <c r="B729" s="669" t="s">
        <v>43</v>
      </c>
      <c r="C729" s="669"/>
      <c r="D729" s="669"/>
      <c r="E729" s="669"/>
      <c r="F729" s="669"/>
      <c r="G729" s="669"/>
      <c r="H729" s="669"/>
      <c r="I729" s="536">
        <f>SUM(I722:I728)</f>
        <v>31.01</v>
      </c>
    </row>
    <row r="730" spans="2:9" ht="15" customHeight="1" x14ac:dyDescent="0.2">
      <c r="B730" s="668" t="s">
        <v>46</v>
      </c>
      <c r="C730" s="668"/>
      <c r="D730" s="668"/>
      <c r="E730" s="668"/>
      <c r="F730" s="668"/>
      <c r="G730" s="668"/>
      <c r="H730" s="668"/>
      <c r="I730" s="668"/>
    </row>
    <row r="731" spans="2:9" ht="15" customHeight="1" x14ac:dyDescent="0.2">
      <c r="B731" s="339" t="s">
        <v>33</v>
      </c>
      <c r="C731" s="27" t="s">
        <v>5</v>
      </c>
      <c r="D731" s="20" t="s">
        <v>6</v>
      </c>
      <c r="E731" s="21"/>
      <c r="F731" s="21"/>
      <c r="G731" s="21"/>
      <c r="H731" s="20" t="s">
        <v>45</v>
      </c>
      <c r="I731" s="36" t="s">
        <v>39</v>
      </c>
    </row>
    <row r="732" spans="2:9" ht="15" customHeight="1" x14ac:dyDescent="0.2">
      <c r="B732" s="319"/>
      <c r="C732" s="20"/>
      <c r="D732" s="20"/>
      <c r="E732" s="21"/>
      <c r="F732" s="21"/>
      <c r="G732" s="21"/>
      <c r="H732" s="20"/>
      <c r="I732" s="30"/>
    </row>
    <row r="733" spans="2:9" ht="15" customHeight="1" x14ac:dyDescent="0.2">
      <c r="B733" s="669" t="s">
        <v>43</v>
      </c>
      <c r="C733" s="669"/>
      <c r="D733" s="669"/>
      <c r="E733" s="669"/>
      <c r="F733" s="669"/>
      <c r="G733" s="669"/>
      <c r="H733" s="669"/>
      <c r="I733" s="30"/>
    </row>
    <row r="734" spans="2:9" ht="15" customHeight="1" x14ac:dyDescent="0.2">
      <c r="B734" s="668" t="s">
        <v>47</v>
      </c>
      <c r="C734" s="668"/>
      <c r="D734" s="668"/>
      <c r="E734" s="668"/>
      <c r="F734" s="668"/>
      <c r="G734" s="668"/>
      <c r="H734" s="668"/>
      <c r="I734" s="668"/>
    </row>
    <row r="735" spans="2:9" ht="15" customHeight="1" x14ac:dyDescent="0.2">
      <c r="B735" s="353" t="s">
        <v>33</v>
      </c>
      <c r="C735" s="352" t="s">
        <v>5</v>
      </c>
      <c r="D735" s="354" t="s">
        <v>6</v>
      </c>
      <c r="E735" s="25"/>
      <c r="F735" s="25"/>
      <c r="G735" s="25"/>
      <c r="H735" s="24" t="s">
        <v>45</v>
      </c>
      <c r="I735" s="36" t="s">
        <v>39</v>
      </c>
    </row>
    <row r="736" spans="2:9" ht="15" customHeight="1" x14ac:dyDescent="0.2">
      <c r="B736" s="35" t="s">
        <v>48</v>
      </c>
      <c r="C736" s="347" t="s">
        <v>41</v>
      </c>
      <c r="D736" s="556">
        <v>0.38</v>
      </c>
      <c r="E736" s="25"/>
      <c r="F736" s="25"/>
      <c r="G736" s="25"/>
      <c r="H736" s="556">
        <f>INSUMOS!E13</f>
        <v>7.81</v>
      </c>
      <c r="I736" s="555">
        <f>H736*D736</f>
        <v>2.97</v>
      </c>
    </row>
    <row r="737" spans="2:9" ht="15" customHeight="1" x14ac:dyDescent="0.2">
      <c r="B737" s="410" t="s">
        <v>83</v>
      </c>
      <c r="C737" s="347" t="s">
        <v>41</v>
      </c>
      <c r="D737" s="556">
        <v>0.4</v>
      </c>
      <c r="E737" s="25"/>
      <c r="F737" s="25"/>
      <c r="G737" s="25"/>
      <c r="H737" s="556">
        <f>INSUMOS!E17</f>
        <v>10.37</v>
      </c>
      <c r="I737" s="555">
        <f>H737*D737</f>
        <v>4.1500000000000004</v>
      </c>
    </row>
    <row r="738" spans="2:9" ht="15" customHeight="1" x14ac:dyDescent="0.2">
      <c r="B738" s="669" t="s">
        <v>43</v>
      </c>
      <c r="C738" s="669"/>
      <c r="D738" s="669"/>
      <c r="E738" s="669"/>
      <c r="F738" s="669"/>
      <c r="G738" s="669"/>
      <c r="H738" s="669"/>
      <c r="I738" s="552">
        <f>SUM(I736:I737)</f>
        <v>7.12</v>
      </c>
    </row>
    <row r="739" spans="2:9" ht="15" customHeight="1" x14ac:dyDescent="0.2">
      <c r="B739" s="346" t="s">
        <v>49</v>
      </c>
      <c r="C739" s="271">
        <v>1</v>
      </c>
      <c r="D739" s="654" t="s">
        <v>50</v>
      </c>
      <c r="E739" s="655"/>
      <c r="F739" s="655"/>
      <c r="G739" s="655"/>
      <c r="H739" s="656"/>
      <c r="I739" s="552">
        <f>I719+I729+I733+I738</f>
        <v>38.130000000000003</v>
      </c>
    </row>
    <row r="740" spans="2:9" ht="15" customHeight="1" x14ac:dyDescent="0.2">
      <c r="B740" s="665"/>
      <c r="C740" s="666"/>
      <c r="D740" s="666"/>
      <c r="E740" s="666"/>
      <c r="F740" s="666"/>
      <c r="G740" s="666"/>
      <c r="H740" s="667"/>
      <c r="I740" s="552">
        <f>I739/C739</f>
        <v>38.130000000000003</v>
      </c>
    </row>
    <row r="741" spans="2:9" ht="15" customHeight="1" x14ac:dyDescent="0.2">
      <c r="B741" s="342" t="s">
        <v>135</v>
      </c>
      <c r="C741" s="477">
        <f>BDI!C$36</f>
        <v>25</v>
      </c>
      <c r="D741" s="343" t="s">
        <v>103</v>
      </c>
      <c r="E741" s="344"/>
      <c r="F741" s="344"/>
      <c r="G741" s="344"/>
      <c r="H741" s="345"/>
      <c r="I741" s="536">
        <f>C741/100*I740</f>
        <v>9.5299999999999994</v>
      </c>
    </row>
    <row r="742" spans="2:9" ht="15" customHeight="1" thickBot="1" x14ac:dyDescent="0.25">
      <c r="B742" s="657" t="s">
        <v>51</v>
      </c>
      <c r="C742" s="657"/>
      <c r="D742" s="657"/>
      <c r="E742" s="657"/>
      <c r="F742" s="657"/>
      <c r="G742" s="657"/>
      <c r="H742" s="657"/>
      <c r="I742" s="506">
        <f>SUM(I740:I741)</f>
        <v>47.66</v>
      </c>
    </row>
    <row r="743" spans="2:9" ht="15" customHeight="1" thickBot="1" x14ac:dyDescent="0.25"/>
    <row r="744" spans="2:9" ht="30.75" customHeight="1" x14ac:dyDescent="0.2">
      <c r="B744" s="530" t="s">
        <v>357</v>
      </c>
      <c r="C744" s="532" t="s">
        <v>543</v>
      </c>
      <c r="D744" s="759" t="s">
        <v>30</v>
      </c>
      <c r="E744" s="759"/>
      <c r="F744" s="759"/>
      <c r="G744" s="759"/>
      <c r="H744" s="759"/>
      <c r="I744" s="760"/>
    </row>
    <row r="745" spans="2:9" ht="15" customHeight="1" x14ac:dyDescent="0.2">
      <c r="B745" s="673" t="s">
        <v>134</v>
      </c>
      <c r="C745" s="674"/>
      <c r="D745" s="674"/>
      <c r="E745" s="674"/>
      <c r="F745" s="674"/>
      <c r="G745" s="675"/>
      <c r="H745" s="670" t="s">
        <v>494</v>
      </c>
      <c r="I745" s="671"/>
    </row>
    <row r="746" spans="2:9" ht="29.25" customHeight="1" x14ac:dyDescent="0.2">
      <c r="B746" s="761" t="s">
        <v>341</v>
      </c>
      <c r="C746" s="762"/>
      <c r="D746" s="762"/>
      <c r="E746" s="762"/>
      <c r="F746" s="762"/>
      <c r="G746" s="763"/>
      <c r="H746" s="283" t="s">
        <v>31</v>
      </c>
      <c r="I746" s="284" t="s">
        <v>142</v>
      </c>
    </row>
    <row r="747" spans="2:9" ht="15" customHeight="1" x14ac:dyDescent="0.2">
      <c r="B747" s="689" t="s">
        <v>32</v>
      </c>
      <c r="C747" s="690"/>
      <c r="D747" s="690"/>
      <c r="E747" s="690"/>
      <c r="F747" s="690"/>
      <c r="G747" s="690"/>
      <c r="H747" s="690"/>
      <c r="I747" s="691"/>
    </row>
    <row r="748" spans="2:9" ht="23.25" customHeight="1" x14ac:dyDescent="0.2">
      <c r="B748" s="285" t="s">
        <v>33</v>
      </c>
      <c r="C748" s="14" t="s">
        <v>34</v>
      </c>
      <c r="D748" s="286" t="s">
        <v>6</v>
      </c>
      <c r="E748" s="287" t="s">
        <v>35</v>
      </c>
      <c r="F748" s="287" t="s">
        <v>36</v>
      </c>
      <c r="G748" s="288" t="s">
        <v>37</v>
      </c>
      <c r="H748" s="288" t="s">
        <v>38</v>
      </c>
      <c r="I748" s="289" t="s">
        <v>39</v>
      </c>
    </row>
    <row r="749" spans="2:9" ht="15" customHeight="1" x14ac:dyDescent="0.2">
      <c r="B749" s="109"/>
      <c r="C749" s="198"/>
      <c r="D749" s="290"/>
      <c r="E749" s="291"/>
      <c r="F749" s="292"/>
      <c r="G749" s="293"/>
      <c r="H749" s="294"/>
      <c r="I749" s="293"/>
    </row>
    <row r="750" spans="2:9" ht="15" customHeight="1" x14ac:dyDescent="0.2">
      <c r="B750" s="764" t="s">
        <v>43</v>
      </c>
      <c r="C750" s="765"/>
      <c r="D750" s="765"/>
      <c r="E750" s="765"/>
      <c r="F750" s="765"/>
      <c r="G750" s="765"/>
      <c r="H750" s="765"/>
      <c r="I750" s="295"/>
    </row>
    <row r="751" spans="2:9" ht="15" customHeight="1" x14ac:dyDescent="0.2">
      <c r="B751" s="689" t="s">
        <v>44</v>
      </c>
      <c r="C751" s="690"/>
      <c r="D751" s="690"/>
      <c r="E751" s="690"/>
      <c r="F751" s="690"/>
      <c r="G751" s="690"/>
      <c r="H751" s="690"/>
      <c r="I751" s="691"/>
    </row>
    <row r="752" spans="2:9" ht="15" customHeight="1" x14ac:dyDescent="0.2">
      <c r="B752" s="296" t="s">
        <v>33</v>
      </c>
      <c r="C752" s="337" t="s">
        <v>34</v>
      </c>
      <c r="D752" s="297" t="s">
        <v>6</v>
      </c>
      <c r="E752" s="298"/>
      <c r="F752" s="298"/>
      <c r="G752" s="298"/>
      <c r="H752" s="198" t="s">
        <v>45</v>
      </c>
      <c r="I752" s="299" t="s">
        <v>39</v>
      </c>
    </row>
    <row r="753" spans="2:9" ht="15" customHeight="1" x14ac:dyDescent="0.2">
      <c r="B753" s="109" t="s">
        <v>159</v>
      </c>
      <c r="C753" s="59" t="s">
        <v>53</v>
      </c>
      <c r="D753" s="572">
        <v>17</v>
      </c>
      <c r="E753" s="301"/>
      <c r="F753" s="301"/>
      <c r="G753" s="301"/>
      <c r="H753" s="500">
        <f>INSUMOS!E79</f>
        <v>4.5</v>
      </c>
      <c r="I753" s="501">
        <f>D753*H753</f>
        <v>76.5</v>
      </c>
    </row>
    <row r="754" spans="2:9" ht="15" customHeight="1" x14ac:dyDescent="0.2">
      <c r="B754" s="303" t="s">
        <v>160</v>
      </c>
      <c r="C754" s="110" t="s">
        <v>19</v>
      </c>
      <c r="D754" s="573">
        <v>7.4</v>
      </c>
      <c r="E754" s="304"/>
      <c r="F754" s="304"/>
      <c r="G754" s="304"/>
      <c r="H754" s="500">
        <f>INSUMOS!E80</f>
        <v>17.27</v>
      </c>
      <c r="I754" s="501">
        <f>D754*H754</f>
        <v>127.8</v>
      </c>
    </row>
    <row r="755" spans="2:9" ht="15" customHeight="1" x14ac:dyDescent="0.2">
      <c r="B755" s="303" t="s">
        <v>161</v>
      </c>
      <c r="C755" s="59" t="s">
        <v>142</v>
      </c>
      <c r="D755" s="573">
        <v>1</v>
      </c>
      <c r="E755" s="304"/>
      <c r="F755" s="304"/>
      <c r="G755" s="304"/>
      <c r="H755" s="500">
        <f>INSUMOS!E81</f>
        <v>23.18</v>
      </c>
      <c r="I755" s="501">
        <f>D755*H755</f>
        <v>23.18</v>
      </c>
    </row>
    <row r="756" spans="2:9" ht="28.5" customHeight="1" x14ac:dyDescent="0.2">
      <c r="B756" s="303" t="s">
        <v>162</v>
      </c>
      <c r="C756" s="110" t="s">
        <v>52</v>
      </c>
      <c r="D756" s="573">
        <v>1.98</v>
      </c>
      <c r="E756" s="304"/>
      <c r="F756" s="304"/>
      <c r="G756" s="304"/>
      <c r="H756" s="500">
        <f>INSUMOS!E82</f>
        <v>54.27</v>
      </c>
      <c r="I756" s="501">
        <f>D756*H756</f>
        <v>107.45</v>
      </c>
    </row>
    <row r="757" spans="2:9" ht="15" customHeight="1" x14ac:dyDescent="0.2">
      <c r="B757" s="692" t="s">
        <v>43</v>
      </c>
      <c r="C757" s="693"/>
      <c r="D757" s="693"/>
      <c r="E757" s="693"/>
      <c r="F757" s="693"/>
      <c r="G757" s="693"/>
      <c r="H757" s="693"/>
      <c r="I757" s="501">
        <f>SUM(I753:I756)</f>
        <v>334.93</v>
      </c>
    </row>
    <row r="758" spans="2:9" ht="15" customHeight="1" x14ac:dyDescent="0.2">
      <c r="B758" s="689" t="s">
        <v>46</v>
      </c>
      <c r="C758" s="690"/>
      <c r="D758" s="690"/>
      <c r="E758" s="690"/>
      <c r="F758" s="690"/>
      <c r="G758" s="690"/>
      <c r="H758" s="690"/>
      <c r="I758" s="691"/>
    </row>
    <row r="759" spans="2:9" ht="15" customHeight="1" x14ac:dyDescent="0.2">
      <c r="B759" s="305" t="s">
        <v>33</v>
      </c>
      <c r="C759" s="337" t="s">
        <v>34</v>
      </c>
      <c r="D759" s="198" t="s">
        <v>6</v>
      </c>
      <c r="E759" s="317"/>
      <c r="F759" s="317"/>
      <c r="G759" s="317"/>
      <c r="H759" s="198" t="s">
        <v>45</v>
      </c>
      <c r="I759" s="302" t="s">
        <v>39</v>
      </c>
    </row>
    <row r="760" spans="2:9" ht="39.75" customHeight="1" x14ac:dyDescent="0.2">
      <c r="B760" s="315" t="s">
        <v>342</v>
      </c>
      <c r="C760" s="198" t="s">
        <v>23</v>
      </c>
      <c r="D760" s="574">
        <v>0.27</v>
      </c>
      <c r="E760" s="317"/>
      <c r="F760" s="317"/>
      <c r="G760" s="317"/>
      <c r="H760" s="509">
        <f>I532</f>
        <v>488.53</v>
      </c>
      <c r="I760" s="501">
        <f>D760*H760</f>
        <v>131.9</v>
      </c>
    </row>
    <row r="761" spans="2:9" ht="15" customHeight="1" x14ac:dyDescent="0.2">
      <c r="B761" s="197" t="s">
        <v>223</v>
      </c>
      <c r="C761" s="198" t="s">
        <v>52</v>
      </c>
      <c r="D761" s="574">
        <v>3.9</v>
      </c>
      <c r="E761" s="317"/>
      <c r="F761" s="317"/>
      <c r="G761" s="317"/>
      <c r="H761" s="509">
        <f>I969</f>
        <v>6.3</v>
      </c>
      <c r="I761" s="501">
        <f>D761*H761</f>
        <v>24.57</v>
      </c>
    </row>
    <row r="762" spans="2:9" ht="15" customHeight="1" x14ac:dyDescent="0.2">
      <c r="B762" s="197" t="s">
        <v>343</v>
      </c>
      <c r="C762" s="198" t="s">
        <v>23</v>
      </c>
      <c r="D762" s="574">
        <f>1.5*0.3*0.3</f>
        <v>0.13500000000000001</v>
      </c>
      <c r="E762" s="317"/>
      <c r="F762" s="317"/>
      <c r="G762" s="317"/>
      <c r="H762" s="509">
        <f>I626</f>
        <v>14.84</v>
      </c>
      <c r="I762" s="501">
        <f>D762*H762</f>
        <v>2</v>
      </c>
    </row>
    <row r="763" spans="2:9" ht="15" customHeight="1" x14ac:dyDescent="0.2">
      <c r="B763" s="197" t="s">
        <v>344</v>
      </c>
      <c r="C763" s="198" t="s">
        <v>52</v>
      </c>
      <c r="D763" s="574">
        <v>3.4</v>
      </c>
      <c r="E763" s="317"/>
      <c r="F763" s="317"/>
      <c r="G763" s="317"/>
      <c r="H763" s="509">
        <f>I1078</f>
        <v>11.14</v>
      </c>
      <c r="I763" s="501">
        <f>D763*H763</f>
        <v>37.880000000000003</v>
      </c>
    </row>
    <row r="764" spans="2:9" ht="15" customHeight="1" x14ac:dyDescent="0.2">
      <c r="B764" s="686" t="s">
        <v>43</v>
      </c>
      <c r="C764" s="687"/>
      <c r="D764" s="687"/>
      <c r="E764" s="687"/>
      <c r="F764" s="687"/>
      <c r="G764" s="687"/>
      <c r="H764" s="687"/>
      <c r="I764" s="501">
        <f>SUM(I760:I763)</f>
        <v>196.35</v>
      </c>
    </row>
    <row r="765" spans="2:9" ht="15" customHeight="1" x14ac:dyDescent="0.2">
      <c r="B765" s="689" t="s">
        <v>47</v>
      </c>
      <c r="C765" s="690"/>
      <c r="D765" s="690"/>
      <c r="E765" s="690"/>
      <c r="F765" s="690"/>
      <c r="G765" s="690"/>
      <c r="H765" s="690"/>
      <c r="I765" s="691"/>
    </row>
    <row r="766" spans="2:9" ht="15" customHeight="1" x14ac:dyDescent="0.2">
      <c r="B766" s="307" t="s">
        <v>33</v>
      </c>
      <c r="C766" s="337" t="s">
        <v>34</v>
      </c>
      <c r="D766" s="308" t="s">
        <v>6</v>
      </c>
      <c r="E766" s="301"/>
      <c r="F766" s="301"/>
      <c r="G766" s="301"/>
      <c r="H766" s="198" t="s">
        <v>45</v>
      </c>
      <c r="I766" s="299" t="s">
        <v>39</v>
      </c>
    </row>
    <row r="767" spans="2:9" ht="15" customHeight="1" x14ac:dyDescent="0.2">
      <c r="B767" s="309" t="s">
        <v>83</v>
      </c>
      <c r="C767" s="310" t="s">
        <v>41</v>
      </c>
      <c r="D767" s="502">
        <v>5.78</v>
      </c>
      <c r="E767" s="301"/>
      <c r="F767" s="301"/>
      <c r="G767" s="301"/>
      <c r="H767" s="500">
        <f>INSUMOS!E17</f>
        <v>10.37</v>
      </c>
      <c r="I767" s="501">
        <f>D767*H767</f>
        <v>59.94</v>
      </c>
    </row>
    <row r="768" spans="2:9" ht="15" customHeight="1" x14ac:dyDescent="0.2">
      <c r="B768" s="309" t="s">
        <v>48</v>
      </c>
      <c r="C768" s="310" t="s">
        <v>41</v>
      </c>
      <c r="D768" s="502">
        <v>2.89</v>
      </c>
      <c r="E768" s="301"/>
      <c r="F768" s="301"/>
      <c r="G768" s="301"/>
      <c r="H768" s="500">
        <f>INSUMOS!E13</f>
        <v>7.81</v>
      </c>
      <c r="I768" s="501">
        <f>D768*H768</f>
        <v>22.57</v>
      </c>
    </row>
    <row r="769" spans="1:11" ht="15" customHeight="1" x14ac:dyDescent="0.2">
      <c r="B769" s="686" t="s">
        <v>43</v>
      </c>
      <c r="C769" s="687"/>
      <c r="D769" s="687"/>
      <c r="E769" s="687"/>
      <c r="F769" s="687"/>
      <c r="G769" s="687"/>
      <c r="H769" s="687"/>
      <c r="I769" s="505">
        <f>SUM(I767:I768)</f>
        <v>82.51</v>
      </c>
    </row>
    <row r="770" spans="1:11" ht="15" customHeight="1" x14ac:dyDescent="0.2">
      <c r="B770" s="311" t="s">
        <v>49</v>
      </c>
      <c r="C770" s="293">
        <v>1</v>
      </c>
      <c r="D770" s="687" t="s">
        <v>50</v>
      </c>
      <c r="E770" s="687"/>
      <c r="F770" s="687"/>
      <c r="G770" s="687"/>
      <c r="H770" s="687"/>
      <c r="I770" s="505">
        <f>I769+I764+I757+I750</f>
        <v>613.79</v>
      </c>
    </row>
    <row r="771" spans="1:11" ht="15" customHeight="1" x14ac:dyDescent="0.2">
      <c r="B771" s="694" t="s">
        <v>299</v>
      </c>
      <c r="C771" s="695"/>
      <c r="D771" s="696"/>
      <c r="E771" s="696"/>
      <c r="F771" s="696"/>
      <c r="G771" s="696"/>
      <c r="H771" s="696"/>
      <c r="I771" s="501">
        <f>I770/C770</f>
        <v>613.79</v>
      </c>
    </row>
    <row r="772" spans="1:11" ht="15" customHeight="1" x14ac:dyDescent="0.2">
      <c r="B772" s="312" t="s">
        <v>300</v>
      </c>
      <c r="C772" s="477">
        <f>BDI!C$36</f>
        <v>25</v>
      </c>
      <c r="D772" s="697" t="s">
        <v>103</v>
      </c>
      <c r="E772" s="698"/>
      <c r="F772" s="698"/>
      <c r="G772" s="698"/>
      <c r="H772" s="699"/>
      <c r="I772" s="501">
        <f>C772/100*I771</f>
        <v>153.44999999999999</v>
      </c>
    </row>
    <row r="773" spans="1:11" ht="15" customHeight="1" thickBot="1" x14ac:dyDescent="0.25">
      <c r="B773" s="700" t="s">
        <v>51</v>
      </c>
      <c r="C773" s="701"/>
      <c r="D773" s="701"/>
      <c r="E773" s="701"/>
      <c r="F773" s="701"/>
      <c r="G773" s="701"/>
      <c r="H773" s="702"/>
      <c r="I773" s="506">
        <f>SUM(I771:I772)</f>
        <v>767.24</v>
      </c>
    </row>
    <row r="774" spans="1:11" s="47" customFormat="1" ht="14.25" customHeight="1" thickBot="1" x14ac:dyDescent="0.25">
      <c r="K774" s="11"/>
    </row>
    <row r="775" spans="1:11" s="47" customFormat="1" ht="31.5" customHeight="1" x14ac:dyDescent="0.2">
      <c r="B775" s="530" t="s">
        <v>357</v>
      </c>
      <c r="C775" s="532" t="s">
        <v>544</v>
      </c>
      <c r="D775" s="781" t="s">
        <v>30</v>
      </c>
      <c r="E775" s="781"/>
      <c r="F775" s="781"/>
      <c r="G775" s="781"/>
      <c r="H775" s="781"/>
      <c r="I775" s="781"/>
      <c r="K775" s="11"/>
    </row>
    <row r="776" spans="1:11" s="47" customFormat="1" ht="20.25" customHeight="1" x14ac:dyDescent="0.2">
      <c r="B776" s="673" t="s">
        <v>134</v>
      </c>
      <c r="C776" s="674"/>
      <c r="D776" s="674"/>
      <c r="E776" s="674"/>
      <c r="F776" s="674"/>
      <c r="G776" s="675"/>
      <c r="H776" s="670" t="s">
        <v>494</v>
      </c>
      <c r="I776" s="671"/>
    </row>
    <row r="777" spans="1:11" ht="12.75" customHeight="1" x14ac:dyDescent="0.2">
      <c r="A777" s="33"/>
      <c r="B777" s="672" t="s">
        <v>352</v>
      </c>
      <c r="C777" s="672"/>
      <c r="D777" s="672"/>
      <c r="E777" s="672"/>
      <c r="F777" s="672"/>
      <c r="G777" s="672"/>
      <c r="H777" s="12" t="s">
        <v>31</v>
      </c>
      <c r="I777" s="202" t="s">
        <v>142</v>
      </c>
      <c r="K777" s="47"/>
    </row>
    <row r="778" spans="1:11" ht="15.95" customHeight="1" x14ac:dyDescent="0.2">
      <c r="B778" s="668" t="s">
        <v>32</v>
      </c>
      <c r="C778" s="668"/>
      <c r="D778" s="668"/>
      <c r="E778" s="668"/>
      <c r="F778" s="668"/>
      <c r="G778" s="668"/>
      <c r="H778" s="668"/>
      <c r="I778" s="668"/>
      <c r="K778" s="47"/>
    </row>
    <row r="779" spans="1:11" ht="27" customHeight="1" x14ac:dyDescent="0.2">
      <c r="B779" s="13" t="s">
        <v>33</v>
      </c>
      <c r="C779" s="62" t="s">
        <v>5</v>
      </c>
      <c r="D779" s="14" t="s">
        <v>6</v>
      </c>
      <c r="E779" s="14" t="s">
        <v>35</v>
      </c>
      <c r="F779" s="14" t="s">
        <v>36</v>
      </c>
      <c r="G779" s="14" t="s">
        <v>37</v>
      </c>
      <c r="H779" s="14" t="s">
        <v>38</v>
      </c>
      <c r="I779" s="203" t="s">
        <v>39</v>
      </c>
    </row>
    <row r="780" spans="1:11" s="47" customFormat="1" ht="23.25" customHeight="1" x14ac:dyDescent="0.2">
      <c r="B780" s="35" t="s">
        <v>289</v>
      </c>
      <c r="C780" s="28" t="s">
        <v>41</v>
      </c>
      <c r="D780" s="575">
        <v>4</v>
      </c>
      <c r="E780" s="20">
        <v>1</v>
      </c>
      <c r="F780" s="20"/>
      <c r="G780" s="535">
        <f>INSUMOS!E59</f>
        <v>67.5</v>
      </c>
      <c r="H780" s="20"/>
      <c r="I780" s="525">
        <f>D780*G780</f>
        <v>270</v>
      </c>
      <c r="K780" s="11"/>
    </row>
    <row r="781" spans="1:11" ht="15.95" customHeight="1" x14ac:dyDescent="0.2">
      <c r="B781" s="669" t="s">
        <v>43</v>
      </c>
      <c r="C781" s="669"/>
      <c r="D781" s="669"/>
      <c r="E781" s="669"/>
      <c r="F781" s="669"/>
      <c r="G781" s="669"/>
      <c r="H781" s="669"/>
      <c r="I781" s="537">
        <f>SUM(I780:I780)</f>
        <v>270</v>
      </c>
    </row>
    <row r="782" spans="1:11" ht="15.95" customHeight="1" x14ac:dyDescent="0.2">
      <c r="B782" s="668" t="s">
        <v>44</v>
      </c>
      <c r="C782" s="668"/>
      <c r="D782" s="668"/>
      <c r="E782" s="668"/>
      <c r="F782" s="668"/>
      <c r="G782" s="668"/>
      <c r="H782" s="668"/>
      <c r="I782" s="668"/>
      <c r="K782" s="47"/>
    </row>
    <row r="783" spans="1:11" ht="15.95" customHeight="1" x14ac:dyDescent="0.2">
      <c r="B783" s="353" t="s">
        <v>33</v>
      </c>
      <c r="C783" s="352" t="s">
        <v>5</v>
      </c>
      <c r="D783" s="24" t="s">
        <v>6</v>
      </c>
      <c r="E783" s="25"/>
      <c r="F783" s="25"/>
      <c r="G783" s="25"/>
      <c r="H783" s="24" t="s">
        <v>45</v>
      </c>
      <c r="I783" s="36" t="s">
        <v>39</v>
      </c>
    </row>
    <row r="784" spans="1:11" ht="15.95" customHeight="1" x14ac:dyDescent="0.2">
      <c r="B784" s="378" t="s">
        <v>231</v>
      </c>
      <c r="C784" s="379" t="s">
        <v>53</v>
      </c>
      <c r="D784" s="576">
        <v>12</v>
      </c>
      <c r="E784" s="190"/>
      <c r="F784" s="190"/>
      <c r="G784" s="190"/>
      <c r="H784" s="535">
        <f>INSUMOS!E93</f>
        <v>3.95</v>
      </c>
      <c r="I784" s="525">
        <f>H784*D784</f>
        <v>47.4</v>
      </c>
    </row>
    <row r="785" spans="2:11" ht="15.95" customHeight="1" x14ac:dyDescent="0.2">
      <c r="B785" s="378" t="s">
        <v>219</v>
      </c>
      <c r="C785" s="379" t="s">
        <v>53</v>
      </c>
      <c r="D785" s="576">
        <v>13</v>
      </c>
      <c r="E785" s="190"/>
      <c r="F785" s="190"/>
      <c r="G785" s="190"/>
      <c r="H785" s="535">
        <f>INSUMOS!E94</f>
        <v>4.1100000000000003</v>
      </c>
      <c r="I785" s="525">
        <f>H785*D785</f>
        <v>53.43</v>
      </c>
    </row>
    <row r="786" spans="2:11" s="47" customFormat="1" ht="30" customHeight="1" x14ac:dyDescent="0.2">
      <c r="B786" s="196" t="s">
        <v>232</v>
      </c>
      <c r="C786" s="379" t="s">
        <v>53</v>
      </c>
      <c r="D786" s="576">
        <v>6</v>
      </c>
      <c r="E786" s="190"/>
      <c r="F786" s="190"/>
      <c r="G786" s="190"/>
      <c r="H786" s="535">
        <f>INSUMOS!E95</f>
        <v>4.3499999999999996</v>
      </c>
      <c r="I786" s="525">
        <f>H786*D786</f>
        <v>26.1</v>
      </c>
      <c r="K786" s="11"/>
    </row>
    <row r="787" spans="2:11" ht="15.95" customHeight="1" x14ac:dyDescent="0.2">
      <c r="B787" s="669" t="s">
        <v>43</v>
      </c>
      <c r="C787" s="669"/>
      <c r="D787" s="669"/>
      <c r="E787" s="669"/>
      <c r="F787" s="669"/>
      <c r="G787" s="669"/>
      <c r="H787" s="669"/>
      <c r="I787" s="536">
        <f>SUM(I784:I786)</f>
        <v>126.93</v>
      </c>
    </row>
    <row r="788" spans="2:11" ht="15.95" customHeight="1" x14ac:dyDescent="0.2">
      <c r="B788" s="668" t="s">
        <v>46</v>
      </c>
      <c r="C788" s="668"/>
      <c r="D788" s="668"/>
      <c r="E788" s="668"/>
      <c r="F788" s="668"/>
      <c r="G788" s="668"/>
      <c r="H788" s="668"/>
      <c r="I788" s="668"/>
      <c r="K788" s="47"/>
    </row>
    <row r="789" spans="2:11" ht="15.95" customHeight="1" x14ac:dyDescent="0.2">
      <c r="B789" s="339" t="s">
        <v>33</v>
      </c>
      <c r="C789" s="27" t="s">
        <v>5</v>
      </c>
      <c r="D789" s="20" t="s">
        <v>6</v>
      </c>
      <c r="E789" s="21"/>
      <c r="F789" s="21"/>
      <c r="G789" s="21"/>
      <c r="H789" s="20" t="s">
        <v>45</v>
      </c>
      <c r="I789" s="36" t="s">
        <v>39</v>
      </c>
    </row>
    <row r="790" spans="2:11" ht="18" customHeight="1" x14ac:dyDescent="0.2">
      <c r="B790" s="196" t="s">
        <v>293</v>
      </c>
      <c r="C790" s="379" t="s">
        <v>222</v>
      </c>
      <c r="D790" s="577">
        <v>0.374</v>
      </c>
      <c r="E790" s="190"/>
      <c r="F790" s="190"/>
      <c r="G790" s="190"/>
      <c r="H790" s="560">
        <f>I1105</f>
        <v>335.33</v>
      </c>
      <c r="I790" s="525">
        <f>H790*D790</f>
        <v>125.41</v>
      </c>
      <c r="J790" s="11" t="s">
        <v>292</v>
      </c>
    </row>
    <row r="791" spans="2:11" s="47" customFormat="1" ht="21" customHeight="1" x14ac:dyDescent="0.2">
      <c r="B791" s="197" t="s">
        <v>223</v>
      </c>
      <c r="C791" s="198" t="s">
        <v>52</v>
      </c>
      <c r="D791" s="574">
        <v>1</v>
      </c>
      <c r="E791" s="317"/>
      <c r="F791" s="317"/>
      <c r="G791" s="317"/>
      <c r="H791" s="560">
        <f>I969</f>
        <v>6.3</v>
      </c>
      <c r="I791" s="501">
        <f>D791*H791</f>
        <v>6.3</v>
      </c>
      <c r="K791" s="11"/>
    </row>
    <row r="792" spans="2:11" x14ac:dyDescent="0.2">
      <c r="B792" s="669" t="s">
        <v>43</v>
      </c>
      <c r="C792" s="669"/>
      <c r="D792" s="669"/>
      <c r="E792" s="669"/>
      <c r="F792" s="669"/>
      <c r="G792" s="669"/>
      <c r="H792" s="669"/>
      <c r="I792" s="536">
        <f>SUM(I790:I791)</f>
        <v>131.71</v>
      </c>
    </row>
    <row r="793" spans="2:11" ht="12.75" customHeight="1" x14ac:dyDescent="0.2">
      <c r="B793" s="668" t="s">
        <v>47</v>
      </c>
      <c r="C793" s="668"/>
      <c r="D793" s="668"/>
      <c r="E793" s="668"/>
      <c r="F793" s="668"/>
      <c r="G793" s="668"/>
      <c r="H793" s="668"/>
      <c r="I793" s="668"/>
      <c r="K793" s="47"/>
    </row>
    <row r="794" spans="2:11" x14ac:dyDescent="0.2">
      <c r="B794" s="353" t="s">
        <v>33</v>
      </c>
      <c r="C794" s="352" t="s">
        <v>5</v>
      </c>
      <c r="D794" s="354" t="s">
        <v>6</v>
      </c>
      <c r="E794" s="25"/>
      <c r="F794" s="25"/>
      <c r="G794" s="25"/>
      <c r="H794" s="24" t="s">
        <v>45</v>
      </c>
      <c r="I794" s="36" t="s">
        <v>39</v>
      </c>
    </row>
    <row r="795" spans="2:11" x14ac:dyDescent="0.2">
      <c r="B795" s="201" t="s">
        <v>83</v>
      </c>
      <c r="C795" s="27" t="s">
        <v>41</v>
      </c>
      <c r="D795" s="535">
        <v>6</v>
      </c>
      <c r="E795" s="21"/>
      <c r="F795" s="21"/>
      <c r="G795" s="21"/>
      <c r="H795" s="535">
        <f>INSUMOS!E17</f>
        <v>10.37</v>
      </c>
      <c r="I795" s="536">
        <f>H795*D795</f>
        <v>62.22</v>
      </c>
    </row>
    <row r="796" spans="2:11" x14ac:dyDescent="0.2">
      <c r="B796" s="201" t="s">
        <v>48</v>
      </c>
      <c r="C796" s="27" t="s">
        <v>41</v>
      </c>
      <c r="D796" s="535">
        <v>6</v>
      </c>
      <c r="E796" s="21"/>
      <c r="F796" s="21"/>
      <c r="G796" s="21"/>
      <c r="H796" s="535">
        <f>INSUMOS!E13</f>
        <v>7.81</v>
      </c>
      <c r="I796" s="536">
        <f>H796*D796</f>
        <v>46.86</v>
      </c>
    </row>
    <row r="797" spans="2:11" x14ac:dyDescent="0.2">
      <c r="B797" s="320" t="s">
        <v>353</v>
      </c>
      <c r="C797" s="352" t="s">
        <v>41</v>
      </c>
      <c r="D797" s="578">
        <v>3</v>
      </c>
      <c r="E797" s="21"/>
      <c r="F797" s="21"/>
      <c r="G797" s="21"/>
      <c r="H797" s="535">
        <f>INSUMOS!E107</f>
        <v>10.37</v>
      </c>
      <c r="I797" s="536">
        <f t="shared" ref="I797:I798" si="5">H797*D797</f>
        <v>31.11</v>
      </c>
    </row>
    <row r="798" spans="2:11" x14ac:dyDescent="0.2">
      <c r="B798" s="320" t="s">
        <v>54</v>
      </c>
      <c r="C798" s="352" t="s">
        <v>41</v>
      </c>
      <c r="D798" s="578">
        <v>3</v>
      </c>
      <c r="E798" s="21"/>
      <c r="F798" s="21"/>
      <c r="G798" s="21"/>
      <c r="H798" s="535">
        <f>INSUMOS!E16</f>
        <v>10.37</v>
      </c>
      <c r="I798" s="536">
        <f t="shared" si="5"/>
        <v>31.11</v>
      </c>
    </row>
    <row r="799" spans="2:11" x14ac:dyDescent="0.2">
      <c r="B799" s="669" t="s">
        <v>43</v>
      </c>
      <c r="C799" s="669"/>
      <c r="D799" s="669"/>
      <c r="E799" s="669"/>
      <c r="F799" s="669"/>
      <c r="G799" s="669"/>
      <c r="H799" s="669"/>
      <c r="I799" s="537">
        <f>SUM(I795:I798)</f>
        <v>171.3</v>
      </c>
    </row>
    <row r="800" spans="2:11" s="47" customFormat="1" ht="16.5" customHeight="1" x14ac:dyDescent="0.2">
      <c r="B800" s="341" t="s">
        <v>49</v>
      </c>
      <c r="C800" s="20">
        <v>1</v>
      </c>
      <c r="D800" s="682" t="s">
        <v>50</v>
      </c>
      <c r="E800" s="682"/>
      <c r="F800" s="682"/>
      <c r="G800" s="682"/>
      <c r="H800" s="682"/>
      <c r="I800" s="537">
        <f>I799+I792+I787+I781</f>
        <v>699.94</v>
      </c>
      <c r="K800" s="11"/>
    </row>
    <row r="801" spans="1:11" s="47" customFormat="1" ht="15.75" customHeight="1" x14ac:dyDescent="0.2">
      <c r="B801" s="665"/>
      <c r="C801" s="666"/>
      <c r="D801" s="666"/>
      <c r="E801" s="666"/>
      <c r="F801" s="666"/>
      <c r="G801" s="666"/>
      <c r="H801" s="667"/>
      <c r="I801" s="537">
        <f>I800/C800</f>
        <v>699.94</v>
      </c>
      <c r="K801" s="11"/>
    </row>
    <row r="802" spans="1:11" s="47" customFormat="1" ht="14.25" customHeight="1" x14ac:dyDescent="0.2">
      <c r="B802" s="342" t="s">
        <v>135</v>
      </c>
      <c r="C802" s="477">
        <f>BDI!C$36</f>
        <v>25</v>
      </c>
      <c r="D802" s="343" t="s">
        <v>103</v>
      </c>
      <c r="E802" s="344"/>
      <c r="F802" s="344"/>
      <c r="G802" s="344"/>
      <c r="H802" s="345"/>
      <c r="I802" s="536">
        <f>C802/100*I801</f>
        <v>174.99</v>
      </c>
    </row>
    <row r="803" spans="1:11" s="47" customFormat="1" ht="17.25" customHeight="1" thickBot="1" x14ac:dyDescent="0.25">
      <c r="B803" s="657" t="s">
        <v>51</v>
      </c>
      <c r="C803" s="657"/>
      <c r="D803" s="657"/>
      <c r="E803" s="657"/>
      <c r="F803" s="657"/>
      <c r="G803" s="657"/>
      <c r="H803" s="657"/>
      <c r="I803" s="506">
        <f>SUM(I801:I802)</f>
        <v>874.93</v>
      </c>
    </row>
    <row r="804" spans="1:11" s="47" customFormat="1" ht="33" customHeight="1" x14ac:dyDescent="0.2">
      <c r="B804" s="530" t="s">
        <v>357</v>
      </c>
      <c r="C804" s="532" t="s">
        <v>545</v>
      </c>
      <c r="D804" s="781" t="s">
        <v>30</v>
      </c>
      <c r="E804" s="781"/>
      <c r="F804" s="781"/>
      <c r="G804" s="781"/>
      <c r="H804" s="781"/>
      <c r="I804" s="781"/>
    </row>
    <row r="805" spans="1:11" x14ac:dyDescent="0.2">
      <c r="A805" s="33"/>
      <c r="B805" s="673" t="s">
        <v>134</v>
      </c>
      <c r="C805" s="674"/>
      <c r="D805" s="674"/>
      <c r="E805" s="674"/>
      <c r="F805" s="674"/>
      <c r="G805" s="675"/>
      <c r="H805" s="670" t="s">
        <v>494</v>
      </c>
      <c r="I805" s="671"/>
      <c r="K805" s="47"/>
    </row>
    <row r="806" spans="1:11" ht="24" customHeight="1" x14ac:dyDescent="0.2">
      <c r="B806" s="704" t="s">
        <v>493</v>
      </c>
      <c r="C806" s="672"/>
      <c r="D806" s="672"/>
      <c r="E806" s="672"/>
      <c r="F806" s="672"/>
      <c r="G806" s="672"/>
      <c r="H806" s="12" t="s">
        <v>31</v>
      </c>
      <c r="I806" s="193" t="s">
        <v>142</v>
      </c>
      <c r="K806" s="47"/>
    </row>
    <row r="807" spans="1:11" ht="17.25" customHeight="1" x14ac:dyDescent="0.2">
      <c r="B807" s="705" t="s">
        <v>32</v>
      </c>
      <c r="C807" s="668"/>
      <c r="D807" s="668"/>
      <c r="E807" s="668"/>
      <c r="F807" s="668"/>
      <c r="G807" s="668"/>
      <c r="H807" s="668"/>
      <c r="I807" s="706"/>
    </row>
    <row r="808" spans="1:11" s="47" customFormat="1" ht="30" customHeight="1" x14ac:dyDescent="0.2">
      <c r="B808" s="73" t="s">
        <v>33</v>
      </c>
      <c r="C808" s="62" t="s">
        <v>5</v>
      </c>
      <c r="D808" s="14" t="s">
        <v>6</v>
      </c>
      <c r="E808" s="14" t="s">
        <v>35</v>
      </c>
      <c r="F808" s="14" t="s">
        <v>36</v>
      </c>
      <c r="G808" s="14" t="s">
        <v>37</v>
      </c>
      <c r="H808" s="14" t="s">
        <v>38</v>
      </c>
      <c r="I808" s="194" t="s">
        <v>39</v>
      </c>
      <c r="K808" s="11"/>
    </row>
    <row r="809" spans="1:11" ht="15.95" customHeight="1" x14ac:dyDescent="0.2">
      <c r="B809" s="35" t="s">
        <v>289</v>
      </c>
      <c r="C809" s="28" t="s">
        <v>41</v>
      </c>
      <c r="D809" s="575">
        <v>4.5</v>
      </c>
      <c r="E809" s="20">
        <v>1</v>
      </c>
      <c r="F809" s="20"/>
      <c r="G809" s="535">
        <f>INSUMOS!E59</f>
        <v>67.5</v>
      </c>
      <c r="H809" s="20"/>
      <c r="I809" s="525">
        <f>D809*G809</f>
        <v>303.75</v>
      </c>
    </row>
    <row r="810" spans="1:11" ht="15.95" customHeight="1" x14ac:dyDescent="0.2">
      <c r="B810" s="707" t="s">
        <v>43</v>
      </c>
      <c r="C810" s="669"/>
      <c r="D810" s="669"/>
      <c r="E810" s="669"/>
      <c r="F810" s="669"/>
      <c r="G810" s="669"/>
      <c r="H810" s="669"/>
      <c r="I810" s="524">
        <f>SUM(I809:I809)</f>
        <v>303.75</v>
      </c>
      <c r="K810" s="47"/>
    </row>
    <row r="811" spans="1:11" ht="15.95" customHeight="1" x14ac:dyDescent="0.2">
      <c r="B811" s="705" t="s">
        <v>44</v>
      </c>
      <c r="C811" s="668"/>
      <c r="D811" s="668"/>
      <c r="E811" s="668"/>
      <c r="F811" s="668"/>
      <c r="G811" s="668"/>
      <c r="H811" s="668"/>
      <c r="I811" s="706"/>
    </row>
    <row r="812" spans="1:11" ht="15.95" customHeight="1" x14ac:dyDescent="0.2">
      <c r="B812" s="373" t="s">
        <v>33</v>
      </c>
      <c r="C812" s="348" t="s">
        <v>5</v>
      </c>
      <c r="D812" s="24" t="s">
        <v>6</v>
      </c>
      <c r="E812" s="25"/>
      <c r="F812" s="25"/>
      <c r="G812" s="25"/>
      <c r="H812" s="24" t="s">
        <v>45</v>
      </c>
      <c r="I812" s="195" t="s">
        <v>39</v>
      </c>
    </row>
    <row r="813" spans="1:11" ht="15.95" customHeight="1" x14ac:dyDescent="0.2">
      <c r="B813" s="378" t="s">
        <v>218</v>
      </c>
      <c r="C813" s="379" t="s">
        <v>53</v>
      </c>
      <c r="D813" s="576">
        <v>5.6</v>
      </c>
      <c r="E813" s="190"/>
      <c r="F813" s="190"/>
      <c r="G813" s="190"/>
      <c r="H813" s="560">
        <f>INSUMOS!E96</f>
        <v>4.1100000000000003</v>
      </c>
      <c r="I813" s="525">
        <f>H813*D813</f>
        <v>23.02</v>
      </c>
    </row>
    <row r="814" spans="1:11" s="47" customFormat="1" ht="30" customHeight="1" x14ac:dyDescent="0.2">
      <c r="B814" s="378" t="s">
        <v>219</v>
      </c>
      <c r="C814" s="379" t="s">
        <v>53</v>
      </c>
      <c r="D814" s="576">
        <v>3.2</v>
      </c>
      <c r="E814" s="190"/>
      <c r="F814" s="190"/>
      <c r="G814" s="190"/>
      <c r="H814" s="560">
        <f>INSUMOS!E94</f>
        <v>4.1100000000000003</v>
      </c>
      <c r="I814" s="525">
        <f>H814*D814</f>
        <v>13.15</v>
      </c>
      <c r="K814" s="11"/>
    </row>
    <row r="815" spans="1:11" ht="57" customHeight="1" x14ac:dyDescent="0.2">
      <c r="B815" s="196" t="s">
        <v>220</v>
      </c>
      <c r="C815" s="379" t="s">
        <v>221</v>
      </c>
      <c r="D815" s="576">
        <v>6.16</v>
      </c>
      <c r="E815" s="190"/>
      <c r="F815" s="190"/>
      <c r="G815" s="190"/>
      <c r="H815" s="560">
        <f>INSUMOS!E97</f>
        <v>17.739999999999998</v>
      </c>
      <c r="I815" s="525">
        <f>H815*D815</f>
        <v>109.28</v>
      </c>
    </row>
    <row r="816" spans="1:11" ht="15.95" customHeight="1" x14ac:dyDescent="0.2">
      <c r="B816" s="707" t="s">
        <v>43</v>
      </c>
      <c r="C816" s="669"/>
      <c r="D816" s="708"/>
      <c r="E816" s="669"/>
      <c r="F816" s="669"/>
      <c r="G816" s="669"/>
      <c r="H816" s="669"/>
      <c r="I816" s="525">
        <f>SUM(I813:I815)</f>
        <v>145.44999999999999</v>
      </c>
      <c r="K816" s="47"/>
    </row>
    <row r="817" spans="2:11" ht="28.5" customHeight="1" x14ac:dyDescent="0.2">
      <c r="B817" s="705" t="s">
        <v>46</v>
      </c>
      <c r="C817" s="668"/>
      <c r="D817" s="668"/>
      <c r="E817" s="668"/>
      <c r="F817" s="668"/>
      <c r="G817" s="668"/>
      <c r="H817" s="668"/>
      <c r="I817" s="706"/>
    </row>
    <row r="818" spans="2:11" ht="27" customHeight="1" x14ac:dyDescent="0.2">
      <c r="B818" s="380" t="s">
        <v>33</v>
      </c>
      <c r="C818" s="27" t="s">
        <v>5</v>
      </c>
      <c r="D818" s="20" t="s">
        <v>6</v>
      </c>
      <c r="E818" s="21"/>
      <c r="F818" s="21"/>
      <c r="G818" s="21"/>
      <c r="H818" s="20" t="s">
        <v>45</v>
      </c>
      <c r="I818" s="195" t="s">
        <v>39</v>
      </c>
    </row>
    <row r="819" spans="2:11" ht="21" customHeight="1" x14ac:dyDescent="0.2">
      <c r="B819" s="196" t="s">
        <v>293</v>
      </c>
      <c r="C819" s="379" t="s">
        <v>222</v>
      </c>
      <c r="D819" s="577">
        <f>0.311+0.972+0.284</f>
        <v>1.5669999999999999</v>
      </c>
      <c r="E819" s="190"/>
      <c r="F819" s="190"/>
      <c r="G819" s="190"/>
      <c r="H819" s="560">
        <f>I1105</f>
        <v>335.33</v>
      </c>
      <c r="I819" s="525">
        <f>H819*D819</f>
        <v>525.46</v>
      </c>
    </row>
    <row r="820" spans="2:11" ht="18.75" customHeight="1" x14ac:dyDescent="0.2">
      <c r="B820" s="197" t="s">
        <v>223</v>
      </c>
      <c r="C820" s="198" t="s">
        <v>52</v>
      </c>
      <c r="D820" s="574">
        <v>2.7</v>
      </c>
      <c r="E820" s="317"/>
      <c r="F820" s="317"/>
      <c r="G820" s="317"/>
      <c r="H820" s="560">
        <f>I969</f>
        <v>6.3</v>
      </c>
      <c r="I820" s="501">
        <f>D820*H820</f>
        <v>17.010000000000002</v>
      </c>
    </row>
    <row r="821" spans="2:11" ht="15.95" customHeight="1" x14ac:dyDescent="0.2">
      <c r="B821" s="707" t="s">
        <v>43</v>
      </c>
      <c r="C821" s="669"/>
      <c r="D821" s="669"/>
      <c r="E821" s="669"/>
      <c r="F821" s="669"/>
      <c r="G821" s="669"/>
      <c r="H821" s="669"/>
      <c r="I821" s="525">
        <f>SUM(I819:I820)</f>
        <v>542.47</v>
      </c>
    </row>
    <row r="822" spans="2:11" ht="15.95" customHeight="1" x14ac:dyDescent="0.2">
      <c r="B822" s="705" t="s">
        <v>47</v>
      </c>
      <c r="C822" s="668"/>
      <c r="D822" s="668"/>
      <c r="E822" s="668"/>
      <c r="F822" s="668"/>
      <c r="G822" s="668"/>
      <c r="H822" s="668"/>
      <c r="I822" s="706"/>
    </row>
    <row r="823" spans="2:11" ht="15.95" customHeight="1" x14ac:dyDescent="0.2">
      <c r="B823" s="200" t="s">
        <v>33</v>
      </c>
      <c r="C823" s="352" t="s">
        <v>5</v>
      </c>
      <c r="D823" s="321" t="s">
        <v>6</v>
      </c>
      <c r="E823" s="21"/>
      <c r="F823" s="21"/>
      <c r="G823" s="21"/>
      <c r="H823" s="20" t="s">
        <v>45</v>
      </c>
      <c r="I823" s="191" t="s">
        <v>39</v>
      </c>
    </row>
    <row r="824" spans="2:11" s="47" customFormat="1" ht="16.5" customHeight="1" x14ac:dyDescent="0.2">
      <c r="B824" s="201" t="s">
        <v>83</v>
      </c>
      <c r="C824" s="27" t="s">
        <v>41</v>
      </c>
      <c r="D824" s="535">
        <v>8.5</v>
      </c>
      <c r="E824" s="21"/>
      <c r="F824" s="21"/>
      <c r="G824" s="21"/>
      <c r="H824" s="535">
        <f>INSUMOS!E17</f>
        <v>10.37</v>
      </c>
      <c r="I824" s="536">
        <f>H824*D824</f>
        <v>88.15</v>
      </c>
      <c r="K824" s="11"/>
    </row>
    <row r="825" spans="2:11" x14ac:dyDescent="0.2">
      <c r="B825" s="201" t="s">
        <v>48</v>
      </c>
      <c r="C825" s="27" t="s">
        <v>41</v>
      </c>
      <c r="D825" s="535">
        <v>8.5</v>
      </c>
      <c r="E825" s="21"/>
      <c r="F825" s="21"/>
      <c r="G825" s="21"/>
      <c r="H825" s="535">
        <f>INSUMOS!E13</f>
        <v>7.81</v>
      </c>
      <c r="I825" s="536">
        <f>H825*D825</f>
        <v>66.39</v>
      </c>
    </row>
    <row r="826" spans="2:11" x14ac:dyDescent="0.2">
      <c r="B826" s="320" t="s">
        <v>353</v>
      </c>
      <c r="C826" s="352" t="s">
        <v>41</v>
      </c>
      <c r="D826" s="578">
        <v>3</v>
      </c>
      <c r="E826" s="21"/>
      <c r="F826" s="21"/>
      <c r="G826" s="21"/>
      <c r="H826" s="535">
        <f>INSUMOS!E107</f>
        <v>10.37</v>
      </c>
      <c r="I826" s="536">
        <f t="shared" ref="I826:I827" si="6">H826*D826</f>
        <v>31.11</v>
      </c>
      <c r="K826" s="47"/>
    </row>
    <row r="827" spans="2:11" x14ac:dyDescent="0.2">
      <c r="B827" s="320" t="s">
        <v>54</v>
      </c>
      <c r="C827" s="352" t="s">
        <v>41</v>
      </c>
      <c r="D827" s="578">
        <v>3</v>
      </c>
      <c r="E827" s="21"/>
      <c r="F827" s="21"/>
      <c r="G827" s="21"/>
      <c r="H827" s="535">
        <f>INSUMOS!E16</f>
        <v>10.37</v>
      </c>
      <c r="I827" s="536">
        <f t="shared" si="6"/>
        <v>31.11</v>
      </c>
    </row>
    <row r="828" spans="2:11" x14ac:dyDescent="0.2">
      <c r="B828" s="707" t="s">
        <v>43</v>
      </c>
      <c r="C828" s="669"/>
      <c r="D828" s="669"/>
      <c r="E828" s="669"/>
      <c r="F828" s="669"/>
      <c r="G828" s="669"/>
      <c r="H828" s="669"/>
      <c r="I828" s="524">
        <f>SUM(I824:I827)</f>
        <v>216.76</v>
      </c>
    </row>
    <row r="829" spans="2:11" x14ac:dyDescent="0.2">
      <c r="B829" s="376" t="s">
        <v>49</v>
      </c>
      <c r="C829" s="271">
        <v>1</v>
      </c>
      <c r="D829" s="654" t="s">
        <v>50</v>
      </c>
      <c r="E829" s="655"/>
      <c r="F829" s="655"/>
      <c r="G829" s="655"/>
      <c r="H829" s="656"/>
      <c r="I829" s="524">
        <f>I810+I816+I821+I828</f>
        <v>1208.43</v>
      </c>
    </row>
    <row r="830" spans="2:11" x14ac:dyDescent="0.2">
      <c r="B830" s="709"/>
      <c r="C830" s="666"/>
      <c r="D830" s="666"/>
      <c r="E830" s="666"/>
      <c r="F830" s="666"/>
      <c r="G830" s="666"/>
      <c r="H830" s="667"/>
      <c r="I830" s="524">
        <f>I829/C829</f>
        <v>1208.43</v>
      </c>
    </row>
    <row r="831" spans="2:11" x14ac:dyDescent="0.2">
      <c r="B831" s="377" t="s">
        <v>135</v>
      </c>
      <c r="C831" s="477">
        <f>BDI!C$36</f>
        <v>25</v>
      </c>
      <c r="D831" s="343" t="s">
        <v>103</v>
      </c>
      <c r="E831" s="344"/>
      <c r="F831" s="344"/>
      <c r="G831" s="344"/>
      <c r="H831" s="345"/>
      <c r="I831" s="525">
        <f>C831/100*I830</f>
        <v>302.11</v>
      </c>
    </row>
    <row r="832" spans="2:11" ht="13.5" thickBot="1" x14ac:dyDescent="0.25">
      <c r="B832" s="683" t="s">
        <v>51</v>
      </c>
      <c r="C832" s="684"/>
      <c r="D832" s="684"/>
      <c r="E832" s="684"/>
      <c r="F832" s="684"/>
      <c r="G832" s="684"/>
      <c r="H832" s="684"/>
      <c r="I832" s="506">
        <f>SUM(I830:I831)</f>
        <v>1510.54</v>
      </c>
    </row>
    <row r="833" spans="2:9" ht="15.75" x14ac:dyDescent="0.2">
      <c r="B833" s="530" t="s">
        <v>357</v>
      </c>
      <c r="C833" s="531" t="s">
        <v>185</v>
      </c>
      <c r="D833" s="685" t="s">
        <v>30</v>
      </c>
      <c r="E833" s="685"/>
      <c r="F833" s="685"/>
      <c r="G833" s="685"/>
      <c r="H833" s="685"/>
      <c r="I833" s="685"/>
    </row>
    <row r="834" spans="2:9" x14ac:dyDescent="0.2">
      <c r="B834" s="673" t="s">
        <v>134</v>
      </c>
      <c r="C834" s="674"/>
      <c r="D834" s="674"/>
      <c r="E834" s="674"/>
      <c r="F834" s="674"/>
      <c r="G834" s="675"/>
      <c r="H834" s="670" t="s">
        <v>494</v>
      </c>
      <c r="I834" s="671"/>
    </row>
    <row r="835" spans="2:9" x14ac:dyDescent="0.2">
      <c r="B835" s="721" t="s">
        <v>348</v>
      </c>
      <c r="C835" s="721"/>
      <c r="D835" s="721"/>
      <c r="E835" s="721"/>
      <c r="F835" s="721"/>
      <c r="G835" s="721"/>
      <c r="H835" s="12" t="s">
        <v>31</v>
      </c>
      <c r="I835" s="193" t="s">
        <v>142</v>
      </c>
    </row>
    <row r="836" spans="2:9" x14ac:dyDescent="0.2">
      <c r="B836" s="688" t="s">
        <v>32</v>
      </c>
      <c r="C836" s="688"/>
      <c r="D836" s="688"/>
      <c r="E836" s="688"/>
      <c r="F836" s="688"/>
      <c r="G836" s="688"/>
      <c r="H836" s="688"/>
      <c r="I836" s="688"/>
    </row>
    <row r="837" spans="2:9" ht="25.5" x14ac:dyDescent="0.2">
      <c r="B837" s="209" t="s">
        <v>33</v>
      </c>
      <c r="C837" s="210" t="s">
        <v>5</v>
      </c>
      <c r="D837" s="211" t="s">
        <v>6</v>
      </c>
      <c r="E837" s="212" t="s">
        <v>35</v>
      </c>
      <c r="F837" s="212" t="s">
        <v>36</v>
      </c>
      <c r="G837" s="212" t="s">
        <v>37</v>
      </c>
      <c r="H837" s="212" t="s">
        <v>38</v>
      </c>
      <c r="I837" s="213" t="s">
        <v>39</v>
      </c>
    </row>
    <row r="838" spans="2:9" x14ac:dyDescent="0.2">
      <c r="B838" s="35"/>
      <c r="C838" s="34"/>
      <c r="D838" s="34"/>
      <c r="E838" s="24"/>
      <c r="F838" s="24"/>
      <c r="G838" s="24"/>
      <c r="H838" s="24"/>
      <c r="I838" s="30"/>
    </row>
    <row r="839" spans="2:9" x14ac:dyDescent="0.2">
      <c r="B839" s="669" t="s">
        <v>43</v>
      </c>
      <c r="C839" s="669"/>
      <c r="D839" s="669"/>
      <c r="E839" s="669"/>
      <c r="F839" s="669"/>
      <c r="G839" s="669"/>
      <c r="H839" s="669"/>
      <c r="I839" s="335"/>
    </row>
    <row r="840" spans="2:9" x14ac:dyDescent="0.2">
      <c r="B840" s="688" t="s">
        <v>44</v>
      </c>
      <c r="C840" s="688"/>
      <c r="D840" s="688"/>
      <c r="E840" s="688"/>
      <c r="F840" s="688"/>
      <c r="G840" s="688"/>
      <c r="H840" s="688"/>
      <c r="I840" s="688"/>
    </row>
    <row r="841" spans="2:9" x14ac:dyDescent="0.2">
      <c r="B841" s="353" t="s">
        <v>33</v>
      </c>
      <c r="C841" s="348" t="s">
        <v>5</v>
      </c>
      <c r="D841" s="25" t="s">
        <v>6</v>
      </c>
      <c r="E841" s="25"/>
      <c r="F841" s="25"/>
      <c r="G841" s="25"/>
      <c r="H841" s="24" t="s">
        <v>45</v>
      </c>
      <c r="I841" s="36" t="s">
        <v>39</v>
      </c>
    </row>
    <row r="842" spans="2:9" x14ac:dyDescent="0.2">
      <c r="B842" s="319"/>
      <c r="C842" s="28"/>
      <c r="D842" s="29"/>
      <c r="E842" s="21"/>
      <c r="F842" s="21"/>
      <c r="G842" s="21"/>
      <c r="H842" s="20"/>
      <c r="I842" s="30"/>
    </row>
    <row r="843" spans="2:9" x14ac:dyDescent="0.2">
      <c r="B843" s="669" t="s">
        <v>43</v>
      </c>
      <c r="C843" s="669"/>
      <c r="D843" s="669"/>
      <c r="E843" s="669"/>
      <c r="F843" s="669"/>
      <c r="G843" s="669"/>
      <c r="H843" s="669"/>
      <c r="I843" s="30"/>
    </row>
    <row r="844" spans="2:9" x14ac:dyDescent="0.2">
      <c r="B844" s="688" t="s">
        <v>46</v>
      </c>
      <c r="C844" s="688"/>
      <c r="D844" s="688"/>
      <c r="E844" s="688"/>
      <c r="F844" s="688"/>
      <c r="G844" s="688"/>
      <c r="H844" s="688"/>
      <c r="I844" s="688"/>
    </row>
    <row r="845" spans="2:9" x14ac:dyDescent="0.2">
      <c r="B845" s="339" t="s">
        <v>33</v>
      </c>
      <c r="C845" s="347" t="s">
        <v>5</v>
      </c>
      <c r="D845" s="21" t="s">
        <v>6</v>
      </c>
      <c r="E845" s="21"/>
      <c r="F845" s="21"/>
      <c r="G845" s="21"/>
      <c r="H845" s="20" t="s">
        <v>45</v>
      </c>
      <c r="I845" s="36" t="s">
        <v>39</v>
      </c>
    </row>
    <row r="846" spans="2:9" x14ac:dyDescent="0.2">
      <c r="B846" s="319"/>
      <c r="C846" s="20"/>
      <c r="D846" s="21"/>
      <c r="E846" s="21"/>
      <c r="F846" s="21"/>
      <c r="G846" s="21"/>
      <c r="H846" s="20"/>
      <c r="I846" s="30"/>
    </row>
    <row r="847" spans="2:9" x14ac:dyDescent="0.2">
      <c r="B847" s="669"/>
      <c r="C847" s="669"/>
      <c r="D847" s="669"/>
      <c r="E847" s="669"/>
      <c r="F847" s="669"/>
      <c r="G847" s="669"/>
      <c r="H847" s="669"/>
      <c r="I847" s="30"/>
    </row>
    <row r="848" spans="2:9" x14ac:dyDescent="0.2">
      <c r="B848" s="688" t="s">
        <v>47</v>
      </c>
      <c r="C848" s="688"/>
      <c r="D848" s="688"/>
      <c r="E848" s="688"/>
      <c r="F848" s="688"/>
      <c r="G848" s="688"/>
      <c r="H848" s="688"/>
      <c r="I848" s="688"/>
    </row>
    <row r="849" spans="2:9" x14ac:dyDescent="0.2">
      <c r="B849" s="353" t="s">
        <v>33</v>
      </c>
      <c r="C849" s="348" t="s">
        <v>5</v>
      </c>
      <c r="D849" s="385" t="s">
        <v>6</v>
      </c>
      <c r="E849" s="385"/>
      <c r="F849" s="385"/>
      <c r="G849" s="385"/>
      <c r="H849" s="354" t="s">
        <v>45</v>
      </c>
      <c r="I849" s="398" t="s">
        <v>39</v>
      </c>
    </row>
    <row r="850" spans="2:9" x14ac:dyDescent="0.2">
      <c r="B850" s="399" t="s">
        <v>97</v>
      </c>
      <c r="C850" s="27" t="s">
        <v>13</v>
      </c>
      <c r="D850" s="535">
        <v>0.05</v>
      </c>
      <c r="E850" s="25"/>
      <c r="F850" s="25"/>
      <c r="G850" s="25"/>
      <c r="H850" s="535">
        <f>INSUMOS!E22</f>
        <v>10052.36</v>
      </c>
      <c r="I850" s="536">
        <f>D850*H850</f>
        <v>502.62</v>
      </c>
    </row>
    <row r="851" spans="2:9" x14ac:dyDescent="0.2">
      <c r="B851" s="400" t="s">
        <v>98</v>
      </c>
      <c r="C851" s="27" t="s">
        <v>13</v>
      </c>
      <c r="D851" s="535">
        <v>0.05</v>
      </c>
      <c r="E851" s="25"/>
      <c r="F851" s="25"/>
      <c r="G851" s="25"/>
      <c r="H851" s="535">
        <f>INSUMOS!E23</f>
        <v>4110.0200000000004</v>
      </c>
      <c r="I851" s="536">
        <f t="shared" ref="I851" si="7">D851*H851</f>
        <v>205.5</v>
      </c>
    </row>
    <row r="852" spans="2:9" x14ac:dyDescent="0.2">
      <c r="B852" s="669" t="s">
        <v>43</v>
      </c>
      <c r="C852" s="669"/>
      <c r="D852" s="669"/>
      <c r="E852" s="669"/>
      <c r="F852" s="669"/>
      <c r="G852" s="669"/>
      <c r="H852" s="669"/>
      <c r="I852" s="552">
        <f>SUM(I850:I851)</f>
        <v>708.12</v>
      </c>
    </row>
    <row r="853" spans="2:9" x14ac:dyDescent="0.2">
      <c r="B853" s="341" t="s">
        <v>49</v>
      </c>
      <c r="C853" s="20">
        <v>1</v>
      </c>
      <c r="D853" s="682" t="s">
        <v>50</v>
      </c>
      <c r="E853" s="682"/>
      <c r="F853" s="682"/>
      <c r="G853" s="682"/>
      <c r="H853" s="682"/>
      <c r="I853" s="552">
        <f>I852+I847+I843+I839</f>
        <v>708.12</v>
      </c>
    </row>
    <row r="854" spans="2:9" x14ac:dyDescent="0.2">
      <c r="B854" s="342"/>
      <c r="C854" s="386"/>
      <c r="D854" s="387"/>
      <c r="E854" s="387"/>
      <c r="F854" s="387"/>
      <c r="G854" s="387"/>
      <c r="H854" s="190"/>
      <c r="I854" s="537">
        <f>I853/C853</f>
        <v>708.12</v>
      </c>
    </row>
    <row r="855" spans="2:9" x14ac:dyDescent="0.2">
      <c r="B855" s="342" t="s">
        <v>239</v>
      </c>
      <c r="C855" s="477">
        <f>BDI!C$36</f>
        <v>25</v>
      </c>
      <c r="D855" s="344" t="s">
        <v>103</v>
      </c>
      <c r="E855" s="344"/>
      <c r="F855" s="344"/>
      <c r="G855" s="344"/>
      <c r="H855" s="345"/>
      <c r="I855" s="536">
        <f>C855/100*I854</f>
        <v>177.03</v>
      </c>
    </row>
    <row r="856" spans="2:9" ht="13.5" thickBot="1" x14ac:dyDescent="0.25">
      <c r="B856" s="657" t="s">
        <v>51</v>
      </c>
      <c r="C856" s="703"/>
      <c r="D856" s="657"/>
      <c r="E856" s="657"/>
      <c r="F856" s="657"/>
      <c r="G856" s="657"/>
      <c r="H856" s="657"/>
      <c r="I856" s="506">
        <f>I854+I855</f>
        <v>885.15</v>
      </c>
    </row>
    <row r="857" spans="2:9" ht="13.5" thickBot="1" x14ac:dyDescent="0.25">
      <c r="B857" s="23"/>
      <c r="C857" s="23"/>
      <c r="D857" s="23"/>
      <c r="E857" s="23"/>
      <c r="F857" s="23"/>
      <c r="G857" s="23"/>
      <c r="H857" s="23"/>
      <c r="I857" s="313"/>
    </row>
    <row r="858" spans="2:9" ht="15.75" x14ac:dyDescent="0.2">
      <c r="B858" s="530" t="s">
        <v>357</v>
      </c>
      <c r="C858" s="531" t="s">
        <v>186</v>
      </c>
      <c r="D858" s="685" t="s">
        <v>30</v>
      </c>
      <c r="E858" s="685"/>
      <c r="F858" s="685"/>
      <c r="G858" s="685"/>
      <c r="H858" s="685"/>
      <c r="I858" s="685"/>
    </row>
    <row r="859" spans="2:9" x14ac:dyDescent="0.2">
      <c r="B859" s="673" t="s">
        <v>134</v>
      </c>
      <c r="C859" s="674"/>
      <c r="D859" s="674"/>
      <c r="E859" s="674"/>
      <c r="F859" s="674"/>
      <c r="G859" s="675"/>
      <c r="H859" s="670" t="s">
        <v>494</v>
      </c>
      <c r="I859" s="671"/>
    </row>
    <row r="860" spans="2:9" x14ac:dyDescent="0.2">
      <c r="B860" s="721" t="s">
        <v>351</v>
      </c>
      <c r="C860" s="721"/>
      <c r="D860" s="721"/>
      <c r="E860" s="721"/>
      <c r="F860" s="721"/>
      <c r="G860" s="721"/>
      <c r="H860" s="12" t="s">
        <v>31</v>
      </c>
      <c r="I860" s="208" t="s">
        <v>19</v>
      </c>
    </row>
    <row r="861" spans="2:9" x14ac:dyDescent="0.2">
      <c r="B861" s="688" t="s">
        <v>32</v>
      </c>
      <c r="C861" s="688"/>
      <c r="D861" s="688"/>
      <c r="E861" s="688"/>
      <c r="F861" s="688"/>
      <c r="G861" s="688"/>
      <c r="H861" s="688"/>
      <c r="I861" s="688"/>
    </row>
    <row r="862" spans="2:9" ht="25.5" x14ac:dyDescent="0.2">
      <c r="B862" s="401" t="s">
        <v>33</v>
      </c>
      <c r="C862" s="402" t="s">
        <v>5</v>
      </c>
      <c r="D862" s="403" t="s">
        <v>6</v>
      </c>
      <c r="E862" s="404" t="s">
        <v>35</v>
      </c>
      <c r="F862" s="404" t="s">
        <v>36</v>
      </c>
      <c r="G862" s="404" t="s">
        <v>37</v>
      </c>
      <c r="H862" s="404" t="s">
        <v>38</v>
      </c>
      <c r="I862" s="405" t="s">
        <v>39</v>
      </c>
    </row>
    <row r="863" spans="2:9" x14ac:dyDescent="0.2">
      <c r="B863" s="35" t="s">
        <v>40</v>
      </c>
      <c r="C863" s="34" t="s">
        <v>41</v>
      </c>
      <c r="D863" s="579">
        <f>4/200</f>
        <v>0.02</v>
      </c>
      <c r="E863" s="24">
        <v>1</v>
      </c>
      <c r="F863" s="24"/>
      <c r="G863" s="556">
        <f>INSUMOS!E59</f>
        <v>67.5</v>
      </c>
      <c r="H863" s="24"/>
      <c r="I863" s="536">
        <f>D863*E863*G863+D863*F863*H863</f>
        <v>1.35</v>
      </c>
    </row>
    <row r="864" spans="2:9" x14ac:dyDescent="0.2">
      <c r="B864" s="669" t="s">
        <v>43</v>
      </c>
      <c r="C864" s="669"/>
      <c r="D864" s="669"/>
      <c r="E864" s="669"/>
      <c r="F864" s="669"/>
      <c r="G864" s="669"/>
      <c r="H864" s="669"/>
      <c r="I864" s="537">
        <f>SUM(I863:I863)</f>
        <v>1.35</v>
      </c>
    </row>
    <row r="865" spans="2:9" x14ac:dyDescent="0.2">
      <c r="B865" s="688" t="s">
        <v>44</v>
      </c>
      <c r="C865" s="688"/>
      <c r="D865" s="688"/>
      <c r="E865" s="688"/>
      <c r="F865" s="688"/>
      <c r="G865" s="688"/>
      <c r="H865" s="688"/>
      <c r="I865" s="688"/>
    </row>
    <row r="866" spans="2:9" x14ac:dyDescent="0.2">
      <c r="B866" s="353" t="s">
        <v>33</v>
      </c>
      <c r="C866" s="348" t="s">
        <v>5</v>
      </c>
      <c r="D866" s="25" t="s">
        <v>6</v>
      </c>
      <c r="E866" s="25"/>
      <c r="F866" s="25"/>
      <c r="G866" s="25"/>
      <c r="H866" s="24" t="s">
        <v>45</v>
      </c>
      <c r="I866" s="36" t="s">
        <v>39</v>
      </c>
    </row>
    <row r="867" spans="2:9" x14ac:dyDescent="0.2">
      <c r="B867" s="319" t="s">
        <v>92</v>
      </c>
      <c r="C867" s="28" t="s">
        <v>53</v>
      </c>
      <c r="D867" s="570">
        <f>600*149/1000/200</f>
        <v>0.45</v>
      </c>
      <c r="E867" s="21"/>
      <c r="F867" s="21"/>
      <c r="G867" s="21"/>
      <c r="H867" s="535">
        <f>INSUMOS!E90</f>
        <v>22.5</v>
      </c>
      <c r="I867" s="536">
        <f t="shared" ref="I867:I873" si="8">H867*D867</f>
        <v>10.130000000000001</v>
      </c>
    </row>
    <row r="868" spans="2:9" x14ac:dyDescent="0.2">
      <c r="B868" s="319" t="s">
        <v>93</v>
      </c>
      <c r="C868" s="28" t="s">
        <v>11</v>
      </c>
      <c r="D868" s="570">
        <f>4/200</f>
        <v>0.02</v>
      </c>
      <c r="E868" s="21"/>
      <c r="F868" s="21"/>
      <c r="G868" s="21"/>
      <c r="H868" s="535">
        <f>INSUMOS!E86</f>
        <v>732.97</v>
      </c>
      <c r="I868" s="536">
        <f t="shared" si="8"/>
        <v>14.66</v>
      </c>
    </row>
    <row r="869" spans="2:9" x14ac:dyDescent="0.2">
      <c r="B869" s="319" t="s">
        <v>94</v>
      </c>
      <c r="C869" s="28" t="s">
        <v>11</v>
      </c>
      <c r="D869" s="570">
        <f>12/200</f>
        <v>0.06</v>
      </c>
      <c r="E869" s="21"/>
      <c r="F869" s="21"/>
      <c r="G869" s="21"/>
      <c r="H869" s="535">
        <f>INSUMOS!E87</f>
        <v>6.41</v>
      </c>
      <c r="I869" s="536">
        <f t="shared" si="8"/>
        <v>0.38</v>
      </c>
    </row>
    <row r="870" spans="2:9" ht="25.5" x14ac:dyDescent="0.2">
      <c r="B870" s="319" t="s">
        <v>244</v>
      </c>
      <c r="C870" s="28" t="s">
        <v>11</v>
      </c>
      <c r="D870" s="570">
        <f>4/200</f>
        <v>0.02</v>
      </c>
      <c r="E870" s="21"/>
      <c r="F870" s="21"/>
      <c r="G870" s="21"/>
      <c r="H870" s="535">
        <f>INSUMOS!E88</f>
        <v>22.95</v>
      </c>
      <c r="I870" s="536">
        <f t="shared" si="8"/>
        <v>0.46</v>
      </c>
    </row>
    <row r="871" spans="2:9" x14ac:dyDescent="0.2">
      <c r="B871" s="319" t="s">
        <v>95</v>
      </c>
      <c r="C871" s="28" t="s">
        <v>11</v>
      </c>
      <c r="D871" s="570">
        <f>12/200</f>
        <v>0.06</v>
      </c>
      <c r="E871" s="21"/>
      <c r="F871" s="21"/>
      <c r="G871" s="21"/>
      <c r="H871" s="535">
        <f>INSUMOS!E89</f>
        <v>2.42</v>
      </c>
      <c r="I871" s="536">
        <f t="shared" si="8"/>
        <v>0.15</v>
      </c>
    </row>
    <row r="872" spans="2:9" x14ac:dyDescent="0.2">
      <c r="B872" s="319" t="s">
        <v>96</v>
      </c>
      <c r="C872" s="28" t="s">
        <v>11</v>
      </c>
      <c r="D872" s="570">
        <f>8/200</f>
        <v>0.04</v>
      </c>
      <c r="E872" s="21"/>
      <c r="F872" s="21"/>
      <c r="G872" s="21"/>
      <c r="H872" s="535">
        <f>INSUMOS!E91</f>
        <v>3.88</v>
      </c>
      <c r="I872" s="536">
        <f t="shared" si="8"/>
        <v>0.16</v>
      </c>
    </row>
    <row r="873" spans="2:9" x14ac:dyDescent="0.2">
      <c r="B873" s="319" t="s">
        <v>245</v>
      </c>
      <c r="C873" s="28" t="s">
        <v>11</v>
      </c>
      <c r="D873" s="570">
        <f>8/200</f>
        <v>0.04</v>
      </c>
      <c r="E873" s="21"/>
      <c r="F873" s="21"/>
      <c r="G873" s="21"/>
      <c r="H873" s="535">
        <f>INSUMOS!E92</f>
        <v>3.88</v>
      </c>
      <c r="I873" s="536">
        <f t="shared" si="8"/>
        <v>0.16</v>
      </c>
    </row>
    <row r="874" spans="2:9" x14ac:dyDescent="0.2">
      <c r="B874" s="669" t="s">
        <v>43</v>
      </c>
      <c r="C874" s="669"/>
      <c r="D874" s="669"/>
      <c r="E874" s="669"/>
      <c r="F874" s="669"/>
      <c r="G874" s="669"/>
      <c r="H874" s="669"/>
      <c r="I874" s="536">
        <f>SUM(I867:I873)</f>
        <v>26.1</v>
      </c>
    </row>
    <row r="875" spans="2:9" x14ac:dyDescent="0.2">
      <c r="B875" s="688" t="s">
        <v>46</v>
      </c>
      <c r="C875" s="688"/>
      <c r="D875" s="688"/>
      <c r="E875" s="688"/>
      <c r="F875" s="688"/>
      <c r="G875" s="688"/>
      <c r="H875" s="688"/>
      <c r="I875" s="688"/>
    </row>
    <row r="876" spans="2:9" x14ac:dyDescent="0.2">
      <c r="B876" s="339" t="s">
        <v>33</v>
      </c>
      <c r="C876" s="347" t="s">
        <v>5</v>
      </c>
      <c r="D876" s="21" t="s">
        <v>6</v>
      </c>
      <c r="E876" s="21"/>
      <c r="F876" s="21"/>
      <c r="G876" s="21"/>
      <c r="H876" s="20" t="s">
        <v>45</v>
      </c>
      <c r="I876" s="36" t="s">
        <v>39</v>
      </c>
    </row>
    <row r="877" spans="2:9" x14ac:dyDescent="0.2">
      <c r="B877" s="319"/>
      <c r="C877" s="20"/>
      <c r="D877" s="21"/>
      <c r="E877" s="21"/>
      <c r="F877" s="21"/>
      <c r="G877" s="21"/>
      <c r="H877" s="20"/>
      <c r="I877" s="30"/>
    </row>
    <row r="878" spans="2:9" x14ac:dyDescent="0.2">
      <c r="B878" s="669"/>
      <c r="C878" s="669"/>
      <c r="D878" s="669"/>
      <c r="E878" s="669"/>
      <c r="F878" s="669"/>
      <c r="G878" s="669"/>
      <c r="H878" s="669"/>
      <c r="I878" s="30"/>
    </row>
    <row r="879" spans="2:9" x14ac:dyDescent="0.2">
      <c r="B879" s="688" t="s">
        <v>47</v>
      </c>
      <c r="C879" s="688"/>
      <c r="D879" s="688"/>
      <c r="E879" s="688"/>
      <c r="F879" s="688"/>
      <c r="G879" s="688"/>
      <c r="H879" s="688"/>
      <c r="I879" s="688"/>
    </row>
    <row r="880" spans="2:9" x14ac:dyDescent="0.2">
      <c r="B880" s="353" t="s">
        <v>33</v>
      </c>
      <c r="C880" s="348" t="s">
        <v>5</v>
      </c>
      <c r="D880" s="385" t="s">
        <v>6</v>
      </c>
      <c r="E880" s="385"/>
      <c r="F880" s="385"/>
      <c r="G880" s="385"/>
      <c r="H880" s="354" t="s">
        <v>45</v>
      </c>
      <c r="I880" s="398" t="s">
        <v>39</v>
      </c>
    </row>
    <row r="881" spans="2:9" x14ac:dyDescent="0.2">
      <c r="B881" s="400" t="s">
        <v>99</v>
      </c>
      <c r="C881" s="27" t="s">
        <v>41</v>
      </c>
      <c r="D881" s="535">
        <f>3/200</f>
        <v>0.02</v>
      </c>
      <c r="E881" s="25"/>
      <c r="F881" s="25"/>
      <c r="G881" s="25"/>
      <c r="H881" s="535">
        <f>INSUMOS!E24</f>
        <v>14</v>
      </c>
      <c r="I881" s="536">
        <f t="shared" ref="I881:I885" si="9">D881*H881</f>
        <v>0.28000000000000003</v>
      </c>
    </row>
    <row r="882" spans="2:9" x14ac:dyDescent="0.2">
      <c r="B882" s="400" t="s">
        <v>100</v>
      </c>
      <c r="C882" s="27" t="s">
        <v>41</v>
      </c>
      <c r="D882" s="535">
        <f>6/200</f>
        <v>0.03</v>
      </c>
      <c r="E882" s="25"/>
      <c r="F882" s="25"/>
      <c r="G882" s="25"/>
      <c r="H882" s="535">
        <f>INSUMOS!E25</f>
        <v>10.53</v>
      </c>
      <c r="I882" s="536">
        <f t="shared" si="9"/>
        <v>0.32</v>
      </c>
    </row>
    <row r="883" spans="2:9" x14ac:dyDescent="0.2">
      <c r="B883" s="400" t="s">
        <v>246</v>
      </c>
      <c r="C883" s="27" t="s">
        <v>41</v>
      </c>
      <c r="D883" s="535">
        <f>8/200</f>
        <v>0.04</v>
      </c>
      <c r="E883" s="25"/>
      <c r="F883" s="25"/>
      <c r="G883" s="25"/>
      <c r="H883" s="535">
        <f>INSUMOS!E18</f>
        <v>10.37</v>
      </c>
      <c r="I883" s="536">
        <f t="shared" si="9"/>
        <v>0.41</v>
      </c>
    </row>
    <row r="884" spans="2:9" x14ac:dyDescent="0.2">
      <c r="B884" s="400" t="s">
        <v>295</v>
      </c>
      <c r="C884" s="27" t="s">
        <v>41</v>
      </c>
      <c r="D884" s="535">
        <f>8/200</f>
        <v>0.04</v>
      </c>
      <c r="E884" s="25"/>
      <c r="F884" s="25"/>
      <c r="G884" s="25"/>
      <c r="H884" s="535">
        <f>INSUMOS!E26</f>
        <v>7.81</v>
      </c>
      <c r="I884" s="536">
        <f t="shared" si="9"/>
        <v>0.31</v>
      </c>
    </row>
    <row r="885" spans="2:9" x14ac:dyDescent="0.2">
      <c r="B885" s="406" t="s">
        <v>247</v>
      </c>
      <c r="C885" s="27" t="s">
        <v>41</v>
      </c>
      <c r="D885" s="535">
        <f>8/200</f>
        <v>0.04</v>
      </c>
      <c r="E885" s="25"/>
      <c r="F885" s="25"/>
      <c r="G885" s="25"/>
      <c r="H885" s="535">
        <f>INSUMOS!E13</f>
        <v>7.81</v>
      </c>
      <c r="I885" s="536">
        <f t="shared" si="9"/>
        <v>0.31</v>
      </c>
    </row>
    <row r="886" spans="2:9" x14ac:dyDescent="0.2">
      <c r="B886" s="669" t="s">
        <v>43</v>
      </c>
      <c r="C886" s="669"/>
      <c r="D886" s="669"/>
      <c r="E886" s="669"/>
      <c r="F886" s="669"/>
      <c r="G886" s="669"/>
      <c r="H886" s="669"/>
      <c r="I886" s="552">
        <f>SUM(I881:I885)</f>
        <v>1.63</v>
      </c>
    </row>
    <row r="887" spans="2:9" x14ac:dyDescent="0.2">
      <c r="B887" s="341" t="s">
        <v>49</v>
      </c>
      <c r="C887" s="20">
        <v>1</v>
      </c>
      <c r="D887" s="682" t="s">
        <v>50</v>
      </c>
      <c r="E887" s="682"/>
      <c r="F887" s="682"/>
      <c r="G887" s="682"/>
      <c r="H887" s="682"/>
      <c r="I887" s="552">
        <f>I886+I878+I874+I864</f>
        <v>29.08</v>
      </c>
    </row>
    <row r="888" spans="2:9" x14ac:dyDescent="0.2">
      <c r="B888" s="342"/>
      <c r="C888" s="386"/>
      <c r="D888" s="387"/>
      <c r="E888" s="387"/>
      <c r="F888" s="387"/>
      <c r="G888" s="387"/>
      <c r="H888" s="190"/>
      <c r="I888" s="552">
        <f>I887/C887</f>
        <v>29.08</v>
      </c>
    </row>
    <row r="889" spans="2:9" x14ac:dyDescent="0.2">
      <c r="B889" s="342" t="s">
        <v>239</v>
      </c>
      <c r="C889" s="477">
        <f>BDI!C$36</f>
        <v>25</v>
      </c>
      <c r="D889" s="344" t="s">
        <v>103</v>
      </c>
      <c r="E889" s="344"/>
      <c r="F889" s="344"/>
      <c r="G889" s="344"/>
      <c r="H889" s="345"/>
      <c r="I889" s="536">
        <f>C889/100*I888</f>
        <v>7.27</v>
      </c>
    </row>
    <row r="890" spans="2:9" ht="13.5" thickBot="1" x14ac:dyDescent="0.25">
      <c r="B890" s="657" t="s">
        <v>51</v>
      </c>
      <c r="C890" s="703"/>
      <c r="D890" s="657"/>
      <c r="E890" s="657"/>
      <c r="F890" s="657"/>
      <c r="G890" s="657"/>
      <c r="H890" s="657"/>
      <c r="I890" s="506">
        <f>I888+I889</f>
        <v>36.35</v>
      </c>
    </row>
    <row r="891" spans="2:9" ht="15" customHeight="1" thickBot="1" x14ac:dyDescent="0.25">
      <c r="B891" s="683"/>
      <c r="C891" s="684"/>
      <c r="D891" s="684"/>
      <c r="E891" s="684"/>
      <c r="F891" s="684"/>
      <c r="G891" s="684"/>
      <c r="H891" s="684"/>
      <c r="I891" s="381"/>
    </row>
    <row r="892" spans="2:9" ht="15.75" x14ac:dyDescent="0.2">
      <c r="B892" s="530" t="s">
        <v>357</v>
      </c>
      <c r="C892" s="531" t="s">
        <v>187</v>
      </c>
      <c r="D892" s="759" t="s">
        <v>30</v>
      </c>
      <c r="E892" s="759"/>
      <c r="F892" s="759"/>
      <c r="G892" s="759"/>
      <c r="H892" s="759"/>
      <c r="I892" s="760"/>
    </row>
    <row r="893" spans="2:9" x14ac:dyDescent="0.2">
      <c r="B893" s="673" t="s">
        <v>134</v>
      </c>
      <c r="C893" s="674"/>
      <c r="D893" s="674"/>
      <c r="E893" s="674"/>
      <c r="F893" s="674"/>
      <c r="G893" s="675"/>
      <c r="H893" s="670" t="s">
        <v>494</v>
      </c>
      <c r="I893" s="671"/>
    </row>
    <row r="894" spans="2:9" ht="38.25" customHeight="1" x14ac:dyDescent="0.2">
      <c r="B894" s="761" t="s">
        <v>499</v>
      </c>
      <c r="C894" s="762"/>
      <c r="D894" s="762"/>
      <c r="E894" s="762"/>
      <c r="F894" s="762"/>
      <c r="G894" s="763"/>
      <c r="H894" s="283" t="s">
        <v>31</v>
      </c>
      <c r="I894" s="284" t="s">
        <v>142</v>
      </c>
    </row>
    <row r="895" spans="2:9" ht="15.75" x14ac:dyDescent="0.2">
      <c r="B895" s="689" t="s">
        <v>32</v>
      </c>
      <c r="C895" s="690"/>
      <c r="D895" s="690"/>
      <c r="E895" s="690"/>
      <c r="F895" s="690"/>
      <c r="G895" s="690"/>
      <c r="H895" s="690"/>
      <c r="I895" s="691"/>
    </row>
    <row r="896" spans="2:9" ht="25.5" x14ac:dyDescent="0.2">
      <c r="B896" s="285" t="s">
        <v>33</v>
      </c>
      <c r="C896" s="14" t="s">
        <v>34</v>
      </c>
      <c r="D896" s="286" t="s">
        <v>6</v>
      </c>
      <c r="E896" s="287" t="s">
        <v>35</v>
      </c>
      <c r="F896" s="287" t="s">
        <v>36</v>
      </c>
      <c r="G896" s="288" t="s">
        <v>37</v>
      </c>
      <c r="H896" s="288" t="s">
        <v>38</v>
      </c>
      <c r="I896" s="289" t="s">
        <v>39</v>
      </c>
    </row>
    <row r="897" spans="2:9" x14ac:dyDescent="0.2">
      <c r="B897" s="109"/>
      <c r="C897" s="198"/>
      <c r="D897" s="290"/>
      <c r="E897" s="291"/>
      <c r="F897" s="292"/>
      <c r="G897" s="293"/>
      <c r="H897" s="294"/>
      <c r="I897" s="293"/>
    </row>
    <row r="898" spans="2:9" x14ac:dyDescent="0.2">
      <c r="B898" s="764" t="s">
        <v>43</v>
      </c>
      <c r="C898" s="765"/>
      <c r="D898" s="765"/>
      <c r="E898" s="765"/>
      <c r="F898" s="765"/>
      <c r="G898" s="765"/>
      <c r="H898" s="765"/>
      <c r="I898" s="295"/>
    </row>
    <row r="899" spans="2:9" ht="15.75" x14ac:dyDescent="0.2">
      <c r="B899" s="689" t="s">
        <v>44</v>
      </c>
      <c r="C899" s="690"/>
      <c r="D899" s="690"/>
      <c r="E899" s="690"/>
      <c r="F899" s="690"/>
      <c r="G899" s="690"/>
      <c r="H899" s="690"/>
      <c r="I899" s="691"/>
    </row>
    <row r="900" spans="2:9" x14ac:dyDescent="0.2">
      <c r="B900" s="296" t="s">
        <v>33</v>
      </c>
      <c r="C900" s="337" t="s">
        <v>34</v>
      </c>
      <c r="D900" s="297" t="s">
        <v>6</v>
      </c>
      <c r="E900" s="298"/>
      <c r="F900" s="298"/>
      <c r="G900" s="298"/>
      <c r="H900" s="198" t="s">
        <v>45</v>
      </c>
      <c r="I900" s="299" t="s">
        <v>39</v>
      </c>
    </row>
    <row r="901" spans="2:9" ht="38.25" x14ac:dyDescent="0.2">
      <c r="B901" s="109" t="s">
        <v>301</v>
      </c>
      <c r="C901" s="59" t="s">
        <v>142</v>
      </c>
      <c r="D901" s="572">
        <v>1</v>
      </c>
      <c r="E901" s="301"/>
      <c r="F901" s="301"/>
      <c r="G901" s="301"/>
      <c r="H901" s="500">
        <f>INSUMOS!E106</f>
        <v>139.66999999999999</v>
      </c>
      <c r="I901" s="501">
        <f>D901*H901</f>
        <v>139.66999999999999</v>
      </c>
    </row>
    <row r="902" spans="2:9" x14ac:dyDescent="0.2">
      <c r="B902" s="692" t="s">
        <v>43</v>
      </c>
      <c r="C902" s="693"/>
      <c r="D902" s="693"/>
      <c r="E902" s="693"/>
      <c r="F902" s="693"/>
      <c r="G902" s="693"/>
      <c r="H902" s="693"/>
      <c r="I902" s="501">
        <f>SUM(I901:I901)</f>
        <v>139.66999999999999</v>
      </c>
    </row>
    <row r="903" spans="2:9" ht="15.75" x14ac:dyDescent="0.2">
      <c r="B903" s="689" t="s">
        <v>46</v>
      </c>
      <c r="C903" s="690"/>
      <c r="D903" s="690"/>
      <c r="E903" s="690"/>
      <c r="F903" s="690"/>
      <c r="G903" s="690"/>
      <c r="H903" s="690"/>
      <c r="I903" s="691"/>
    </row>
    <row r="904" spans="2:9" x14ac:dyDescent="0.2">
      <c r="B904" s="305" t="s">
        <v>33</v>
      </c>
      <c r="C904" s="337" t="s">
        <v>34</v>
      </c>
      <c r="D904" s="198" t="s">
        <v>6</v>
      </c>
      <c r="E904" s="317"/>
      <c r="F904" s="317"/>
      <c r="G904" s="317"/>
      <c r="H904" s="198" t="s">
        <v>45</v>
      </c>
      <c r="I904" s="302" t="s">
        <v>39</v>
      </c>
    </row>
    <row r="905" spans="2:9" x14ac:dyDescent="0.2">
      <c r="B905" s="314" t="s">
        <v>302</v>
      </c>
      <c r="C905" s="198" t="s">
        <v>23</v>
      </c>
      <c r="D905" s="574">
        <v>0.04</v>
      </c>
      <c r="E905" s="317"/>
      <c r="F905" s="317"/>
      <c r="G905" s="317"/>
      <c r="H905" s="509">
        <f>I317</f>
        <v>361.29</v>
      </c>
      <c r="I905" s="501">
        <f>D905*H905</f>
        <v>14.45</v>
      </c>
    </row>
    <row r="906" spans="2:9" x14ac:dyDescent="0.2">
      <c r="B906" s="686" t="s">
        <v>43</v>
      </c>
      <c r="C906" s="687"/>
      <c r="D906" s="687"/>
      <c r="E906" s="687"/>
      <c r="F906" s="687"/>
      <c r="G906" s="687"/>
      <c r="H906" s="687"/>
      <c r="I906" s="501">
        <f>SUM(I905:I905)</f>
        <v>14.45</v>
      </c>
    </row>
    <row r="907" spans="2:9" ht="15.75" x14ac:dyDescent="0.2">
      <c r="B907" s="689" t="s">
        <v>47</v>
      </c>
      <c r="C907" s="690"/>
      <c r="D907" s="690"/>
      <c r="E907" s="690"/>
      <c r="F907" s="690"/>
      <c r="G907" s="690"/>
      <c r="H907" s="690"/>
      <c r="I907" s="691"/>
    </row>
    <row r="908" spans="2:9" x14ac:dyDescent="0.2">
      <c r="B908" s="307" t="s">
        <v>33</v>
      </c>
      <c r="C908" s="337" t="s">
        <v>34</v>
      </c>
      <c r="D908" s="308" t="s">
        <v>6</v>
      </c>
      <c r="E908" s="301"/>
      <c r="F908" s="301"/>
      <c r="G908" s="301"/>
      <c r="H908" s="198" t="s">
        <v>45</v>
      </c>
      <c r="I908" s="299" t="s">
        <v>39</v>
      </c>
    </row>
    <row r="909" spans="2:9" x14ac:dyDescent="0.2">
      <c r="B909" s="309" t="s">
        <v>82</v>
      </c>
      <c r="C909" s="310" t="s">
        <v>41</v>
      </c>
      <c r="D909" s="502">
        <v>2</v>
      </c>
      <c r="E909" s="301"/>
      <c r="F909" s="301"/>
      <c r="G909" s="301"/>
      <c r="H909" s="500">
        <f>INSUMOS!E18</f>
        <v>10.37</v>
      </c>
      <c r="I909" s="501">
        <f>D909*H909</f>
        <v>20.74</v>
      </c>
    </row>
    <row r="910" spans="2:9" x14ac:dyDescent="0.2">
      <c r="B910" s="309" t="s">
        <v>303</v>
      </c>
      <c r="C910" s="310" t="s">
        <v>41</v>
      </c>
      <c r="D910" s="502">
        <v>3</v>
      </c>
      <c r="E910" s="301"/>
      <c r="F910" s="301"/>
      <c r="G910" s="301"/>
      <c r="H910" s="500">
        <f>INSUMOS!E14</f>
        <v>7.81</v>
      </c>
      <c r="I910" s="501">
        <f>D910*H910</f>
        <v>23.43</v>
      </c>
    </row>
    <row r="911" spans="2:9" x14ac:dyDescent="0.2">
      <c r="B911" s="309" t="s">
        <v>83</v>
      </c>
      <c r="C911" s="310" t="s">
        <v>41</v>
      </c>
      <c r="D911" s="502">
        <v>1</v>
      </c>
      <c r="E911" s="301"/>
      <c r="F911" s="301"/>
      <c r="G911" s="301"/>
      <c r="H911" s="500">
        <f>INSUMOS!E17</f>
        <v>10.37</v>
      </c>
      <c r="I911" s="501">
        <f>D911*H911</f>
        <v>10.37</v>
      </c>
    </row>
    <row r="912" spans="2:9" x14ac:dyDescent="0.2">
      <c r="B912" s="686" t="s">
        <v>43</v>
      </c>
      <c r="C912" s="687"/>
      <c r="D912" s="687"/>
      <c r="E912" s="687"/>
      <c r="F912" s="687"/>
      <c r="G912" s="687"/>
      <c r="H912" s="687"/>
      <c r="I912" s="505">
        <f>SUM(I909:I911)</f>
        <v>54.54</v>
      </c>
    </row>
    <row r="913" spans="1:11" x14ac:dyDescent="0.2">
      <c r="B913" s="311" t="s">
        <v>49</v>
      </c>
      <c r="C913" s="293">
        <v>1</v>
      </c>
      <c r="D913" s="687" t="s">
        <v>50</v>
      </c>
      <c r="E913" s="687"/>
      <c r="F913" s="687"/>
      <c r="G913" s="687"/>
      <c r="H913" s="687"/>
      <c r="I913" s="505">
        <f>I912+I906+I902+I898</f>
        <v>208.66</v>
      </c>
    </row>
    <row r="914" spans="1:11" x14ac:dyDescent="0.2">
      <c r="B914" s="694" t="s">
        <v>299</v>
      </c>
      <c r="C914" s="695"/>
      <c r="D914" s="696"/>
      <c r="E914" s="696"/>
      <c r="F914" s="696"/>
      <c r="G914" s="696"/>
      <c r="H914" s="696"/>
      <c r="I914" s="501">
        <f>I913/C913</f>
        <v>208.66</v>
      </c>
    </row>
    <row r="915" spans="1:11" x14ac:dyDescent="0.2">
      <c r="B915" s="312" t="s">
        <v>300</v>
      </c>
      <c r="C915" s="477">
        <f>BDI!C$36</f>
        <v>25</v>
      </c>
      <c r="D915" s="697" t="s">
        <v>103</v>
      </c>
      <c r="E915" s="698"/>
      <c r="F915" s="698"/>
      <c r="G915" s="698"/>
      <c r="H915" s="699"/>
      <c r="I915" s="501">
        <f>C915/100*I914</f>
        <v>52.17</v>
      </c>
    </row>
    <row r="916" spans="1:11" ht="13.5" thickBot="1" x14ac:dyDescent="0.25">
      <c r="B916" s="700" t="s">
        <v>51</v>
      </c>
      <c r="C916" s="701"/>
      <c r="D916" s="701"/>
      <c r="E916" s="701"/>
      <c r="F916" s="701"/>
      <c r="G916" s="701"/>
      <c r="H916" s="702"/>
      <c r="I916" s="506">
        <f>SUM(I914:I915)</f>
        <v>260.83</v>
      </c>
    </row>
    <row r="917" spans="1:11" s="47" customFormat="1" ht="13.5" customHeight="1" thickBot="1" x14ac:dyDescent="0.25">
      <c r="B917" s="683"/>
      <c r="C917" s="684"/>
      <c r="D917" s="684"/>
      <c r="E917" s="684"/>
      <c r="F917" s="684"/>
      <c r="G917" s="684"/>
      <c r="H917" s="684"/>
      <c r="I917" s="381"/>
      <c r="J917" s="11"/>
      <c r="K917" s="11"/>
    </row>
    <row r="918" spans="1:11" s="47" customFormat="1" ht="20.25" customHeight="1" x14ac:dyDescent="0.2">
      <c r="B918" s="530" t="s">
        <v>357</v>
      </c>
      <c r="C918" s="531" t="s">
        <v>287</v>
      </c>
      <c r="D918" s="685" t="s">
        <v>30</v>
      </c>
      <c r="E918" s="685"/>
      <c r="F918" s="685"/>
      <c r="G918" s="685"/>
      <c r="H918" s="685"/>
      <c r="I918" s="685"/>
      <c r="J918" s="11"/>
      <c r="K918" s="11"/>
    </row>
    <row r="919" spans="1:11" s="47" customFormat="1" ht="16.5" customHeight="1" x14ac:dyDescent="0.2">
      <c r="B919" s="673" t="s">
        <v>134</v>
      </c>
      <c r="C919" s="674"/>
      <c r="D919" s="674"/>
      <c r="E919" s="674"/>
      <c r="F919" s="674"/>
      <c r="G919" s="675"/>
      <c r="H919" s="670" t="s">
        <v>494</v>
      </c>
      <c r="I919" s="671"/>
      <c r="J919" s="11"/>
    </row>
    <row r="920" spans="1:11" s="47" customFormat="1" ht="22.5" customHeight="1" x14ac:dyDescent="0.2">
      <c r="B920" s="672" t="s">
        <v>248</v>
      </c>
      <c r="C920" s="672"/>
      <c r="D920" s="672"/>
      <c r="E920" s="672"/>
      <c r="F920" s="672"/>
      <c r="G920" s="672"/>
      <c r="H920" s="12" t="s">
        <v>31</v>
      </c>
      <c r="I920" s="202" t="s">
        <v>142</v>
      </c>
    </row>
    <row r="921" spans="1:11" ht="18.75" customHeight="1" x14ac:dyDescent="0.2">
      <c r="A921" s="33"/>
      <c r="B921" s="668" t="s">
        <v>32</v>
      </c>
      <c r="C921" s="668"/>
      <c r="D921" s="668"/>
      <c r="E921" s="668"/>
      <c r="F921" s="668"/>
      <c r="G921" s="668"/>
      <c r="H921" s="668"/>
      <c r="I921" s="668"/>
      <c r="J921" s="47"/>
      <c r="K921" s="47"/>
    </row>
    <row r="922" spans="1:11" ht="29.25" customHeight="1" x14ac:dyDescent="0.2">
      <c r="B922" s="13" t="s">
        <v>33</v>
      </c>
      <c r="C922" s="62" t="s">
        <v>5</v>
      </c>
      <c r="D922" s="14" t="s">
        <v>6</v>
      </c>
      <c r="E922" s="14" t="s">
        <v>35</v>
      </c>
      <c r="F922" s="14" t="s">
        <v>36</v>
      </c>
      <c r="G922" s="14" t="s">
        <v>37</v>
      </c>
      <c r="H922" s="14" t="s">
        <v>38</v>
      </c>
      <c r="I922" s="203" t="s">
        <v>39</v>
      </c>
      <c r="J922" s="47"/>
      <c r="K922" s="47"/>
    </row>
    <row r="923" spans="1:11" ht="15.95" customHeight="1" x14ac:dyDescent="0.2">
      <c r="B923" s="35" t="s">
        <v>289</v>
      </c>
      <c r="C923" s="28" t="s">
        <v>41</v>
      </c>
      <c r="D923" s="575">
        <v>2</v>
      </c>
      <c r="E923" s="20">
        <v>1</v>
      </c>
      <c r="F923" s="20"/>
      <c r="G923" s="535">
        <f>INSUMOS!E59</f>
        <v>67.5</v>
      </c>
      <c r="H923" s="20"/>
      <c r="I923" s="525">
        <f>D923*G923</f>
        <v>135</v>
      </c>
      <c r="J923" s="47"/>
    </row>
    <row r="924" spans="1:11" s="47" customFormat="1" ht="18" customHeight="1" x14ac:dyDescent="0.2">
      <c r="B924" s="669" t="s">
        <v>43</v>
      </c>
      <c r="C924" s="669"/>
      <c r="D924" s="669"/>
      <c r="E924" s="669"/>
      <c r="F924" s="669"/>
      <c r="G924" s="669"/>
      <c r="H924" s="669"/>
      <c r="I924" s="537">
        <f>SUM(I923:I923)</f>
        <v>135</v>
      </c>
      <c r="J924" s="11"/>
      <c r="K924" s="11"/>
    </row>
    <row r="925" spans="1:11" x14ac:dyDescent="0.2">
      <c r="B925" s="668" t="s">
        <v>44</v>
      </c>
      <c r="C925" s="668"/>
      <c r="D925" s="668"/>
      <c r="E925" s="668"/>
      <c r="F925" s="668"/>
      <c r="G925" s="668"/>
      <c r="H925" s="668"/>
      <c r="I925" s="668"/>
    </row>
    <row r="926" spans="1:11" x14ac:dyDescent="0.2">
      <c r="B926" s="353" t="s">
        <v>33</v>
      </c>
      <c r="C926" s="352" t="s">
        <v>5</v>
      </c>
      <c r="D926" s="24" t="s">
        <v>6</v>
      </c>
      <c r="E926" s="25"/>
      <c r="F926" s="25"/>
      <c r="G926" s="25"/>
      <c r="H926" s="24" t="s">
        <v>45</v>
      </c>
      <c r="I926" s="36" t="s">
        <v>39</v>
      </c>
      <c r="K926" s="47"/>
    </row>
    <row r="927" spans="1:11" x14ac:dyDescent="0.2">
      <c r="B927" s="378" t="s">
        <v>219</v>
      </c>
      <c r="C927" s="379" t="s">
        <v>53</v>
      </c>
      <c r="D927" s="576">
        <v>9</v>
      </c>
      <c r="E927" s="190"/>
      <c r="F927" s="190"/>
      <c r="G927" s="190"/>
      <c r="H927" s="535">
        <f>INSUMOS!E94</f>
        <v>4.1100000000000003</v>
      </c>
      <c r="I927" s="525">
        <f>H927*D927</f>
        <v>36.99</v>
      </c>
      <c r="J927" s="47"/>
    </row>
    <row r="928" spans="1:11" s="47" customFormat="1" ht="20.25" customHeight="1" x14ac:dyDescent="0.2">
      <c r="B928" s="196" t="s">
        <v>232</v>
      </c>
      <c r="C928" s="379" t="s">
        <v>53</v>
      </c>
      <c r="D928" s="576">
        <v>10</v>
      </c>
      <c r="E928" s="190"/>
      <c r="F928" s="190"/>
      <c r="G928" s="190"/>
      <c r="H928" s="535">
        <f>INSUMOS!E95</f>
        <v>4.3499999999999996</v>
      </c>
      <c r="I928" s="525">
        <f>H928*D928</f>
        <v>43.5</v>
      </c>
      <c r="J928" s="11"/>
      <c r="K928" s="11"/>
    </row>
    <row r="929" spans="2:11" ht="15.95" customHeight="1" x14ac:dyDescent="0.2">
      <c r="B929" s="669" t="s">
        <v>43</v>
      </c>
      <c r="C929" s="669"/>
      <c r="D929" s="669"/>
      <c r="E929" s="669"/>
      <c r="F929" s="669"/>
      <c r="G929" s="669"/>
      <c r="H929" s="669"/>
      <c r="I929" s="536">
        <f>SUM(I927:I928)</f>
        <v>80.489999999999995</v>
      </c>
    </row>
    <row r="930" spans="2:11" ht="15.95" customHeight="1" x14ac:dyDescent="0.2">
      <c r="B930" s="668" t="s">
        <v>46</v>
      </c>
      <c r="C930" s="668"/>
      <c r="D930" s="668"/>
      <c r="E930" s="668"/>
      <c r="F930" s="668"/>
      <c r="G930" s="668"/>
      <c r="H930" s="668"/>
      <c r="I930" s="668"/>
      <c r="K930" s="47"/>
    </row>
    <row r="931" spans="2:11" ht="21" customHeight="1" x14ac:dyDescent="0.2">
      <c r="B931" s="339" t="s">
        <v>33</v>
      </c>
      <c r="C931" s="27" t="s">
        <v>5</v>
      </c>
      <c r="D931" s="20" t="s">
        <v>6</v>
      </c>
      <c r="E931" s="21"/>
      <c r="F931" s="21"/>
      <c r="G931" s="21"/>
      <c r="H931" s="20" t="s">
        <v>45</v>
      </c>
      <c r="I931" s="30" t="s">
        <v>39</v>
      </c>
      <c r="J931" s="47"/>
    </row>
    <row r="932" spans="2:11" ht="18" customHeight="1" x14ac:dyDescent="0.2">
      <c r="B932" s="196" t="s">
        <v>293</v>
      </c>
      <c r="C932" s="379" t="s">
        <v>222</v>
      </c>
      <c r="D932" s="577">
        <v>0.59799999999999998</v>
      </c>
      <c r="E932" s="190"/>
      <c r="F932" s="190"/>
      <c r="G932" s="190"/>
      <c r="H932" s="560">
        <f>I1105</f>
        <v>335.33</v>
      </c>
      <c r="I932" s="536">
        <f>D932*H932</f>
        <v>200.53</v>
      </c>
    </row>
    <row r="933" spans="2:11" s="47" customFormat="1" ht="19.5" customHeight="1" x14ac:dyDescent="0.2">
      <c r="B933" s="197" t="s">
        <v>223</v>
      </c>
      <c r="C933" s="198" t="s">
        <v>52</v>
      </c>
      <c r="D933" s="574">
        <v>1.35</v>
      </c>
      <c r="E933" s="317"/>
      <c r="F933" s="317"/>
      <c r="G933" s="317"/>
      <c r="H933" s="560">
        <f>I969</f>
        <v>6.3</v>
      </c>
      <c r="I933" s="501">
        <f>D933*H933</f>
        <v>8.51</v>
      </c>
      <c r="J933" s="11"/>
      <c r="K933" s="11"/>
    </row>
    <row r="934" spans="2:11" x14ac:dyDescent="0.2">
      <c r="B934" s="669" t="s">
        <v>43</v>
      </c>
      <c r="C934" s="669"/>
      <c r="D934" s="669"/>
      <c r="E934" s="669"/>
      <c r="F934" s="669"/>
      <c r="G934" s="669"/>
      <c r="H934" s="669"/>
      <c r="I934" s="536">
        <f>SUM(I932:I933)</f>
        <v>209.04</v>
      </c>
    </row>
    <row r="935" spans="2:11" x14ac:dyDescent="0.2">
      <c r="B935" s="668" t="s">
        <v>47</v>
      </c>
      <c r="C935" s="668"/>
      <c r="D935" s="668"/>
      <c r="E935" s="668"/>
      <c r="F935" s="668"/>
      <c r="G935" s="668"/>
      <c r="H935" s="668"/>
      <c r="I935" s="668"/>
      <c r="K935" s="47"/>
    </row>
    <row r="936" spans="2:11" x14ac:dyDescent="0.2">
      <c r="B936" s="353" t="s">
        <v>33</v>
      </c>
      <c r="C936" s="352" t="s">
        <v>5</v>
      </c>
      <c r="D936" s="354" t="s">
        <v>6</v>
      </c>
      <c r="E936" s="25"/>
      <c r="F936" s="25"/>
      <c r="G936" s="25"/>
      <c r="H936" s="24" t="s">
        <v>45</v>
      </c>
      <c r="I936" s="36" t="s">
        <v>39</v>
      </c>
      <c r="J936" s="47"/>
    </row>
    <row r="937" spans="2:11" x14ac:dyDescent="0.2">
      <c r="B937" s="35" t="s">
        <v>48</v>
      </c>
      <c r="C937" s="27" t="s">
        <v>41</v>
      </c>
      <c r="D937" s="535">
        <v>4.9000000000000004</v>
      </c>
      <c r="E937" s="21"/>
      <c r="F937" s="21"/>
      <c r="G937" s="21"/>
      <c r="H937" s="535">
        <f>INSUMOS!E13</f>
        <v>7.81</v>
      </c>
      <c r="I937" s="536">
        <f>H937*D937</f>
        <v>38.270000000000003</v>
      </c>
    </row>
    <row r="938" spans="2:11" x14ac:dyDescent="0.2">
      <c r="B938" s="382" t="s">
        <v>83</v>
      </c>
      <c r="C938" s="383" t="s">
        <v>41</v>
      </c>
      <c r="D938" s="535">
        <v>4.9000000000000004</v>
      </c>
      <c r="E938" s="21"/>
      <c r="F938" s="21"/>
      <c r="G938" s="21"/>
      <c r="H938" s="535">
        <f>INSUMOS!E17</f>
        <v>10.37</v>
      </c>
      <c r="I938" s="536">
        <f>H938*D938</f>
        <v>50.81</v>
      </c>
    </row>
    <row r="939" spans="2:11" x14ac:dyDescent="0.2">
      <c r="B939" s="320" t="s">
        <v>353</v>
      </c>
      <c r="C939" s="352" t="s">
        <v>41</v>
      </c>
      <c r="D939" s="578">
        <v>2</v>
      </c>
      <c r="E939" s="21"/>
      <c r="F939" s="21"/>
      <c r="G939" s="21"/>
      <c r="H939" s="535">
        <f>INSUMOS!E107</f>
        <v>10.37</v>
      </c>
      <c r="I939" s="536">
        <f t="shared" ref="I939:I940" si="10">H939*D939</f>
        <v>20.74</v>
      </c>
    </row>
    <row r="940" spans="2:11" x14ac:dyDescent="0.2">
      <c r="B940" s="320" t="s">
        <v>54</v>
      </c>
      <c r="C940" s="352" t="s">
        <v>41</v>
      </c>
      <c r="D940" s="578">
        <v>2</v>
      </c>
      <c r="E940" s="21"/>
      <c r="F940" s="21"/>
      <c r="G940" s="21"/>
      <c r="H940" s="535">
        <f>INSUMOS!E16</f>
        <v>10.37</v>
      </c>
      <c r="I940" s="536">
        <f t="shared" si="10"/>
        <v>20.74</v>
      </c>
    </row>
    <row r="941" spans="2:11" s="47" customFormat="1" ht="12.75" customHeight="1" x14ac:dyDescent="0.2">
      <c r="B941" s="669" t="s">
        <v>43</v>
      </c>
      <c r="C941" s="669"/>
      <c r="D941" s="669"/>
      <c r="E941" s="669"/>
      <c r="F941" s="669"/>
      <c r="G941" s="669"/>
      <c r="H941" s="669"/>
      <c r="I941" s="537">
        <f>SUM(I937:I940)</f>
        <v>130.56</v>
      </c>
      <c r="J941" s="11"/>
      <c r="K941" s="11"/>
    </row>
    <row r="942" spans="2:11" s="47" customFormat="1" ht="14.25" customHeight="1" x14ac:dyDescent="0.2">
      <c r="B942" s="341" t="s">
        <v>49</v>
      </c>
      <c r="C942" s="20">
        <v>1</v>
      </c>
      <c r="D942" s="682" t="s">
        <v>50</v>
      </c>
      <c r="E942" s="682"/>
      <c r="F942" s="682"/>
      <c r="G942" s="682"/>
      <c r="H942" s="682"/>
      <c r="I942" s="537">
        <f>I941+I934+I929+I924</f>
        <v>555.09</v>
      </c>
      <c r="J942" s="11"/>
      <c r="K942" s="11"/>
    </row>
    <row r="943" spans="2:11" s="47" customFormat="1" ht="13.5" customHeight="1" x14ac:dyDescent="0.2">
      <c r="B943" s="665"/>
      <c r="C943" s="666"/>
      <c r="D943" s="666"/>
      <c r="E943" s="666"/>
      <c r="F943" s="666"/>
      <c r="G943" s="666"/>
      <c r="H943" s="667"/>
      <c r="I943" s="537">
        <f>I942/C942</f>
        <v>555.09</v>
      </c>
      <c r="J943" s="11"/>
    </row>
    <row r="944" spans="2:11" s="47" customFormat="1" ht="15.75" customHeight="1" x14ac:dyDescent="0.2">
      <c r="B944" s="342" t="s">
        <v>135</v>
      </c>
      <c r="C944" s="477">
        <f>BDI!C$36</f>
        <v>25</v>
      </c>
      <c r="D944" s="343" t="s">
        <v>103</v>
      </c>
      <c r="E944" s="344"/>
      <c r="F944" s="344"/>
      <c r="G944" s="344"/>
      <c r="H944" s="345"/>
      <c r="I944" s="536">
        <f>C944/100*I943</f>
        <v>138.77000000000001</v>
      </c>
    </row>
    <row r="945" spans="1:11" ht="13.5" thickBot="1" x14ac:dyDescent="0.25">
      <c r="A945" s="33"/>
      <c r="B945" s="657" t="s">
        <v>51</v>
      </c>
      <c r="C945" s="657"/>
      <c r="D945" s="657"/>
      <c r="E945" s="657"/>
      <c r="F945" s="657"/>
      <c r="G945" s="657"/>
      <c r="H945" s="657"/>
      <c r="I945" s="506">
        <f>SUM(I943:I944)</f>
        <v>693.86</v>
      </c>
      <c r="J945" s="47"/>
      <c r="K945" s="47"/>
    </row>
    <row r="946" spans="1:11" ht="15.95" customHeight="1" thickBot="1" x14ac:dyDescent="0.25">
      <c r="C946" s="11"/>
      <c r="D946" s="11"/>
      <c r="I946" s="11"/>
    </row>
    <row r="947" spans="1:11" ht="51" customHeight="1" x14ac:dyDescent="0.2">
      <c r="B947" s="530" t="s">
        <v>357</v>
      </c>
      <c r="C947" s="534" t="s">
        <v>547</v>
      </c>
      <c r="D947" s="685" t="s">
        <v>30</v>
      </c>
      <c r="E947" s="685"/>
      <c r="F947" s="685"/>
      <c r="G947" s="685"/>
      <c r="H947" s="685"/>
      <c r="I947" s="685"/>
      <c r="K947" s="47"/>
    </row>
    <row r="948" spans="1:11" ht="15.95" customHeight="1" x14ac:dyDescent="0.2">
      <c r="B948" s="673" t="s">
        <v>134</v>
      </c>
      <c r="C948" s="674"/>
      <c r="D948" s="674"/>
      <c r="E948" s="674"/>
      <c r="F948" s="674"/>
      <c r="G948" s="675"/>
      <c r="H948" s="670" t="s">
        <v>494</v>
      </c>
      <c r="I948" s="671"/>
    </row>
    <row r="949" spans="1:11" x14ac:dyDescent="0.2">
      <c r="B949" s="761" t="s">
        <v>296</v>
      </c>
      <c r="C949" s="762"/>
      <c r="D949" s="762"/>
      <c r="E949" s="762"/>
      <c r="F949" s="762"/>
      <c r="G949" s="763"/>
      <c r="H949" s="283" t="s">
        <v>31</v>
      </c>
      <c r="I949" s="284" t="s">
        <v>52</v>
      </c>
    </row>
    <row r="950" spans="1:11" ht="15.75" x14ac:dyDescent="0.2">
      <c r="B950" s="689" t="s">
        <v>32</v>
      </c>
      <c r="C950" s="690"/>
      <c r="D950" s="690"/>
      <c r="E950" s="690"/>
      <c r="F950" s="690"/>
      <c r="G950" s="690"/>
      <c r="H950" s="690"/>
      <c r="I950" s="691"/>
    </row>
    <row r="951" spans="1:11" ht="25.5" x14ac:dyDescent="0.2">
      <c r="B951" s="285" t="s">
        <v>33</v>
      </c>
      <c r="C951" s="337" t="s">
        <v>34</v>
      </c>
      <c r="D951" s="286" t="s">
        <v>6</v>
      </c>
      <c r="E951" s="287" t="s">
        <v>35</v>
      </c>
      <c r="F951" s="287" t="s">
        <v>36</v>
      </c>
      <c r="G951" s="288" t="s">
        <v>37</v>
      </c>
      <c r="H951" s="288" t="s">
        <v>38</v>
      </c>
      <c r="I951" s="289" t="s">
        <v>39</v>
      </c>
    </row>
    <row r="952" spans="1:11" x14ac:dyDescent="0.2">
      <c r="B952" s="109"/>
      <c r="C952" s="198"/>
      <c r="D952" s="290"/>
      <c r="E952" s="291"/>
      <c r="F952" s="292"/>
      <c r="G952" s="293"/>
      <c r="H952" s="294"/>
      <c r="I952" s="293"/>
    </row>
    <row r="953" spans="1:11" x14ac:dyDescent="0.2">
      <c r="B953" s="764" t="s">
        <v>43</v>
      </c>
      <c r="C953" s="765"/>
      <c r="D953" s="765"/>
      <c r="E953" s="765"/>
      <c r="F953" s="765"/>
      <c r="G953" s="765"/>
      <c r="H953" s="765"/>
      <c r="I953" s="295"/>
    </row>
    <row r="954" spans="1:11" ht="15.75" x14ac:dyDescent="0.2">
      <c r="B954" s="689" t="s">
        <v>44</v>
      </c>
      <c r="C954" s="690"/>
      <c r="D954" s="690"/>
      <c r="E954" s="690"/>
      <c r="F954" s="690"/>
      <c r="G954" s="690"/>
      <c r="H954" s="690"/>
      <c r="I954" s="691"/>
    </row>
    <row r="955" spans="1:11" x14ac:dyDescent="0.2">
      <c r="B955" s="296" t="s">
        <v>33</v>
      </c>
      <c r="C955" s="337" t="s">
        <v>34</v>
      </c>
      <c r="D955" s="297" t="s">
        <v>6</v>
      </c>
      <c r="E955" s="298"/>
      <c r="F955" s="298"/>
      <c r="G955" s="298"/>
      <c r="H955" s="198" t="s">
        <v>45</v>
      </c>
      <c r="I955" s="299" t="s">
        <v>39</v>
      </c>
    </row>
    <row r="956" spans="1:11" x14ac:dyDescent="0.2">
      <c r="B956" s="300" t="s">
        <v>297</v>
      </c>
      <c r="C956" s="59" t="s">
        <v>142</v>
      </c>
      <c r="D956" s="572">
        <v>0.12</v>
      </c>
      <c r="E956" s="301"/>
      <c r="F956" s="301"/>
      <c r="G956" s="301"/>
      <c r="H956" s="500">
        <f>INSUMOS!E103</f>
        <v>0.43</v>
      </c>
      <c r="I956" s="501">
        <f>D956*H956</f>
        <v>0.05</v>
      </c>
    </row>
    <row r="957" spans="1:11" x14ac:dyDescent="0.2">
      <c r="B957" s="303" t="s">
        <v>298</v>
      </c>
      <c r="C957" s="110" t="s">
        <v>56</v>
      </c>
      <c r="D957" s="573">
        <v>0.18</v>
      </c>
      <c r="E957" s="304"/>
      <c r="F957" s="304"/>
      <c r="G957" s="304"/>
      <c r="H957" s="500">
        <f>INSUMOS!E104</f>
        <v>13.11</v>
      </c>
      <c r="I957" s="501">
        <f>D957*H957</f>
        <v>2.36</v>
      </c>
    </row>
    <row r="958" spans="1:11" x14ac:dyDescent="0.2">
      <c r="B958" s="692" t="s">
        <v>43</v>
      </c>
      <c r="C958" s="693"/>
      <c r="D958" s="693"/>
      <c r="E958" s="693"/>
      <c r="F958" s="693"/>
      <c r="G958" s="693"/>
      <c r="H958" s="693"/>
      <c r="I958" s="501">
        <f>SUM(I956:I957)</f>
        <v>2.41</v>
      </c>
    </row>
    <row r="959" spans="1:11" ht="15.75" x14ac:dyDescent="0.2">
      <c r="B959" s="689" t="s">
        <v>46</v>
      </c>
      <c r="C959" s="690"/>
      <c r="D959" s="690"/>
      <c r="E959" s="690"/>
      <c r="F959" s="690"/>
      <c r="G959" s="690"/>
      <c r="H959" s="690"/>
      <c r="I959" s="691"/>
    </row>
    <row r="960" spans="1:11" x14ac:dyDescent="0.2">
      <c r="B960" s="305" t="s">
        <v>33</v>
      </c>
      <c r="C960" s="337" t="s">
        <v>34</v>
      </c>
      <c r="D960" s="198" t="s">
        <v>6</v>
      </c>
      <c r="E960" s="317"/>
      <c r="F960" s="317"/>
      <c r="G960" s="317"/>
      <c r="H960" s="198" t="s">
        <v>45</v>
      </c>
      <c r="I960" s="302" t="s">
        <v>39</v>
      </c>
    </row>
    <row r="961" spans="2:9" x14ac:dyDescent="0.2">
      <c r="B961" s="197"/>
      <c r="C961" s="198"/>
      <c r="D961" s="199"/>
      <c r="E961" s="317"/>
      <c r="F961" s="317"/>
      <c r="G961" s="317"/>
      <c r="H961" s="306"/>
      <c r="I961" s="302"/>
    </row>
    <row r="962" spans="2:9" x14ac:dyDescent="0.2">
      <c r="B962" s="686" t="s">
        <v>43</v>
      </c>
      <c r="C962" s="687"/>
      <c r="D962" s="687"/>
      <c r="E962" s="687"/>
      <c r="F962" s="687"/>
      <c r="G962" s="687"/>
      <c r="H962" s="687"/>
      <c r="I962" s="302"/>
    </row>
    <row r="963" spans="2:9" ht="15.75" x14ac:dyDescent="0.2">
      <c r="B963" s="689" t="s">
        <v>47</v>
      </c>
      <c r="C963" s="690"/>
      <c r="D963" s="690"/>
      <c r="E963" s="690"/>
      <c r="F963" s="690"/>
      <c r="G963" s="690"/>
      <c r="H963" s="690"/>
      <c r="I963" s="691"/>
    </row>
    <row r="964" spans="2:9" x14ac:dyDescent="0.2">
      <c r="B964" s="307" t="s">
        <v>33</v>
      </c>
      <c r="C964" s="337" t="s">
        <v>34</v>
      </c>
      <c r="D964" s="308" t="s">
        <v>6</v>
      </c>
      <c r="E964" s="301"/>
      <c r="F964" s="301"/>
      <c r="G964" s="301"/>
      <c r="H964" s="198" t="s">
        <v>45</v>
      </c>
      <c r="I964" s="299" t="s">
        <v>39</v>
      </c>
    </row>
    <row r="965" spans="2:9" x14ac:dyDescent="0.2">
      <c r="B965" s="309" t="s">
        <v>158</v>
      </c>
      <c r="C965" s="310" t="s">
        <v>41</v>
      </c>
      <c r="D965" s="502">
        <v>0.3</v>
      </c>
      <c r="E965" s="301"/>
      <c r="F965" s="301"/>
      <c r="G965" s="301"/>
      <c r="H965" s="500">
        <f>INSUMOS!E105</f>
        <v>10.37</v>
      </c>
      <c r="I965" s="501">
        <f>D965*H965</f>
        <v>3.11</v>
      </c>
    </row>
    <row r="966" spans="2:9" x14ac:dyDescent="0.2">
      <c r="B966" s="309" t="s">
        <v>156</v>
      </c>
      <c r="C966" s="310" t="s">
        <v>41</v>
      </c>
      <c r="D966" s="502">
        <v>0.1</v>
      </c>
      <c r="E966" s="301"/>
      <c r="F966" s="301"/>
      <c r="G966" s="301"/>
      <c r="H966" s="500">
        <f>INSUMOS!E14</f>
        <v>7.81</v>
      </c>
      <c r="I966" s="501">
        <f>D966*H966</f>
        <v>0.78</v>
      </c>
    </row>
    <row r="967" spans="2:9" x14ac:dyDescent="0.2">
      <c r="B967" s="686" t="s">
        <v>43</v>
      </c>
      <c r="C967" s="687"/>
      <c r="D967" s="687"/>
      <c r="E967" s="687"/>
      <c r="F967" s="687"/>
      <c r="G967" s="687"/>
      <c r="H967" s="687"/>
      <c r="I967" s="505">
        <f>SUM(I965:I966)</f>
        <v>3.89</v>
      </c>
    </row>
    <row r="968" spans="2:9" x14ac:dyDescent="0.2">
      <c r="B968" s="311" t="s">
        <v>49</v>
      </c>
      <c r="C968" s="293">
        <v>1</v>
      </c>
      <c r="D968" s="687" t="s">
        <v>50</v>
      </c>
      <c r="E968" s="687"/>
      <c r="F968" s="687"/>
      <c r="G968" s="687"/>
      <c r="H968" s="687"/>
      <c r="I968" s="505">
        <f>I967+I962+I958+I953</f>
        <v>6.3</v>
      </c>
    </row>
    <row r="969" spans="2:9" x14ac:dyDescent="0.2">
      <c r="B969" s="694" t="s">
        <v>299</v>
      </c>
      <c r="C969" s="695"/>
      <c r="D969" s="696"/>
      <c r="E969" s="696"/>
      <c r="F969" s="696"/>
      <c r="G969" s="696"/>
      <c r="H969" s="696"/>
      <c r="I969" s="501">
        <f>I968/C968</f>
        <v>6.3</v>
      </c>
    </row>
    <row r="970" spans="2:9" x14ac:dyDescent="0.2">
      <c r="B970" s="312" t="s">
        <v>300</v>
      </c>
      <c r="C970" s="477">
        <f>BDI!C$36</f>
        <v>25</v>
      </c>
      <c r="D970" s="697" t="s">
        <v>103</v>
      </c>
      <c r="E970" s="698"/>
      <c r="F970" s="698"/>
      <c r="G970" s="698"/>
      <c r="H970" s="699"/>
      <c r="I970" s="501">
        <f>C970/100*I969</f>
        <v>1.58</v>
      </c>
    </row>
    <row r="971" spans="2:9" ht="13.5" thickBot="1" x14ac:dyDescent="0.25">
      <c r="B971" s="700" t="s">
        <v>51</v>
      </c>
      <c r="C971" s="701"/>
      <c r="D971" s="701"/>
      <c r="E971" s="701"/>
      <c r="F971" s="701"/>
      <c r="G971" s="701"/>
      <c r="H971" s="702"/>
      <c r="I971" s="506">
        <f>SUM(I969:I970)</f>
        <v>7.88</v>
      </c>
    </row>
    <row r="972" spans="2:9" ht="13.5" thickBot="1" x14ac:dyDescent="0.25">
      <c r="C972" s="11"/>
      <c r="D972" s="11"/>
      <c r="I972" s="11"/>
    </row>
    <row r="973" spans="2:9" ht="15.75" x14ac:dyDescent="0.2">
      <c r="B973" s="530" t="s">
        <v>357</v>
      </c>
      <c r="C973" s="531" t="s">
        <v>457</v>
      </c>
      <c r="D973" s="685" t="s">
        <v>30</v>
      </c>
      <c r="E973" s="685"/>
      <c r="F973" s="685"/>
      <c r="G973" s="685"/>
      <c r="H973" s="685"/>
      <c r="I973" s="685"/>
    </row>
    <row r="974" spans="2:9" x14ac:dyDescent="0.2">
      <c r="B974" s="673" t="s">
        <v>134</v>
      </c>
      <c r="C974" s="674"/>
      <c r="D974" s="674"/>
      <c r="E974" s="674"/>
      <c r="F974" s="674"/>
      <c r="G974" s="675"/>
      <c r="H974" s="670" t="s">
        <v>494</v>
      </c>
      <c r="I974" s="671"/>
    </row>
    <row r="975" spans="2:9" ht="37.5" customHeight="1" x14ac:dyDescent="0.2">
      <c r="B975" s="679" t="s">
        <v>500</v>
      </c>
      <c r="C975" s="680"/>
      <c r="D975" s="680"/>
      <c r="E975" s="680"/>
      <c r="F975" s="680"/>
      <c r="G975" s="681"/>
      <c r="H975" s="12" t="s">
        <v>31</v>
      </c>
      <c r="I975" s="46" t="s">
        <v>142</v>
      </c>
    </row>
    <row r="976" spans="2:9" x14ac:dyDescent="0.2">
      <c r="B976" s="668" t="s">
        <v>32</v>
      </c>
      <c r="C976" s="668"/>
      <c r="D976" s="668"/>
      <c r="E976" s="668"/>
      <c r="F976" s="668"/>
      <c r="G976" s="668"/>
      <c r="H976" s="668"/>
      <c r="I976" s="668"/>
    </row>
    <row r="977" spans="2:9" ht="25.5" x14ac:dyDescent="0.2">
      <c r="B977" s="13" t="s">
        <v>33</v>
      </c>
      <c r="C977" s="62" t="s">
        <v>5</v>
      </c>
      <c r="D977" s="14" t="s">
        <v>6</v>
      </c>
      <c r="E977" s="14" t="s">
        <v>35</v>
      </c>
      <c r="F977" s="14" t="s">
        <v>36</v>
      </c>
      <c r="G977" s="14" t="s">
        <v>37</v>
      </c>
      <c r="H977" s="14" t="s">
        <v>38</v>
      </c>
      <c r="I977" s="15" t="s">
        <v>39</v>
      </c>
    </row>
    <row r="978" spans="2:9" x14ac:dyDescent="0.2">
      <c r="B978" s="450"/>
      <c r="C978" s="456"/>
      <c r="D978" s="457"/>
      <c r="E978" s="458"/>
      <c r="F978" s="458"/>
      <c r="G978" s="458"/>
      <c r="H978" s="458"/>
      <c r="I978" s="444"/>
    </row>
    <row r="979" spans="2:9" x14ac:dyDescent="0.2">
      <c r="B979" s="710" t="s">
        <v>43</v>
      </c>
      <c r="C979" s="710"/>
      <c r="D979" s="710"/>
      <c r="E979" s="710"/>
      <c r="F979" s="710"/>
      <c r="G979" s="710"/>
      <c r="H979" s="710"/>
      <c r="I979" s="446"/>
    </row>
    <row r="980" spans="2:9" x14ac:dyDescent="0.2">
      <c r="B980" s="668" t="s">
        <v>44</v>
      </c>
      <c r="C980" s="668"/>
      <c r="D980" s="668"/>
      <c r="E980" s="668"/>
      <c r="F980" s="668"/>
      <c r="G980" s="668"/>
      <c r="H980" s="668"/>
      <c r="I980" s="668"/>
    </row>
    <row r="981" spans="2:9" x14ac:dyDescent="0.2">
      <c r="B981" s="448" t="s">
        <v>33</v>
      </c>
      <c r="C981" s="449" t="s">
        <v>5</v>
      </c>
      <c r="D981" s="18" t="s">
        <v>6</v>
      </c>
      <c r="E981" s="192"/>
      <c r="F981" s="192"/>
      <c r="G981" s="192"/>
      <c r="H981" s="18" t="s">
        <v>45</v>
      </c>
      <c r="I981" s="32" t="s">
        <v>39</v>
      </c>
    </row>
    <row r="982" spans="2:9" x14ac:dyDescent="0.2">
      <c r="B982" s="445" t="s">
        <v>516</v>
      </c>
      <c r="C982" s="18" t="s">
        <v>53</v>
      </c>
      <c r="D982" s="568">
        <v>221</v>
      </c>
      <c r="E982" s="192"/>
      <c r="F982" s="192"/>
      <c r="G982" s="14"/>
      <c r="H982" s="519">
        <f>INSUMOS!E34</f>
        <v>0.5</v>
      </c>
      <c r="I982" s="554">
        <f>D982*H982</f>
        <v>110.5</v>
      </c>
    </row>
    <row r="983" spans="2:9" x14ac:dyDescent="0.2">
      <c r="B983" s="445" t="s">
        <v>88</v>
      </c>
      <c r="C983" s="18" t="s">
        <v>23</v>
      </c>
      <c r="D983" s="569">
        <v>0.41099999999999998</v>
      </c>
      <c r="E983" s="192"/>
      <c r="F983" s="192"/>
      <c r="G983" s="14"/>
      <c r="H983" s="519">
        <f>INSUMOS!E37</f>
        <v>59</v>
      </c>
      <c r="I983" s="554">
        <f>D983*H983</f>
        <v>24.25</v>
      </c>
    </row>
    <row r="984" spans="2:9" x14ac:dyDescent="0.2">
      <c r="B984" s="445" t="s">
        <v>89</v>
      </c>
      <c r="C984" s="18" t="s">
        <v>23</v>
      </c>
      <c r="D984" s="568">
        <v>0.24</v>
      </c>
      <c r="E984" s="192"/>
      <c r="F984" s="192"/>
      <c r="G984" s="192"/>
      <c r="H984" s="519">
        <f>INSUMOS!E35</f>
        <v>62</v>
      </c>
      <c r="I984" s="554">
        <f>H984*D984</f>
        <v>14.88</v>
      </c>
    </row>
    <row r="985" spans="2:9" x14ac:dyDescent="0.2">
      <c r="B985" s="445" t="s">
        <v>90</v>
      </c>
      <c r="C985" s="18" t="s">
        <v>23</v>
      </c>
      <c r="D985" s="568">
        <v>0.24</v>
      </c>
      <c r="E985" s="192"/>
      <c r="F985" s="192"/>
      <c r="G985" s="192"/>
      <c r="H985" s="519">
        <f>INSUMOS!E36</f>
        <v>62</v>
      </c>
      <c r="I985" s="554">
        <f>H985*D985</f>
        <v>14.88</v>
      </c>
    </row>
    <row r="986" spans="2:9" ht="25.5" x14ac:dyDescent="0.2">
      <c r="B986" s="460" t="s">
        <v>448</v>
      </c>
      <c r="C986" s="26" t="s">
        <v>19</v>
      </c>
      <c r="D986" s="568">
        <v>65</v>
      </c>
      <c r="E986" s="192"/>
      <c r="F986" s="192"/>
      <c r="G986" s="192"/>
      <c r="H986" s="519">
        <f>INSUMOS!E122</f>
        <v>18.079999999999998</v>
      </c>
      <c r="I986" s="554">
        <f>H986*D986</f>
        <v>1175.2</v>
      </c>
    </row>
    <row r="987" spans="2:9" x14ac:dyDescent="0.2">
      <c r="B987" s="414" t="s">
        <v>191</v>
      </c>
      <c r="C987" s="55" t="s">
        <v>142</v>
      </c>
      <c r="D987" s="570">
        <v>1</v>
      </c>
      <c r="E987" s="415"/>
      <c r="F987" s="415"/>
      <c r="G987" s="415"/>
      <c r="H987" s="519">
        <f>INSUMOS!E49</f>
        <v>337.71</v>
      </c>
      <c r="I987" s="554">
        <f>H987*D987</f>
        <v>337.71</v>
      </c>
    </row>
    <row r="988" spans="2:9" ht="63.75" x14ac:dyDescent="0.2">
      <c r="B988" s="461" t="s">
        <v>449</v>
      </c>
      <c r="C988" s="55" t="s">
        <v>142</v>
      </c>
      <c r="D988" s="538">
        <v>1</v>
      </c>
      <c r="E988" s="192"/>
      <c r="F988" s="192"/>
      <c r="G988" s="192"/>
      <c r="H988" s="519">
        <f>INSUMOS!E120</f>
        <v>6360</v>
      </c>
      <c r="I988" s="554">
        <f>H988*D988</f>
        <v>6360</v>
      </c>
    </row>
    <row r="989" spans="2:9" x14ac:dyDescent="0.2">
      <c r="B989" s="710" t="s">
        <v>43</v>
      </c>
      <c r="C989" s="710"/>
      <c r="D989" s="710"/>
      <c r="E989" s="710"/>
      <c r="F989" s="710"/>
      <c r="G989" s="710"/>
      <c r="H989" s="710"/>
      <c r="I989" s="554">
        <f>SUM(I982:I988)</f>
        <v>8037.42</v>
      </c>
    </row>
    <row r="990" spans="2:9" x14ac:dyDescent="0.2">
      <c r="B990" s="668" t="s">
        <v>46</v>
      </c>
      <c r="C990" s="668"/>
      <c r="D990" s="668"/>
      <c r="E990" s="668"/>
      <c r="F990" s="668"/>
      <c r="G990" s="668"/>
      <c r="H990" s="668"/>
      <c r="I990" s="668"/>
    </row>
    <row r="991" spans="2:9" x14ac:dyDescent="0.2">
      <c r="B991" s="17" t="s">
        <v>33</v>
      </c>
      <c r="C991" s="443" t="s">
        <v>5</v>
      </c>
      <c r="D991" s="18" t="s">
        <v>6</v>
      </c>
      <c r="E991" s="192"/>
      <c r="F991" s="192"/>
      <c r="G991" s="192"/>
      <c r="H991" s="18" t="s">
        <v>45</v>
      </c>
      <c r="I991" s="444" t="s">
        <v>39</v>
      </c>
    </row>
    <row r="992" spans="2:9" x14ac:dyDescent="0.2">
      <c r="B992" s="414"/>
      <c r="C992" s="18"/>
      <c r="D992" s="18"/>
      <c r="E992" s="192"/>
      <c r="F992" s="192"/>
      <c r="G992" s="192"/>
      <c r="H992" s="18"/>
      <c r="I992" s="32"/>
    </row>
    <row r="993" spans="2:9" x14ac:dyDescent="0.2">
      <c r="B993" s="710" t="s">
        <v>43</v>
      </c>
      <c r="C993" s="710"/>
      <c r="D993" s="710"/>
      <c r="E993" s="710"/>
      <c r="F993" s="710"/>
      <c r="G993" s="710"/>
      <c r="H993" s="710"/>
      <c r="I993" s="32"/>
    </row>
    <row r="994" spans="2:9" x14ac:dyDescent="0.2">
      <c r="B994" s="668" t="s">
        <v>47</v>
      </c>
      <c r="C994" s="668"/>
      <c r="D994" s="668"/>
      <c r="E994" s="668"/>
      <c r="F994" s="668"/>
      <c r="G994" s="668"/>
      <c r="H994" s="668"/>
      <c r="I994" s="668"/>
    </row>
    <row r="995" spans="2:9" x14ac:dyDescent="0.2">
      <c r="B995" s="462" t="s">
        <v>33</v>
      </c>
      <c r="C995" s="463" t="s">
        <v>5</v>
      </c>
      <c r="D995" s="464" t="s">
        <v>6</v>
      </c>
      <c r="E995" s="455"/>
      <c r="F995" s="455"/>
      <c r="G995" s="455"/>
      <c r="H995" s="458" t="s">
        <v>45</v>
      </c>
      <c r="I995" s="444" t="s">
        <v>39</v>
      </c>
    </row>
    <row r="996" spans="2:9" x14ac:dyDescent="0.2">
      <c r="B996" s="465" t="s">
        <v>450</v>
      </c>
      <c r="C996" s="26" t="s">
        <v>41</v>
      </c>
      <c r="D996" s="571">
        <v>7</v>
      </c>
      <c r="E996" s="192"/>
      <c r="F996" s="192"/>
      <c r="G996" s="192"/>
      <c r="H996" s="519">
        <f>INSUMOS!E14</f>
        <v>7.81</v>
      </c>
      <c r="I996" s="562">
        <f>H996*D996</f>
        <v>54.67</v>
      </c>
    </row>
    <row r="997" spans="2:9" x14ac:dyDescent="0.2">
      <c r="B997" s="416" t="s">
        <v>48</v>
      </c>
      <c r="C997" s="26" t="s">
        <v>41</v>
      </c>
      <c r="D997" s="568">
        <v>10</v>
      </c>
      <c r="E997" s="192"/>
      <c r="F997" s="192"/>
      <c r="G997" s="192"/>
      <c r="H997" s="519">
        <f>INSUMOS!E13</f>
        <v>7.81</v>
      </c>
      <c r="I997" s="562">
        <f>H997*D997</f>
        <v>78.099999999999994</v>
      </c>
    </row>
    <row r="998" spans="2:9" x14ac:dyDescent="0.2">
      <c r="B998" s="445" t="s">
        <v>70</v>
      </c>
      <c r="C998" s="26" t="s">
        <v>41</v>
      </c>
      <c r="D998" s="568">
        <v>7</v>
      </c>
      <c r="E998" s="192"/>
      <c r="F998" s="192"/>
      <c r="G998" s="192"/>
      <c r="H998" s="519">
        <f>INSUMOS!E21</f>
        <v>10.37</v>
      </c>
      <c r="I998" s="562">
        <f>H998*D998</f>
        <v>72.59</v>
      </c>
    </row>
    <row r="999" spans="2:9" x14ac:dyDescent="0.2">
      <c r="B999" s="710" t="s">
        <v>43</v>
      </c>
      <c r="C999" s="710"/>
      <c r="D999" s="710"/>
      <c r="E999" s="710"/>
      <c r="F999" s="710"/>
      <c r="G999" s="710"/>
      <c r="H999" s="710"/>
      <c r="I999" s="563">
        <f>SUM(I996:I998)</f>
        <v>205.36</v>
      </c>
    </row>
    <row r="1000" spans="2:9" x14ac:dyDescent="0.2">
      <c r="B1000" s="466" t="s">
        <v>49</v>
      </c>
      <c r="C1000" s="18">
        <v>1</v>
      </c>
      <c r="D1000" s="786" t="s">
        <v>50</v>
      </c>
      <c r="E1000" s="786"/>
      <c r="F1000" s="786"/>
      <c r="G1000" s="786"/>
      <c r="H1000" s="786"/>
      <c r="I1000" s="563">
        <f>I999+I993+I989+I979</f>
        <v>8242.7800000000007</v>
      </c>
    </row>
    <row r="1001" spans="2:9" x14ac:dyDescent="0.2">
      <c r="B1001" s="728"/>
      <c r="C1001" s="729"/>
      <c r="D1001" s="729"/>
      <c r="E1001" s="729"/>
      <c r="F1001" s="729"/>
      <c r="G1001" s="729"/>
      <c r="H1001" s="730"/>
      <c r="I1001" s="563">
        <f>I1000/C1000</f>
        <v>8242.7800000000007</v>
      </c>
    </row>
    <row r="1002" spans="2:9" x14ac:dyDescent="0.2">
      <c r="B1002" s="53" t="s">
        <v>135</v>
      </c>
      <c r="C1002" s="477">
        <f>BDI!C$36</f>
        <v>25</v>
      </c>
      <c r="D1002" s="56" t="s">
        <v>103</v>
      </c>
      <c r="E1002" s="51"/>
      <c r="F1002" s="51"/>
      <c r="G1002" s="51"/>
      <c r="H1002" s="52"/>
      <c r="I1002" s="562">
        <f>C1002/100*I1001</f>
        <v>2060.6999999999998</v>
      </c>
    </row>
    <row r="1003" spans="2:9" ht="13.5" thickBot="1" x14ac:dyDescent="0.25">
      <c r="B1003" s="723" t="s">
        <v>51</v>
      </c>
      <c r="C1003" s="723"/>
      <c r="D1003" s="723"/>
      <c r="E1003" s="723"/>
      <c r="F1003" s="723"/>
      <c r="G1003" s="723"/>
      <c r="H1003" s="723"/>
      <c r="I1003" s="614">
        <f>SUM(I1001:I1002)</f>
        <v>10303.48</v>
      </c>
    </row>
    <row r="1004" spans="2:9" ht="13.5" thickBot="1" x14ac:dyDescent="0.25"/>
    <row r="1005" spans="2:9" ht="15.75" x14ac:dyDescent="0.2">
      <c r="B1005" s="530" t="s">
        <v>357</v>
      </c>
      <c r="C1005" s="532" t="s">
        <v>548</v>
      </c>
      <c r="D1005" s="759" t="s">
        <v>30</v>
      </c>
      <c r="E1005" s="759"/>
      <c r="F1005" s="759"/>
      <c r="G1005" s="759"/>
      <c r="H1005" s="759"/>
      <c r="I1005" s="760"/>
    </row>
    <row r="1006" spans="2:9" ht="12.75" customHeight="1" x14ac:dyDescent="0.2">
      <c r="B1006" s="673" t="s">
        <v>134</v>
      </c>
      <c r="C1006" s="674"/>
      <c r="D1006" s="674"/>
      <c r="E1006" s="674"/>
      <c r="F1006" s="674"/>
      <c r="G1006" s="675"/>
      <c r="H1006" s="670" t="s">
        <v>494</v>
      </c>
      <c r="I1006" s="671"/>
    </row>
    <row r="1007" spans="2:9" x14ac:dyDescent="0.2">
      <c r="B1007" s="761" t="s">
        <v>489</v>
      </c>
      <c r="C1007" s="762"/>
      <c r="D1007" s="762"/>
      <c r="E1007" s="762"/>
      <c r="F1007" s="762"/>
      <c r="G1007" s="763"/>
      <c r="H1007" s="283" t="s">
        <v>31</v>
      </c>
      <c r="I1007" s="284" t="s">
        <v>19</v>
      </c>
    </row>
    <row r="1008" spans="2:9" ht="15.75" x14ac:dyDescent="0.2">
      <c r="B1008" s="689" t="s">
        <v>32</v>
      </c>
      <c r="C1008" s="690"/>
      <c r="D1008" s="690"/>
      <c r="E1008" s="690"/>
      <c r="F1008" s="690"/>
      <c r="G1008" s="690"/>
      <c r="H1008" s="690"/>
      <c r="I1008" s="691"/>
    </row>
    <row r="1009" spans="2:9" ht="25.5" x14ac:dyDescent="0.2">
      <c r="B1009" s="285" t="s">
        <v>33</v>
      </c>
      <c r="C1009" s="14" t="s">
        <v>34</v>
      </c>
      <c r="D1009" s="286" t="s">
        <v>6</v>
      </c>
      <c r="E1009" s="287" t="s">
        <v>35</v>
      </c>
      <c r="F1009" s="287" t="s">
        <v>36</v>
      </c>
      <c r="G1009" s="288" t="s">
        <v>37</v>
      </c>
      <c r="H1009" s="288" t="s">
        <v>38</v>
      </c>
      <c r="I1009" s="289" t="s">
        <v>39</v>
      </c>
    </row>
    <row r="1010" spans="2:9" x14ac:dyDescent="0.2">
      <c r="B1010" s="109"/>
      <c r="C1010" s="198"/>
      <c r="D1010" s="290"/>
      <c r="E1010" s="291"/>
      <c r="F1010" s="292"/>
      <c r="G1010" s="293"/>
      <c r="H1010" s="294"/>
      <c r="I1010" s="293"/>
    </row>
    <row r="1011" spans="2:9" x14ac:dyDescent="0.2">
      <c r="B1011" s="764" t="s">
        <v>43</v>
      </c>
      <c r="C1011" s="765"/>
      <c r="D1011" s="765"/>
      <c r="E1011" s="765"/>
      <c r="F1011" s="765"/>
      <c r="G1011" s="765"/>
      <c r="H1011" s="765"/>
      <c r="I1011" s="295"/>
    </row>
    <row r="1012" spans="2:9" ht="15.75" x14ac:dyDescent="0.2">
      <c r="B1012" s="689" t="s">
        <v>44</v>
      </c>
      <c r="C1012" s="690"/>
      <c r="D1012" s="690"/>
      <c r="E1012" s="690"/>
      <c r="F1012" s="690"/>
      <c r="G1012" s="690"/>
      <c r="H1012" s="690"/>
      <c r="I1012" s="691"/>
    </row>
    <row r="1013" spans="2:9" x14ac:dyDescent="0.2">
      <c r="B1013" s="296" t="s">
        <v>33</v>
      </c>
      <c r="C1013" s="14" t="s">
        <v>34</v>
      </c>
      <c r="D1013" s="297" t="s">
        <v>6</v>
      </c>
      <c r="E1013" s="298"/>
      <c r="F1013" s="298"/>
      <c r="G1013" s="298"/>
      <c r="H1013" s="198" t="s">
        <v>45</v>
      </c>
      <c r="I1013" s="299" t="s">
        <v>39</v>
      </c>
    </row>
    <row r="1014" spans="2:9" x14ac:dyDescent="0.2">
      <c r="B1014" s="300" t="s">
        <v>477</v>
      </c>
      <c r="C1014" s="198" t="s">
        <v>142</v>
      </c>
      <c r="D1014" s="504">
        <v>3.9999999999999998E-7</v>
      </c>
      <c r="E1014" s="301"/>
      <c r="F1014" s="301"/>
      <c r="G1014" s="301"/>
      <c r="H1014" s="500">
        <f>INSUMOS!E110</f>
        <v>176704.25</v>
      </c>
      <c r="I1014" s="501">
        <f>D1014*H1014</f>
        <v>7.0000000000000007E-2</v>
      </c>
    </row>
    <row r="1015" spans="2:9" x14ac:dyDescent="0.2">
      <c r="B1015" s="692" t="s">
        <v>43</v>
      </c>
      <c r="C1015" s="693"/>
      <c r="D1015" s="693"/>
      <c r="E1015" s="693"/>
      <c r="F1015" s="693"/>
      <c r="G1015" s="693"/>
      <c r="H1015" s="693"/>
      <c r="I1015" s="501">
        <f>SUM(I1014:I1014)</f>
        <v>7.0000000000000007E-2</v>
      </c>
    </row>
    <row r="1016" spans="2:9" ht="15.75" x14ac:dyDescent="0.2">
      <c r="B1016" s="689" t="s">
        <v>46</v>
      </c>
      <c r="C1016" s="690"/>
      <c r="D1016" s="690"/>
      <c r="E1016" s="690"/>
      <c r="F1016" s="690"/>
      <c r="G1016" s="690"/>
      <c r="H1016" s="690"/>
      <c r="I1016" s="691"/>
    </row>
    <row r="1017" spans="2:9" x14ac:dyDescent="0.2">
      <c r="B1017" s="305" t="s">
        <v>33</v>
      </c>
      <c r="C1017" s="14" t="s">
        <v>34</v>
      </c>
      <c r="D1017" s="198" t="s">
        <v>6</v>
      </c>
      <c r="E1017" s="412"/>
      <c r="F1017" s="412"/>
      <c r="G1017" s="412"/>
      <c r="H1017" s="198" t="s">
        <v>45</v>
      </c>
      <c r="I1017" s="302" t="s">
        <v>39</v>
      </c>
    </row>
    <row r="1018" spans="2:9" x14ac:dyDescent="0.2">
      <c r="B1018" s="314"/>
      <c r="C1018" s="198"/>
      <c r="D1018" s="199"/>
      <c r="E1018" s="412"/>
      <c r="F1018" s="412"/>
      <c r="G1018" s="412"/>
      <c r="H1018" s="293"/>
      <c r="I1018" s="302"/>
    </row>
    <row r="1019" spans="2:9" x14ac:dyDescent="0.2">
      <c r="B1019" s="686" t="s">
        <v>43</v>
      </c>
      <c r="C1019" s="687"/>
      <c r="D1019" s="687"/>
      <c r="E1019" s="687"/>
      <c r="F1019" s="687"/>
      <c r="G1019" s="687"/>
      <c r="H1019" s="687"/>
      <c r="I1019" s="302"/>
    </row>
    <row r="1020" spans="2:9" ht="15.75" x14ac:dyDescent="0.2">
      <c r="B1020" s="689" t="s">
        <v>47</v>
      </c>
      <c r="C1020" s="690"/>
      <c r="D1020" s="690"/>
      <c r="E1020" s="690"/>
      <c r="F1020" s="690"/>
      <c r="G1020" s="690"/>
      <c r="H1020" s="690"/>
      <c r="I1020" s="691"/>
    </row>
    <row r="1021" spans="2:9" x14ac:dyDescent="0.2">
      <c r="B1021" s="307" t="s">
        <v>33</v>
      </c>
      <c r="C1021" s="14" t="s">
        <v>34</v>
      </c>
      <c r="D1021" s="308" t="s">
        <v>6</v>
      </c>
      <c r="E1021" s="301"/>
      <c r="F1021" s="301"/>
      <c r="G1021" s="301"/>
      <c r="H1021" s="198" t="s">
        <v>45</v>
      </c>
      <c r="I1021" s="299" t="s">
        <v>39</v>
      </c>
    </row>
    <row r="1022" spans="2:9" x14ac:dyDescent="0.2">
      <c r="B1022" s="309" t="s">
        <v>48</v>
      </c>
      <c r="C1022" s="310" t="s">
        <v>41</v>
      </c>
      <c r="D1022" s="502">
        <v>2.8E-3</v>
      </c>
      <c r="E1022" s="301"/>
      <c r="F1022" s="301"/>
      <c r="G1022" s="301"/>
      <c r="H1022" s="500">
        <f>INSUMOS!E13</f>
        <v>7.81</v>
      </c>
      <c r="I1022" s="501">
        <f>D1022*H1022</f>
        <v>0.02</v>
      </c>
    </row>
    <row r="1023" spans="2:9" x14ac:dyDescent="0.2">
      <c r="B1023" s="309" t="s">
        <v>62</v>
      </c>
      <c r="C1023" s="310" t="s">
        <v>13</v>
      </c>
      <c r="D1023" s="503">
        <v>2.2000000000000001E-6</v>
      </c>
      <c r="E1023" s="301"/>
      <c r="F1023" s="301"/>
      <c r="G1023" s="301"/>
      <c r="H1023" s="500">
        <f>INSUMOS!E109</f>
        <v>2409.5700000000002</v>
      </c>
      <c r="I1023" s="501">
        <f>D1023*H1023</f>
        <v>0.01</v>
      </c>
    </row>
    <row r="1024" spans="2:9" x14ac:dyDescent="0.2">
      <c r="B1024" s="686" t="s">
        <v>43</v>
      </c>
      <c r="C1024" s="687"/>
      <c r="D1024" s="687"/>
      <c r="E1024" s="687"/>
      <c r="F1024" s="687"/>
      <c r="G1024" s="687"/>
      <c r="H1024" s="687"/>
      <c r="I1024" s="505">
        <f>SUM(I1022:I1023)</f>
        <v>0.03</v>
      </c>
    </row>
    <row r="1025" spans="2:9" x14ac:dyDescent="0.2">
      <c r="B1025" s="311" t="s">
        <v>49</v>
      </c>
      <c r="C1025" s="476">
        <v>1</v>
      </c>
      <c r="D1025" s="687" t="s">
        <v>50</v>
      </c>
      <c r="E1025" s="687"/>
      <c r="F1025" s="687"/>
      <c r="G1025" s="687"/>
      <c r="H1025" s="687"/>
      <c r="I1025" s="505">
        <f>I1024+I1019+I1015+I1011</f>
        <v>0.1</v>
      </c>
    </row>
    <row r="1026" spans="2:9" x14ac:dyDescent="0.2">
      <c r="B1026" s="694" t="s">
        <v>299</v>
      </c>
      <c r="C1026" s="695"/>
      <c r="D1026" s="696"/>
      <c r="E1026" s="696"/>
      <c r="F1026" s="696"/>
      <c r="G1026" s="696"/>
      <c r="H1026" s="696"/>
      <c r="I1026" s="501">
        <f>I1025/C1025</f>
        <v>0.1</v>
      </c>
    </row>
    <row r="1027" spans="2:9" x14ac:dyDescent="0.2">
      <c r="B1027" s="312" t="s">
        <v>300</v>
      </c>
      <c r="C1027" s="477">
        <f>BDI!C$36</f>
        <v>25</v>
      </c>
      <c r="D1027" s="697" t="s">
        <v>103</v>
      </c>
      <c r="E1027" s="698"/>
      <c r="F1027" s="698"/>
      <c r="G1027" s="698"/>
      <c r="H1027" s="699"/>
      <c r="I1027" s="501">
        <f>C1027/100*I1026</f>
        <v>0.03</v>
      </c>
    </row>
    <row r="1028" spans="2:9" ht="13.5" thickBot="1" x14ac:dyDescent="0.25">
      <c r="B1028" s="700" t="s">
        <v>51</v>
      </c>
      <c r="C1028" s="701"/>
      <c r="D1028" s="701"/>
      <c r="E1028" s="701"/>
      <c r="F1028" s="701"/>
      <c r="G1028" s="701"/>
      <c r="H1028" s="702"/>
      <c r="I1028" s="506">
        <f>SUM(I1026:I1027)</f>
        <v>0.13</v>
      </c>
    </row>
    <row r="1030" spans="2:9" ht="13.5" thickBot="1" x14ac:dyDescent="0.25"/>
    <row r="1031" spans="2:9" ht="15.75" x14ac:dyDescent="0.2">
      <c r="B1031" s="530" t="s">
        <v>357</v>
      </c>
      <c r="C1031" s="532" t="s">
        <v>549</v>
      </c>
      <c r="D1031" s="759" t="s">
        <v>30</v>
      </c>
      <c r="E1031" s="759"/>
      <c r="F1031" s="759"/>
      <c r="G1031" s="759"/>
      <c r="H1031" s="759"/>
      <c r="I1031" s="760"/>
    </row>
    <row r="1032" spans="2:9" ht="12.75" customHeight="1" x14ac:dyDescent="0.2">
      <c r="B1032" s="673" t="s">
        <v>134</v>
      </c>
      <c r="C1032" s="674"/>
      <c r="D1032" s="674"/>
      <c r="E1032" s="674"/>
      <c r="F1032" s="674"/>
      <c r="G1032" s="675"/>
      <c r="H1032" s="670" t="s">
        <v>494</v>
      </c>
      <c r="I1032" s="671"/>
    </row>
    <row r="1033" spans="2:9" x14ac:dyDescent="0.2">
      <c r="B1033" s="761" t="s">
        <v>490</v>
      </c>
      <c r="C1033" s="762"/>
      <c r="D1033" s="762"/>
      <c r="E1033" s="762"/>
      <c r="F1033" s="762"/>
      <c r="G1033" s="763"/>
      <c r="H1033" s="283" t="s">
        <v>31</v>
      </c>
      <c r="I1033" s="284" t="s">
        <v>19</v>
      </c>
    </row>
    <row r="1034" spans="2:9" ht="15.75" x14ac:dyDescent="0.2">
      <c r="B1034" s="689" t="s">
        <v>32</v>
      </c>
      <c r="C1034" s="690"/>
      <c r="D1034" s="690"/>
      <c r="E1034" s="690"/>
      <c r="F1034" s="690"/>
      <c r="G1034" s="690"/>
      <c r="H1034" s="690"/>
      <c r="I1034" s="691"/>
    </row>
    <row r="1035" spans="2:9" ht="25.5" x14ac:dyDescent="0.2">
      <c r="B1035" s="285" t="s">
        <v>33</v>
      </c>
      <c r="C1035" s="14" t="s">
        <v>34</v>
      </c>
      <c r="D1035" s="286" t="s">
        <v>6</v>
      </c>
      <c r="E1035" s="287" t="s">
        <v>35</v>
      </c>
      <c r="F1035" s="287" t="s">
        <v>36</v>
      </c>
      <c r="G1035" s="288" t="s">
        <v>37</v>
      </c>
      <c r="H1035" s="288" t="s">
        <v>38</v>
      </c>
      <c r="I1035" s="289" t="s">
        <v>39</v>
      </c>
    </row>
    <row r="1036" spans="2:9" x14ac:dyDescent="0.2">
      <c r="B1036" s="109"/>
      <c r="C1036" s="198"/>
      <c r="D1036" s="290"/>
      <c r="E1036" s="291"/>
      <c r="F1036" s="292"/>
      <c r="G1036" s="293"/>
      <c r="H1036" s="294"/>
      <c r="I1036" s="293"/>
    </row>
    <row r="1037" spans="2:9" x14ac:dyDescent="0.2">
      <c r="B1037" s="764" t="s">
        <v>43</v>
      </c>
      <c r="C1037" s="765"/>
      <c r="D1037" s="765"/>
      <c r="E1037" s="765"/>
      <c r="F1037" s="765"/>
      <c r="G1037" s="765"/>
      <c r="H1037" s="765"/>
      <c r="I1037" s="295"/>
    </row>
    <row r="1038" spans="2:9" ht="15.75" x14ac:dyDescent="0.2">
      <c r="B1038" s="689" t="s">
        <v>44</v>
      </c>
      <c r="C1038" s="690"/>
      <c r="D1038" s="690"/>
      <c r="E1038" s="690"/>
      <c r="F1038" s="690"/>
      <c r="G1038" s="690"/>
      <c r="H1038" s="690"/>
      <c r="I1038" s="691"/>
    </row>
    <row r="1039" spans="2:9" x14ac:dyDescent="0.2">
      <c r="B1039" s="296" t="s">
        <v>33</v>
      </c>
      <c r="C1039" s="14" t="s">
        <v>34</v>
      </c>
      <c r="D1039" s="297" t="s">
        <v>6</v>
      </c>
      <c r="E1039" s="298"/>
      <c r="F1039" s="298"/>
      <c r="G1039" s="298"/>
      <c r="H1039" s="198" t="s">
        <v>45</v>
      </c>
      <c r="I1039" s="299" t="s">
        <v>39</v>
      </c>
    </row>
    <row r="1040" spans="2:9" x14ac:dyDescent="0.2">
      <c r="B1040" s="300" t="s">
        <v>477</v>
      </c>
      <c r="C1040" s="198" t="s">
        <v>142</v>
      </c>
      <c r="D1040" s="504">
        <v>9.9999999999999995E-8</v>
      </c>
      <c r="E1040" s="301"/>
      <c r="F1040" s="301"/>
      <c r="G1040" s="301"/>
      <c r="H1040" s="500">
        <f>INSUMOS!E110</f>
        <v>176704.25</v>
      </c>
      <c r="I1040" s="501">
        <f>D1040*H1040</f>
        <v>0.02</v>
      </c>
    </row>
    <row r="1041" spans="2:9" x14ac:dyDescent="0.2">
      <c r="B1041" s="692" t="s">
        <v>43</v>
      </c>
      <c r="C1041" s="693"/>
      <c r="D1041" s="693"/>
      <c r="E1041" s="693"/>
      <c r="F1041" s="693"/>
      <c r="G1041" s="693"/>
      <c r="H1041" s="693"/>
      <c r="I1041" s="501">
        <f>SUM(I1040:I1040)</f>
        <v>0.02</v>
      </c>
    </row>
    <row r="1042" spans="2:9" ht="15.75" x14ac:dyDescent="0.2">
      <c r="B1042" s="689" t="s">
        <v>46</v>
      </c>
      <c r="C1042" s="690"/>
      <c r="D1042" s="690"/>
      <c r="E1042" s="690"/>
      <c r="F1042" s="690"/>
      <c r="G1042" s="690"/>
      <c r="H1042" s="690"/>
      <c r="I1042" s="691"/>
    </row>
    <row r="1043" spans="2:9" x14ac:dyDescent="0.2">
      <c r="B1043" s="305" t="s">
        <v>33</v>
      </c>
      <c r="C1043" s="14" t="s">
        <v>34</v>
      </c>
      <c r="D1043" s="198" t="s">
        <v>6</v>
      </c>
      <c r="E1043" s="412"/>
      <c r="F1043" s="412"/>
      <c r="G1043" s="412"/>
      <c r="H1043" s="198" t="s">
        <v>45</v>
      </c>
      <c r="I1043" s="302" t="s">
        <v>39</v>
      </c>
    </row>
    <row r="1044" spans="2:9" x14ac:dyDescent="0.2">
      <c r="B1044" s="314"/>
      <c r="C1044" s="198"/>
      <c r="D1044" s="199"/>
      <c r="E1044" s="412"/>
      <c r="F1044" s="412"/>
      <c r="G1044" s="412"/>
      <c r="H1044" s="293"/>
      <c r="I1044" s="302"/>
    </row>
    <row r="1045" spans="2:9" x14ac:dyDescent="0.2">
      <c r="B1045" s="686" t="s">
        <v>43</v>
      </c>
      <c r="C1045" s="687"/>
      <c r="D1045" s="687"/>
      <c r="E1045" s="687"/>
      <c r="F1045" s="687"/>
      <c r="G1045" s="687"/>
      <c r="H1045" s="687"/>
      <c r="I1045" s="302"/>
    </row>
    <row r="1046" spans="2:9" ht="15.75" x14ac:dyDescent="0.2">
      <c r="B1046" s="689" t="s">
        <v>47</v>
      </c>
      <c r="C1046" s="690"/>
      <c r="D1046" s="690"/>
      <c r="E1046" s="690"/>
      <c r="F1046" s="690"/>
      <c r="G1046" s="690"/>
      <c r="H1046" s="690"/>
      <c r="I1046" s="691"/>
    </row>
    <row r="1047" spans="2:9" x14ac:dyDescent="0.2">
      <c r="B1047" s="307" t="s">
        <v>33</v>
      </c>
      <c r="C1047" s="14" t="s">
        <v>34</v>
      </c>
      <c r="D1047" s="308" t="s">
        <v>6</v>
      </c>
      <c r="E1047" s="301"/>
      <c r="F1047" s="301"/>
      <c r="G1047" s="301"/>
      <c r="H1047" s="198" t="s">
        <v>45</v>
      </c>
      <c r="I1047" s="299" t="s">
        <v>39</v>
      </c>
    </row>
    <row r="1048" spans="2:9" x14ac:dyDescent="0.2">
      <c r="B1048" s="309" t="s">
        <v>48</v>
      </c>
      <c r="C1048" s="310" t="s">
        <v>41</v>
      </c>
      <c r="D1048" s="502">
        <v>8.9999999999999998E-4</v>
      </c>
      <c r="E1048" s="301"/>
      <c r="F1048" s="301"/>
      <c r="G1048" s="301"/>
      <c r="H1048" s="500">
        <f>INSUMOS!E13</f>
        <v>7.81</v>
      </c>
      <c r="I1048" s="501">
        <f>D1048*H1048</f>
        <v>0.01</v>
      </c>
    </row>
    <row r="1049" spans="2:9" x14ac:dyDescent="0.2">
      <c r="B1049" s="309" t="s">
        <v>62</v>
      </c>
      <c r="C1049" s="310" t="s">
        <v>13</v>
      </c>
      <c r="D1049" s="503">
        <v>8.9999999999999996E-7</v>
      </c>
      <c r="E1049" s="301"/>
      <c r="F1049" s="301"/>
      <c r="G1049" s="301"/>
      <c r="H1049" s="500">
        <f>INSUMOS!E109</f>
        <v>2409.5700000000002</v>
      </c>
      <c r="I1049" s="501">
        <f>D1049*H1049</f>
        <v>0</v>
      </c>
    </row>
    <row r="1050" spans="2:9" x14ac:dyDescent="0.2">
      <c r="B1050" s="686" t="s">
        <v>43</v>
      </c>
      <c r="C1050" s="687"/>
      <c r="D1050" s="687"/>
      <c r="E1050" s="687"/>
      <c r="F1050" s="687"/>
      <c r="G1050" s="687"/>
      <c r="H1050" s="687"/>
      <c r="I1050" s="505">
        <f>SUM(I1048:I1049)</f>
        <v>0.01</v>
      </c>
    </row>
    <row r="1051" spans="2:9" x14ac:dyDescent="0.2">
      <c r="B1051" s="311" t="s">
        <v>49</v>
      </c>
      <c r="C1051" s="476">
        <v>1</v>
      </c>
      <c r="D1051" s="687" t="s">
        <v>50</v>
      </c>
      <c r="E1051" s="687"/>
      <c r="F1051" s="687"/>
      <c r="G1051" s="687"/>
      <c r="H1051" s="687"/>
      <c r="I1051" s="505">
        <f>I1050+I1045+I1041+I1037</f>
        <v>0.03</v>
      </c>
    </row>
    <row r="1052" spans="2:9" x14ac:dyDescent="0.2">
      <c r="B1052" s="694" t="s">
        <v>299</v>
      </c>
      <c r="C1052" s="695"/>
      <c r="D1052" s="696"/>
      <c r="E1052" s="696"/>
      <c r="F1052" s="696"/>
      <c r="G1052" s="696"/>
      <c r="H1052" s="696"/>
      <c r="I1052" s="501">
        <f>I1051/C1051</f>
        <v>0.03</v>
      </c>
    </row>
    <row r="1053" spans="2:9" x14ac:dyDescent="0.2">
      <c r="B1053" s="312" t="s">
        <v>300</v>
      </c>
      <c r="C1053" s="477">
        <f>BDI!C$36</f>
        <v>25</v>
      </c>
      <c r="D1053" s="697" t="s">
        <v>103</v>
      </c>
      <c r="E1053" s="698"/>
      <c r="F1053" s="698"/>
      <c r="G1053" s="698"/>
      <c r="H1053" s="699"/>
      <c r="I1053" s="501">
        <f>C1053/100*I1052</f>
        <v>0.01</v>
      </c>
    </row>
    <row r="1054" spans="2:9" ht="13.5" thickBot="1" x14ac:dyDescent="0.25">
      <c r="B1054" s="700" t="s">
        <v>51</v>
      </c>
      <c r="C1054" s="701"/>
      <c r="D1054" s="701"/>
      <c r="E1054" s="701"/>
      <c r="F1054" s="701"/>
      <c r="G1054" s="701"/>
      <c r="H1054" s="702"/>
      <c r="I1054" s="506">
        <f>SUM(I1052:I1053)</f>
        <v>0.04</v>
      </c>
    </row>
    <row r="1055" spans="2:9" ht="13.5" thickBot="1" x14ac:dyDescent="0.25"/>
    <row r="1056" spans="2:9" ht="31.5" x14ac:dyDescent="0.2">
      <c r="B1056" s="530" t="s">
        <v>357</v>
      </c>
      <c r="C1056" s="532" t="s">
        <v>550</v>
      </c>
      <c r="D1056" s="759" t="s">
        <v>30</v>
      </c>
      <c r="E1056" s="759"/>
      <c r="F1056" s="759"/>
      <c r="G1056" s="759"/>
      <c r="H1056" s="759"/>
      <c r="I1056" s="760"/>
    </row>
    <row r="1057" spans="2:9" ht="12.75" customHeight="1" x14ac:dyDescent="0.2">
      <c r="B1057" s="673" t="s">
        <v>134</v>
      </c>
      <c r="C1057" s="674"/>
      <c r="D1057" s="674"/>
      <c r="E1057" s="674"/>
      <c r="F1057" s="674"/>
      <c r="G1057" s="675"/>
      <c r="H1057" s="670" t="s">
        <v>494</v>
      </c>
      <c r="I1057" s="671"/>
    </row>
    <row r="1058" spans="2:9" x14ac:dyDescent="0.2">
      <c r="B1058" s="761" t="s">
        <v>491</v>
      </c>
      <c r="C1058" s="762"/>
      <c r="D1058" s="762"/>
      <c r="E1058" s="762"/>
      <c r="F1058" s="762"/>
      <c r="G1058" s="763"/>
      <c r="H1058" s="283" t="s">
        <v>31</v>
      </c>
      <c r="I1058" s="284" t="s">
        <v>52</v>
      </c>
    </row>
    <row r="1059" spans="2:9" ht="15.75" x14ac:dyDescent="0.2">
      <c r="B1059" s="689" t="s">
        <v>32</v>
      </c>
      <c r="C1059" s="690"/>
      <c r="D1059" s="690"/>
      <c r="E1059" s="690"/>
      <c r="F1059" s="690"/>
      <c r="G1059" s="690"/>
      <c r="H1059" s="690"/>
      <c r="I1059" s="691"/>
    </row>
    <row r="1060" spans="2:9" ht="25.5" x14ac:dyDescent="0.2">
      <c r="B1060" s="285" t="s">
        <v>33</v>
      </c>
      <c r="C1060" s="14" t="s">
        <v>34</v>
      </c>
      <c r="D1060" s="286" t="s">
        <v>6</v>
      </c>
      <c r="E1060" s="287" t="s">
        <v>35</v>
      </c>
      <c r="F1060" s="287" t="s">
        <v>36</v>
      </c>
      <c r="G1060" s="288" t="s">
        <v>37</v>
      </c>
      <c r="H1060" s="288" t="s">
        <v>38</v>
      </c>
      <c r="I1060" s="289" t="s">
        <v>39</v>
      </c>
    </row>
    <row r="1061" spans="2:9" x14ac:dyDescent="0.2">
      <c r="B1061" s="109"/>
      <c r="C1061" s="198"/>
      <c r="D1061" s="290"/>
      <c r="E1061" s="291"/>
      <c r="F1061" s="292"/>
      <c r="G1061" s="293"/>
      <c r="H1061" s="294"/>
      <c r="I1061" s="293"/>
    </row>
    <row r="1062" spans="2:9" x14ac:dyDescent="0.2">
      <c r="B1062" s="764" t="s">
        <v>43</v>
      </c>
      <c r="C1062" s="765"/>
      <c r="D1062" s="765"/>
      <c r="E1062" s="765"/>
      <c r="F1062" s="765"/>
      <c r="G1062" s="765"/>
      <c r="H1062" s="765"/>
      <c r="I1062" s="295"/>
    </row>
    <row r="1063" spans="2:9" ht="15.75" x14ac:dyDescent="0.2">
      <c r="B1063" s="689" t="s">
        <v>44</v>
      </c>
      <c r="C1063" s="690"/>
      <c r="D1063" s="690"/>
      <c r="E1063" s="690"/>
      <c r="F1063" s="690"/>
      <c r="G1063" s="690"/>
      <c r="H1063" s="690"/>
      <c r="I1063" s="691"/>
    </row>
    <row r="1064" spans="2:9" x14ac:dyDescent="0.2">
      <c r="B1064" s="296" t="s">
        <v>33</v>
      </c>
      <c r="C1064" s="14" t="s">
        <v>34</v>
      </c>
      <c r="D1064" s="297" t="s">
        <v>6</v>
      </c>
      <c r="E1064" s="298"/>
      <c r="F1064" s="298"/>
      <c r="G1064" s="298"/>
      <c r="H1064" s="198" t="s">
        <v>45</v>
      </c>
      <c r="I1064" s="299" t="s">
        <v>39</v>
      </c>
    </row>
    <row r="1065" spans="2:9" x14ac:dyDescent="0.2">
      <c r="B1065" s="300" t="s">
        <v>479</v>
      </c>
      <c r="C1065" s="198" t="s">
        <v>142</v>
      </c>
      <c r="D1065" s="510">
        <v>0.12</v>
      </c>
      <c r="E1065" s="301"/>
      <c r="F1065" s="301"/>
      <c r="G1065" s="301"/>
      <c r="H1065" s="500">
        <f>INSUMOS!E111</f>
        <v>1.81</v>
      </c>
      <c r="I1065" s="501">
        <f>D1065*H1065</f>
        <v>0.22</v>
      </c>
    </row>
    <row r="1066" spans="2:9" x14ac:dyDescent="0.2">
      <c r="B1066" s="303" t="s">
        <v>480</v>
      </c>
      <c r="C1066" s="110" t="s">
        <v>56</v>
      </c>
      <c r="D1066" s="511">
        <v>0.13</v>
      </c>
      <c r="E1066" s="304"/>
      <c r="F1066" s="304"/>
      <c r="G1066" s="304"/>
      <c r="H1066" s="509">
        <f>INSUMOS!E112</f>
        <v>24.14</v>
      </c>
      <c r="I1066" s="501">
        <f>D1066*H1066</f>
        <v>3.14</v>
      </c>
    </row>
    <row r="1067" spans="2:9" x14ac:dyDescent="0.2">
      <c r="B1067" s="692" t="s">
        <v>43</v>
      </c>
      <c r="C1067" s="693"/>
      <c r="D1067" s="693"/>
      <c r="E1067" s="693"/>
      <c r="F1067" s="693"/>
      <c r="G1067" s="693"/>
      <c r="H1067" s="693"/>
      <c r="I1067" s="501">
        <f>SUM(I1065:I1066)</f>
        <v>3.36</v>
      </c>
    </row>
    <row r="1068" spans="2:9" ht="15.75" x14ac:dyDescent="0.2">
      <c r="B1068" s="689" t="s">
        <v>46</v>
      </c>
      <c r="C1068" s="690"/>
      <c r="D1068" s="690"/>
      <c r="E1068" s="690"/>
      <c r="F1068" s="690"/>
      <c r="G1068" s="690"/>
      <c r="H1068" s="690"/>
      <c r="I1068" s="691"/>
    </row>
    <row r="1069" spans="2:9" x14ac:dyDescent="0.2">
      <c r="B1069" s="305" t="s">
        <v>33</v>
      </c>
      <c r="C1069" s="14" t="s">
        <v>34</v>
      </c>
      <c r="D1069" s="198" t="s">
        <v>6</v>
      </c>
      <c r="E1069" s="412"/>
      <c r="F1069" s="412"/>
      <c r="G1069" s="412"/>
      <c r="H1069" s="198" t="s">
        <v>45</v>
      </c>
      <c r="I1069" s="302" t="s">
        <v>39</v>
      </c>
    </row>
    <row r="1070" spans="2:9" x14ac:dyDescent="0.2">
      <c r="B1070" s="314"/>
      <c r="C1070" s="198"/>
      <c r="D1070" s="199"/>
      <c r="E1070" s="412"/>
      <c r="F1070" s="412"/>
      <c r="G1070" s="412"/>
      <c r="H1070" s="293"/>
      <c r="I1070" s="302"/>
    </row>
    <row r="1071" spans="2:9" x14ac:dyDescent="0.2">
      <c r="B1071" s="686" t="s">
        <v>43</v>
      </c>
      <c r="C1071" s="687"/>
      <c r="D1071" s="687"/>
      <c r="E1071" s="687"/>
      <c r="F1071" s="687"/>
      <c r="G1071" s="687"/>
      <c r="H1071" s="687"/>
      <c r="I1071" s="302"/>
    </row>
    <row r="1072" spans="2:9" ht="15.75" x14ac:dyDescent="0.2">
      <c r="B1072" s="689" t="s">
        <v>47</v>
      </c>
      <c r="C1072" s="690"/>
      <c r="D1072" s="690"/>
      <c r="E1072" s="690"/>
      <c r="F1072" s="690"/>
      <c r="G1072" s="690"/>
      <c r="H1072" s="690"/>
      <c r="I1072" s="691"/>
    </row>
    <row r="1073" spans="2:9" x14ac:dyDescent="0.2">
      <c r="B1073" s="307" t="s">
        <v>33</v>
      </c>
      <c r="C1073" s="14" t="s">
        <v>34</v>
      </c>
      <c r="D1073" s="308" t="s">
        <v>6</v>
      </c>
      <c r="E1073" s="301"/>
      <c r="F1073" s="301"/>
      <c r="G1073" s="301"/>
      <c r="H1073" s="198" t="s">
        <v>45</v>
      </c>
      <c r="I1073" s="299" t="s">
        <v>39</v>
      </c>
    </row>
    <row r="1074" spans="2:9" x14ac:dyDescent="0.2">
      <c r="B1074" s="309" t="s">
        <v>48</v>
      </c>
      <c r="C1074" s="310" t="s">
        <v>41</v>
      </c>
      <c r="D1074" s="512">
        <v>0.2</v>
      </c>
      <c r="E1074" s="301"/>
      <c r="F1074" s="301"/>
      <c r="G1074" s="301"/>
      <c r="H1074" s="500">
        <f>INSUMOS!E13</f>
        <v>7.81</v>
      </c>
      <c r="I1074" s="501">
        <f>D1074*H1074</f>
        <v>1.56</v>
      </c>
    </row>
    <row r="1075" spans="2:9" x14ac:dyDescent="0.2">
      <c r="B1075" s="309" t="s">
        <v>158</v>
      </c>
      <c r="C1075" s="310" t="s">
        <v>41</v>
      </c>
      <c r="D1075" s="512">
        <v>0.6</v>
      </c>
      <c r="E1075" s="301"/>
      <c r="F1075" s="301"/>
      <c r="G1075" s="301"/>
      <c r="H1075" s="500">
        <f>INSUMOS!E105</f>
        <v>10.37</v>
      </c>
      <c r="I1075" s="501">
        <f>D1075*H1075</f>
        <v>6.22</v>
      </c>
    </row>
    <row r="1076" spans="2:9" x14ac:dyDescent="0.2">
      <c r="B1076" s="686" t="s">
        <v>43</v>
      </c>
      <c r="C1076" s="687"/>
      <c r="D1076" s="687"/>
      <c r="E1076" s="687"/>
      <c r="F1076" s="687"/>
      <c r="G1076" s="687"/>
      <c r="H1076" s="687"/>
      <c r="I1076" s="505">
        <f>SUM(I1074:I1075)</f>
        <v>7.78</v>
      </c>
    </row>
    <row r="1077" spans="2:9" x14ac:dyDescent="0.2">
      <c r="B1077" s="311" t="s">
        <v>49</v>
      </c>
      <c r="C1077" s="476">
        <v>1</v>
      </c>
      <c r="D1077" s="687" t="s">
        <v>50</v>
      </c>
      <c r="E1077" s="687"/>
      <c r="F1077" s="687"/>
      <c r="G1077" s="687"/>
      <c r="H1077" s="687"/>
      <c r="I1077" s="505">
        <f>I1076+I1071+I1067+I1062</f>
        <v>11.14</v>
      </c>
    </row>
    <row r="1078" spans="2:9" x14ac:dyDescent="0.2">
      <c r="B1078" s="694" t="s">
        <v>299</v>
      </c>
      <c r="C1078" s="695"/>
      <c r="D1078" s="696"/>
      <c r="E1078" s="696"/>
      <c r="F1078" s="696"/>
      <c r="G1078" s="696"/>
      <c r="H1078" s="696"/>
      <c r="I1078" s="501">
        <f>I1077/C1077</f>
        <v>11.14</v>
      </c>
    </row>
    <row r="1079" spans="2:9" x14ac:dyDescent="0.2">
      <c r="B1079" s="312" t="s">
        <v>300</v>
      </c>
      <c r="C1079" s="477">
        <f>BDI!C$36</f>
        <v>25</v>
      </c>
      <c r="D1079" s="697" t="s">
        <v>103</v>
      </c>
      <c r="E1079" s="698"/>
      <c r="F1079" s="698"/>
      <c r="G1079" s="698"/>
      <c r="H1079" s="699"/>
      <c r="I1079" s="501">
        <f>C1079/100*I1078</f>
        <v>2.79</v>
      </c>
    </row>
    <row r="1080" spans="2:9" ht="13.5" thickBot="1" x14ac:dyDescent="0.25">
      <c r="B1080" s="700" t="s">
        <v>51</v>
      </c>
      <c r="C1080" s="701"/>
      <c r="D1080" s="701"/>
      <c r="E1080" s="701"/>
      <c r="F1080" s="701"/>
      <c r="G1080" s="701"/>
      <c r="H1080" s="702"/>
      <c r="I1080" s="506">
        <f>SUM(I1078:I1079)</f>
        <v>13.93</v>
      </c>
    </row>
    <row r="1081" spans="2:9" ht="38.25" x14ac:dyDescent="0.2">
      <c r="B1081" s="530" t="s">
        <v>357</v>
      </c>
      <c r="C1081" s="534" t="s">
        <v>546</v>
      </c>
      <c r="D1081" s="793" t="s">
        <v>30</v>
      </c>
      <c r="E1081" s="793"/>
      <c r="F1081" s="793"/>
      <c r="G1081" s="793"/>
      <c r="H1081" s="793"/>
      <c r="I1081" s="794"/>
    </row>
    <row r="1082" spans="2:9" x14ac:dyDescent="0.2">
      <c r="B1082" s="673" t="s">
        <v>134</v>
      </c>
      <c r="C1082" s="674"/>
      <c r="D1082" s="674"/>
      <c r="E1082" s="674"/>
      <c r="F1082" s="674"/>
      <c r="G1082" s="675"/>
      <c r="H1082" s="670" t="s">
        <v>494</v>
      </c>
      <c r="I1082" s="671"/>
    </row>
    <row r="1083" spans="2:9" x14ac:dyDescent="0.2">
      <c r="B1083" s="736" t="s">
        <v>492</v>
      </c>
      <c r="C1083" s="680"/>
      <c r="D1083" s="680"/>
      <c r="E1083" s="680"/>
      <c r="F1083" s="680"/>
      <c r="G1083" s="681"/>
      <c r="H1083" s="12" t="s">
        <v>31</v>
      </c>
      <c r="I1083" s="46" t="s">
        <v>23</v>
      </c>
    </row>
    <row r="1084" spans="2:9" x14ac:dyDescent="0.2">
      <c r="B1084" s="705" t="s">
        <v>32</v>
      </c>
      <c r="C1084" s="668"/>
      <c r="D1084" s="668"/>
      <c r="E1084" s="668"/>
      <c r="F1084" s="668"/>
      <c r="G1084" s="668"/>
      <c r="H1084" s="668"/>
      <c r="I1084" s="706"/>
    </row>
    <row r="1085" spans="2:9" ht="25.5" x14ac:dyDescent="0.2">
      <c r="B1085" s="73" t="s">
        <v>33</v>
      </c>
      <c r="C1085" s="62" t="s">
        <v>5</v>
      </c>
      <c r="D1085" s="14" t="s">
        <v>6</v>
      </c>
      <c r="E1085" s="14" t="s">
        <v>35</v>
      </c>
      <c r="F1085" s="14" t="s">
        <v>36</v>
      </c>
      <c r="G1085" s="14" t="s">
        <v>37</v>
      </c>
      <c r="H1085" s="14" t="s">
        <v>38</v>
      </c>
      <c r="I1085" s="74" t="s">
        <v>39</v>
      </c>
    </row>
    <row r="1086" spans="2:9" x14ac:dyDescent="0.2">
      <c r="B1086" s="467" t="s">
        <v>486</v>
      </c>
      <c r="C1086" s="456" t="s">
        <v>41</v>
      </c>
      <c r="D1086" s="514">
        <v>1.8335999999999999</v>
      </c>
      <c r="E1086" s="458"/>
      <c r="F1086" s="458"/>
      <c r="G1086" s="458"/>
      <c r="H1086" s="517">
        <f>INSUMOS!E44</f>
        <v>1.98</v>
      </c>
      <c r="I1086" s="520">
        <f>H1086*D1086</f>
        <v>3.63</v>
      </c>
    </row>
    <row r="1087" spans="2:9" x14ac:dyDescent="0.2">
      <c r="B1087" s="795" t="s">
        <v>43</v>
      </c>
      <c r="C1087" s="796"/>
      <c r="D1087" s="796"/>
      <c r="E1087" s="796"/>
      <c r="F1087" s="796"/>
      <c r="G1087" s="796"/>
      <c r="H1087" s="796"/>
      <c r="I1087" s="521">
        <f>SUM(I1086:I1086)</f>
        <v>3.63</v>
      </c>
    </row>
    <row r="1088" spans="2:9" x14ac:dyDescent="0.2">
      <c r="B1088" s="739" t="s">
        <v>44</v>
      </c>
      <c r="C1088" s="740"/>
      <c r="D1088" s="740"/>
      <c r="E1088" s="740"/>
      <c r="F1088" s="740"/>
      <c r="G1088" s="740"/>
      <c r="H1088" s="740"/>
      <c r="I1088" s="741"/>
    </row>
    <row r="1089" spans="2:9" x14ac:dyDescent="0.2">
      <c r="B1089" s="468" t="s">
        <v>33</v>
      </c>
      <c r="C1089" s="469" t="s">
        <v>5</v>
      </c>
      <c r="D1089" s="55" t="s">
        <v>6</v>
      </c>
      <c r="E1089" s="470"/>
      <c r="F1089" s="470"/>
      <c r="G1089" s="470"/>
      <c r="H1089" s="55" t="s">
        <v>45</v>
      </c>
      <c r="I1089" s="471" t="s">
        <v>39</v>
      </c>
    </row>
    <row r="1090" spans="2:9" x14ac:dyDescent="0.2">
      <c r="B1090" s="472" t="s">
        <v>481</v>
      </c>
      <c r="C1090" s="59" t="s">
        <v>23</v>
      </c>
      <c r="D1090" s="515">
        <v>0.8669</v>
      </c>
      <c r="E1090" s="473"/>
      <c r="F1090" s="473"/>
      <c r="G1090" s="473"/>
      <c r="H1090" s="518">
        <f>INSUMOS!E38</f>
        <v>48</v>
      </c>
      <c r="I1090" s="522">
        <f t="shared" ref="I1090:I1092" si="11">H1090*D1090</f>
        <v>41.61</v>
      </c>
    </row>
    <row r="1091" spans="2:9" x14ac:dyDescent="0.2">
      <c r="B1091" s="472" t="s">
        <v>482</v>
      </c>
      <c r="C1091" s="59" t="s">
        <v>53</v>
      </c>
      <c r="D1091" s="515">
        <v>349</v>
      </c>
      <c r="E1091" s="473"/>
      <c r="F1091" s="473"/>
      <c r="G1091" s="473"/>
      <c r="H1091" s="518">
        <f>INSUMOS!E34</f>
        <v>0.5</v>
      </c>
      <c r="I1091" s="522">
        <f t="shared" si="11"/>
        <v>174.5</v>
      </c>
    </row>
    <row r="1092" spans="2:9" x14ac:dyDescent="0.2">
      <c r="B1092" s="472" t="s">
        <v>483</v>
      </c>
      <c r="C1092" s="59" t="s">
        <v>23</v>
      </c>
      <c r="D1092" s="515">
        <v>0.20899999999999999</v>
      </c>
      <c r="E1092" s="473"/>
      <c r="F1092" s="473"/>
      <c r="G1092" s="473"/>
      <c r="H1092" s="518">
        <f>INSUMOS!E36</f>
        <v>62</v>
      </c>
      <c r="I1092" s="522">
        <f t="shared" si="11"/>
        <v>12.96</v>
      </c>
    </row>
    <row r="1093" spans="2:9" x14ac:dyDescent="0.2">
      <c r="B1093" s="472" t="s">
        <v>484</v>
      </c>
      <c r="C1093" s="59" t="s">
        <v>23</v>
      </c>
      <c r="D1093" s="515">
        <v>0.627</v>
      </c>
      <c r="E1093" s="473"/>
      <c r="F1093" s="473"/>
      <c r="G1093" s="473"/>
      <c r="H1093" s="518">
        <f>INSUMOS!E35</f>
        <v>62</v>
      </c>
      <c r="I1093" s="522">
        <f>H1093*D1093</f>
        <v>38.869999999999997</v>
      </c>
    </row>
    <row r="1094" spans="2:9" x14ac:dyDescent="0.2">
      <c r="B1094" s="787" t="s">
        <v>43</v>
      </c>
      <c r="C1094" s="788"/>
      <c r="D1094" s="788"/>
      <c r="E1094" s="788"/>
      <c r="F1094" s="788"/>
      <c r="G1094" s="788"/>
      <c r="H1094" s="788"/>
      <c r="I1094" s="522">
        <f>SUM(I1090:I1093)</f>
        <v>267.94</v>
      </c>
    </row>
    <row r="1095" spans="2:9" x14ac:dyDescent="0.2">
      <c r="B1095" s="739" t="s">
        <v>46</v>
      </c>
      <c r="C1095" s="740"/>
      <c r="D1095" s="740"/>
      <c r="E1095" s="740"/>
      <c r="F1095" s="740"/>
      <c r="G1095" s="740"/>
      <c r="H1095" s="740"/>
      <c r="I1095" s="741"/>
    </row>
    <row r="1096" spans="2:9" x14ac:dyDescent="0.2">
      <c r="B1096" s="468" t="s">
        <v>33</v>
      </c>
      <c r="C1096" s="469" t="s">
        <v>5</v>
      </c>
      <c r="D1096" s="55" t="s">
        <v>6</v>
      </c>
      <c r="E1096" s="470"/>
      <c r="F1096" s="470"/>
      <c r="G1096" s="470"/>
      <c r="H1096" s="55" t="s">
        <v>45</v>
      </c>
      <c r="I1096" s="471" t="s">
        <v>39</v>
      </c>
    </row>
    <row r="1097" spans="2:9" x14ac:dyDescent="0.2">
      <c r="B1097" s="78"/>
      <c r="C1097" s="55"/>
      <c r="D1097" s="55"/>
      <c r="E1097" s="470"/>
      <c r="F1097" s="470"/>
      <c r="G1097" s="470"/>
      <c r="H1097" s="55"/>
      <c r="I1097" s="471"/>
    </row>
    <row r="1098" spans="2:9" x14ac:dyDescent="0.2">
      <c r="B1098" s="789" t="s">
        <v>43</v>
      </c>
      <c r="C1098" s="790"/>
      <c r="D1098" s="790"/>
      <c r="E1098" s="790"/>
      <c r="F1098" s="790"/>
      <c r="G1098" s="790"/>
      <c r="H1098" s="790"/>
      <c r="I1098" s="452"/>
    </row>
    <row r="1099" spans="2:9" x14ac:dyDescent="0.2">
      <c r="B1099" s="705" t="s">
        <v>47</v>
      </c>
      <c r="C1099" s="668"/>
      <c r="D1099" s="668"/>
      <c r="E1099" s="668"/>
      <c r="F1099" s="668"/>
      <c r="G1099" s="668"/>
      <c r="H1099" s="668"/>
      <c r="I1099" s="706"/>
    </row>
    <row r="1100" spans="2:9" x14ac:dyDescent="0.2">
      <c r="B1100" s="453" t="s">
        <v>33</v>
      </c>
      <c r="C1100" s="449" t="s">
        <v>5</v>
      </c>
      <c r="D1100" s="451" t="s">
        <v>6</v>
      </c>
      <c r="E1100" s="192"/>
      <c r="F1100" s="192"/>
      <c r="G1100" s="192"/>
      <c r="H1100" s="18" t="s">
        <v>45</v>
      </c>
      <c r="I1100" s="454" t="s">
        <v>39</v>
      </c>
    </row>
    <row r="1101" spans="2:9" x14ac:dyDescent="0.2">
      <c r="B1101" s="474" t="s">
        <v>487</v>
      </c>
      <c r="C1101" s="26" t="s">
        <v>41</v>
      </c>
      <c r="D1101" s="516">
        <v>1.8335999999999999</v>
      </c>
      <c r="E1101" s="192"/>
      <c r="F1101" s="192"/>
      <c r="G1101" s="192"/>
      <c r="H1101" s="519">
        <f>INSUMOS!E27</f>
        <v>20.98</v>
      </c>
      <c r="I1101" s="523">
        <f>H1101*D1101</f>
        <v>38.47</v>
      </c>
    </row>
    <row r="1102" spans="2:9" x14ac:dyDescent="0.2">
      <c r="B1102" s="475" t="s">
        <v>48</v>
      </c>
      <c r="C1102" s="26" t="s">
        <v>41</v>
      </c>
      <c r="D1102" s="516">
        <v>3.2378</v>
      </c>
      <c r="E1102" s="192"/>
      <c r="F1102" s="192"/>
      <c r="G1102" s="192"/>
      <c r="H1102" s="519">
        <f>INSUMOS!E13</f>
        <v>7.81</v>
      </c>
      <c r="I1102" s="523">
        <f>H1102*D1102</f>
        <v>25.29</v>
      </c>
    </row>
    <row r="1103" spans="2:9" x14ac:dyDescent="0.2">
      <c r="B1103" s="707" t="s">
        <v>43</v>
      </c>
      <c r="C1103" s="669"/>
      <c r="D1103" s="669"/>
      <c r="E1103" s="669"/>
      <c r="F1103" s="669"/>
      <c r="G1103" s="669"/>
      <c r="H1103" s="669"/>
      <c r="I1103" s="524">
        <f>SUM(I1101:I1102)</f>
        <v>63.76</v>
      </c>
    </row>
    <row r="1104" spans="2:9" x14ac:dyDescent="0.2">
      <c r="B1104" s="376" t="s">
        <v>49</v>
      </c>
      <c r="C1104" s="271">
        <v>1</v>
      </c>
      <c r="D1104" s="654" t="s">
        <v>50</v>
      </c>
      <c r="E1104" s="655"/>
      <c r="F1104" s="655"/>
      <c r="G1104" s="655"/>
      <c r="H1104" s="656"/>
      <c r="I1104" s="524">
        <f>I1087+I1094+I1098+I1103</f>
        <v>335.33</v>
      </c>
    </row>
    <row r="1105" spans="2:9" x14ac:dyDescent="0.2">
      <c r="B1105" s="709"/>
      <c r="C1105" s="666"/>
      <c r="D1105" s="666"/>
      <c r="E1105" s="666"/>
      <c r="F1105" s="666"/>
      <c r="G1105" s="666"/>
      <c r="H1105" s="667"/>
      <c r="I1105" s="524">
        <f>I1104/C1104</f>
        <v>335.33</v>
      </c>
    </row>
    <row r="1106" spans="2:9" x14ac:dyDescent="0.2">
      <c r="B1106" s="377" t="s">
        <v>135</v>
      </c>
      <c r="C1106" s="477">
        <f>BDI!C$36</f>
        <v>25</v>
      </c>
      <c r="D1106" s="343" t="s">
        <v>103</v>
      </c>
      <c r="E1106" s="344"/>
      <c r="F1106" s="344"/>
      <c r="G1106" s="344"/>
      <c r="H1106" s="345"/>
      <c r="I1106" s="525">
        <f>C1106/100*I1105</f>
        <v>83.83</v>
      </c>
    </row>
    <row r="1107" spans="2:9" ht="13.5" thickBot="1" x14ac:dyDescent="0.25">
      <c r="B1107" s="791" t="s">
        <v>51</v>
      </c>
      <c r="C1107" s="792"/>
      <c r="D1107" s="792"/>
      <c r="E1107" s="792"/>
      <c r="F1107" s="792"/>
      <c r="G1107" s="792"/>
      <c r="H1107" s="792"/>
      <c r="I1107" s="506">
        <f>SUM(I1105:I1106)</f>
        <v>419.16</v>
      </c>
    </row>
  </sheetData>
  <mergeCells count="609">
    <mergeCell ref="B1094:H1094"/>
    <mergeCell ref="B1095:I1095"/>
    <mergeCell ref="B1098:H1098"/>
    <mergeCell ref="B1099:I1099"/>
    <mergeCell ref="B1103:H1103"/>
    <mergeCell ref="D1104:H1104"/>
    <mergeCell ref="B1105:H1105"/>
    <mergeCell ref="B1107:H1107"/>
    <mergeCell ref="D1079:H1079"/>
    <mergeCell ref="B1080:H1080"/>
    <mergeCell ref="D1081:I1081"/>
    <mergeCell ref="B1082:G1082"/>
    <mergeCell ref="H1082:I1082"/>
    <mergeCell ref="B1083:G1083"/>
    <mergeCell ref="B1084:I1084"/>
    <mergeCell ref="B1087:H1087"/>
    <mergeCell ref="B1088:I1088"/>
    <mergeCell ref="B1063:I1063"/>
    <mergeCell ref="B1067:H1067"/>
    <mergeCell ref="B1068:I1068"/>
    <mergeCell ref="B1071:H1071"/>
    <mergeCell ref="B1072:I1072"/>
    <mergeCell ref="B1059:I1059"/>
    <mergeCell ref="B1076:H1076"/>
    <mergeCell ref="D1077:H1077"/>
    <mergeCell ref="B1078:H1078"/>
    <mergeCell ref="B1052:H1052"/>
    <mergeCell ref="D1053:H1053"/>
    <mergeCell ref="D1056:I1056"/>
    <mergeCell ref="B1057:G1057"/>
    <mergeCell ref="H1057:I1057"/>
    <mergeCell ref="B1058:G1058"/>
    <mergeCell ref="B1046:I1046"/>
    <mergeCell ref="B1054:H1054"/>
    <mergeCell ref="B1062:H1062"/>
    <mergeCell ref="D1025:H1025"/>
    <mergeCell ref="B1026:H1026"/>
    <mergeCell ref="D1027:H1027"/>
    <mergeCell ref="B1006:G1006"/>
    <mergeCell ref="B1041:H1041"/>
    <mergeCell ref="B1042:I1042"/>
    <mergeCell ref="B1045:H1045"/>
    <mergeCell ref="B1050:H1050"/>
    <mergeCell ref="D1051:H1051"/>
    <mergeCell ref="D1031:I1031"/>
    <mergeCell ref="B1032:G1032"/>
    <mergeCell ref="H1032:I1032"/>
    <mergeCell ref="B1033:G1033"/>
    <mergeCell ref="B1034:I1034"/>
    <mergeCell ref="B1037:H1037"/>
    <mergeCell ref="B1038:I1038"/>
    <mergeCell ref="B1028:H1028"/>
    <mergeCell ref="B1020:I1020"/>
    <mergeCell ref="B1024:H1024"/>
    <mergeCell ref="D1005:I1005"/>
    <mergeCell ref="H1006:I1006"/>
    <mergeCell ref="B1007:G1007"/>
    <mergeCell ref="B1008:I1008"/>
    <mergeCell ref="B1011:H1011"/>
    <mergeCell ref="B1012:I1012"/>
    <mergeCell ref="B1015:H1015"/>
    <mergeCell ref="B1016:I1016"/>
    <mergeCell ref="B1019:H1019"/>
    <mergeCell ref="B860:G860"/>
    <mergeCell ref="B861:I861"/>
    <mergeCell ref="D853:H853"/>
    <mergeCell ref="B856:H856"/>
    <mergeCell ref="B839:H839"/>
    <mergeCell ref="D53:I53"/>
    <mergeCell ref="B54:G54"/>
    <mergeCell ref="H54:I54"/>
    <mergeCell ref="B55:G55"/>
    <mergeCell ref="B56:I56"/>
    <mergeCell ref="B59:H59"/>
    <mergeCell ref="B60:I60"/>
    <mergeCell ref="B66:H66"/>
    <mergeCell ref="B67:I67"/>
    <mergeCell ref="B776:G776"/>
    <mergeCell ref="H776:I776"/>
    <mergeCell ref="B777:G777"/>
    <mergeCell ref="B778:I778"/>
    <mergeCell ref="B781:H781"/>
    <mergeCell ref="B782:I782"/>
    <mergeCell ref="B787:H787"/>
    <mergeCell ref="B788:I788"/>
    <mergeCell ref="B805:G805"/>
    <mergeCell ref="H805:I805"/>
    <mergeCell ref="B993:H993"/>
    <mergeCell ref="B994:I994"/>
    <mergeCell ref="B999:H999"/>
    <mergeCell ref="D1000:H1000"/>
    <mergeCell ref="B1001:H1001"/>
    <mergeCell ref="B1003:H1003"/>
    <mergeCell ref="D973:I973"/>
    <mergeCell ref="B974:G974"/>
    <mergeCell ref="H974:I974"/>
    <mergeCell ref="B975:G975"/>
    <mergeCell ref="B976:I976"/>
    <mergeCell ref="B979:H979"/>
    <mergeCell ref="B980:I980"/>
    <mergeCell ref="B989:H989"/>
    <mergeCell ref="B990:I990"/>
    <mergeCell ref="B792:H792"/>
    <mergeCell ref="B746:G746"/>
    <mergeCell ref="B747:I747"/>
    <mergeCell ref="B750:H750"/>
    <mergeCell ref="B751:I751"/>
    <mergeCell ref="B757:H757"/>
    <mergeCell ref="B758:I758"/>
    <mergeCell ref="B764:H764"/>
    <mergeCell ref="B765:I765"/>
    <mergeCell ref="D775:I775"/>
    <mergeCell ref="B769:H769"/>
    <mergeCell ref="D770:H770"/>
    <mergeCell ref="B771:H771"/>
    <mergeCell ref="D772:H772"/>
    <mergeCell ref="B773:H773"/>
    <mergeCell ref="B801:H801"/>
    <mergeCell ref="B803:H803"/>
    <mergeCell ref="D804:I804"/>
    <mergeCell ref="B733:H733"/>
    <mergeCell ref="B670:H670"/>
    <mergeCell ref="B671:I671"/>
    <mergeCell ref="B675:H675"/>
    <mergeCell ref="D676:H676"/>
    <mergeCell ref="B679:H679"/>
    <mergeCell ref="B715:G715"/>
    <mergeCell ref="B716:I716"/>
    <mergeCell ref="B719:H719"/>
    <mergeCell ref="B720:I720"/>
    <mergeCell ref="B729:H729"/>
    <mergeCell ref="B730:I730"/>
    <mergeCell ref="B734:I734"/>
    <mergeCell ref="B738:H738"/>
    <mergeCell ref="D739:H739"/>
    <mergeCell ref="B740:H740"/>
    <mergeCell ref="B742:H742"/>
    <mergeCell ref="D744:I744"/>
    <mergeCell ref="B745:G745"/>
    <mergeCell ref="H745:I745"/>
    <mergeCell ref="B684:I684"/>
    <mergeCell ref="D833:I833"/>
    <mergeCell ref="B130:H130"/>
    <mergeCell ref="B126:H126"/>
    <mergeCell ref="D127:H127"/>
    <mergeCell ref="B128:H128"/>
    <mergeCell ref="B167:I167"/>
    <mergeCell ref="B170:H170"/>
    <mergeCell ref="B171:I171"/>
    <mergeCell ref="B174:H174"/>
    <mergeCell ref="B175:I175"/>
    <mergeCell ref="B178:H178"/>
    <mergeCell ref="D179:H179"/>
    <mergeCell ref="B180:H180"/>
    <mergeCell ref="D181:H181"/>
    <mergeCell ref="D160:I160"/>
    <mergeCell ref="B161:G161"/>
    <mergeCell ref="H161:I161"/>
    <mergeCell ref="B162:G162"/>
    <mergeCell ref="D211:I211"/>
    <mergeCell ref="B136:G136"/>
    <mergeCell ref="B145:H145"/>
    <mergeCell ref="B146:I146"/>
    <mergeCell ref="B200:I200"/>
    <mergeCell ref="B185:G185"/>
    <mergeCell ref="H109:I109"/>
    <mergeCell ref="B110:G110"/>
    <mergeCell ref="B111:I111"/>
    <mergeCell ref="B114:H114"/>
    <mergeCell ref="B115:I115"/>
    <mergeCell ref="B118:H118"/>
    <mergeCell ref="B119:I119"/>
    <mergeCell ref="B122:H122"/>
    <mergeCell ref="B123:I123"/>
    <mergeCell ref="B137:I137"/>
    <mergeCell ref="B141:H141"/>
    <mergeCell ref="H135:I135"/>
    <mergeCell ref="B142:I142"/>
    <mergeCell ref="B135:G135"/>
    <mergeCell ref="H185:I185"/>
    <mergeCell ref="B186:G186"/>
    <mergeCell ref="D713:I713"/>
    <mergeCell ref="B714:G714"/>
    <mergeCell ref="H714:I714"/>
    <mergeCell ref="B633:I633"/>
    <mergeCell ref="B636:H636"/>
    <mergeCell ref="B637:I637"/>
    <mergeCell ref="B640:H640"/>
    <mergeCell ref="B641:I641"/>
    <mergeCell ref="B644:H644"/>
    <mergeCell ref="B645:I645"/>
    <mergeCell ref="B648:H648"/>
    <mergeCell ref="D649:H649"/>
    <mergeCell ref="B650:H650"/>
    <mergeCell ref="B652:H652"/>
    <mergeCell ref="D654:I654"/>
    <mergeCell ref="H655:I655"/>
    <mergeCell ref="B656:G656"/>
    <mergeCell ref="B657:I657"/>
    <mergeCell ref="B660:H660"/>
    <mergeCell ref="B621:I621"/>
    <mergeCell ref="B624:H624"/>
    <mergeCell ref="D625:H625"/>
    <mergeCell ref="B626:H626"/>
    <mergeCell ref="B628:H628"/>
    <mergeCell ref="D630:I630"/>
    <mergeCell ref="B631:G631"/>
    <mergeCell ref="H631:I631"/>
    <mergeCell ref="B632:G632"/>
    <mergeCell ref="B607:G607"/>
    <mergeCell ref="H607:I607"/>
    <mergeCell ref="B608:G608"/>
    <mergeCell ref="B609:I609"/>
    <mergeCell ref="B612:H612"/>
    <mergeCell ref="B613:I613"/>
    <mergeCell ref="B616:H616"/>
    <mergeCell ref="B617:I617"/>
    <mergeCell ref="B620:H620"/>
    <mergeCell ref="B963:I963"/>
    <mergeCell ref="B967:H967"/>
    <mergeCell ref="D968:H968"/>
    <mergeCell ref="B969:H969"/>
    <mergeCell ref="D970:H970"/>
    <mergeCell ref="B971:H971"/>
    <mergeCell ref="D606:I606"/>
    <mergeCell ref="D947:I947"/>
    <mergeCell ref="B948:G948"/>
    <mergeCell ref="H948:I948"/>
    <mergeCell ref="D892:I892"/>
    <mergeCell ref="B893:G893"/>
    <mergeCell ref="H893:I893"/>
    <mergeCell ref="B894:G894"/>
    <mergeCell ref="B895:I895"/>
    <mergeCell ref="B898:H898"/>
    <mergeCell ref="B949:G949"/>
    <mergeCell ref="B950:I950"/>
    <mergeCell ref="B953:H953"/>
    <mergeCell ref="B954:I954"/>
    <mergeCell ref="B958:H958"/>
    <mergeCell ref="B959:I959"/>
    <mergeCell ref="B835:G835"/>
    <mergeCell ref="B836:I836"/>
    <mergeCell ref="B214:I214"/>
    <mergeCell ref="B218:H218"/>
    <mergeCell ref="B219:I219"/>
    <mergeCell ref="B308:I308"/>
    <mergeCell ref="B345:H345"/>
    <mergeCell ref="H212:I212"/>
    <mergeCell ref="B213:G213"/>
    <mergeCell ref="B322:G322"/>
    <mergeCell ref="H322:I322"/>
    <mergeCell ref="B323:G323"/>
    <mergeCell ref="B324:I324"/>
    <mergeCell ref="B327:H327"/>
    <mergeCell ref="B328:I328"/>
    <mergeCell ref="B332:H332"/>
    <mergeCell ref="B333:I333"/>
    <mergeCell ref="B336:H336"/>
    <mergeCell ref="B282:I282"/>
    <mergeCell ref="B285:H285"/>
    <mergeCell ref="B270:G270"/>
    <mergeCell ref="H270:I270"/>
    <mergeCell ref="B271:G271"/>
    <mergeCell ref="B272:I272"/>
    <mergeCell ref="B275:H275"/>
    <mergeCell ref="B276:I276"/>
    <mergeCell ref="B661:I661"/>
    <mergeCell ref="B666:H666"/>
    <mergeCell ref="B667:I667"/>
    <mergeCell ref="B655:G655"/>
    <mergeCell ref="B225:I225"/>
    <mergeCell ref="B228:H228"/>
    <mergeCell ref="B229:I229"/>
    <mergeCell ref="B234:H234"/>
    <mergeCell ref="B337:I337"/>
    <mergeCell ref="B341:H341"/>
    <mergeCell ref="D342:H342"/>
    <mergeCell ref="B290:H290"/>
    <mergeCell ref="D291:H291"/>
    <mergeCell ref="B292:H292"/>
    <mergeCell ref="B294:H294"/>
    <mergeCell ref="D296:I296"/>
    <mergeCell ref="B297:G297"/>
    <mergeCell ref="H297:I297"/>
    <mergeCell ref="B298:G298"/>
    <mergeCell ref="B299:I299"/>
    <mergeCell ref="B302:H302"/>
    <mergeCell ref="B319:H319"/>
    <mergeCell ref="B303:I303"/>
    <mergeCell ref="B307:H307"/>
    <mergeCell ref="B281:H281"/>
    <mergeCell ref="B286:I286"/>
    <mergeCell ref="B224:H224"/>
    <mergeCell ref="B543:I543"/>
    <mergeCell ref="B547:H547"/>
    <mergeCell ref="B548:I548"/>
    <mergeCell ref="B425:H425"/>
    <mergeCell ref="B482:I482"/>
    <mergeCell ref="B485:H485"/>
    <mergeCell ref="D452:I452"/>
    <mergeCell ref="B467:H467"/>
    <mergeCell ref="B468:I468"/>
    <mergeCell ref="B506:G506"/>
    <mergeCell ref="B502:H502"/>
    <mergeCell ref="B534:H534"/>
    <mergeCell ref="B500:H500"/>
    <mergeCell ref="B521:H521"/>
    <mergeCell ref="B530:H530"/>
    <mergeCell ref="B511:I511"/>
    <mergeCell ref="D504:I504"/>
    <mergeCell ref="D240:I240"/>
    <mergeCell ref="D368:H368"/>
    <mergeCell ref="B369:H369"/>
    <mergeCell ref="B371:H371"/>
    <mergeCell ref="B552:I552"/>
    <mergeCell ref="B556:H556"/>
    <mergeCell ref="D557:H557"/>
    <mergeCell ref="B560:H560"/>
    <mergeCell ref="D321:I321"/>
    <mergeCell ref="B343:H343"/>
    <mergeCell ref="B396:H396"/>
    <mergeCell ref="B398:H398"/>
    <mergeCell ref="D536:I536"/>
    <mergeCell ref="B537:G537"/>
    <mergeCell ref="H537:I537"/>
    <mergeCell ref="B538:G538"/>
    <mergeCell ref="B539:I539"/>
    <mergeCell ref="B542:H542"/>
    <mergeCell ref="B376:I376"/>
    <mergeCell ref="B379:H379"/>
    <mergeCell ref="B380:I380"/>
    <mergeCell ref="B385:H385"/>
    <mergeCell ref="B386:I386"/>
    <mergeCell ref="B389:H389"/>
    <mergeCell ref="B390:I390"/>
    <mergeCell ref="B394:H394"/>
    <mergeCell ref="D395:H395"/>
    <mergeCell ref="B367:H367"/>
    <mergeCell ref="B551:H551"/>
    <mergeCell ref="H348:I348"/>
    <mergeCell ref="B349:G349"/>
    <mergeCell ref="B350:I350"/>
    <mergeCell ref="B353:H353"/>
    <mergeCell ref="B354:I354"/>
    <mergeCell ref="B358:H358"/>
    <mergeCell ref="B359:I359"/>
    <mergeCell ref="B362:H362"/>
    <mergeCell ref="B363:I363"/>
    <mergeCell ref="D400:I400"/>
    <mergeCell ref="B480:G480"/>
    <mergeCell ref="B493:H493"/>
    <mergeCell ref="B510:H510"/>
    <mergeCell ref="B505:G505"/>
    <mergeCell ref="B428:G428"/>
    <mergeCell ref="B441:H441"/>
    <mergeCell ref="B430:I430"/>
    <mergeCell ref="B433:H433"/>
    <mergeCell ref="B434:I434"/>
    <mergeCell ref="B401:G401"/>
    <mergeCell ref="B442:I442"/>
    <mergeCell ref="B402:G402"/>
    <mergeCell ref="B403:I403"/>
    <mergeCell ref="B43:I43"/>
    <mergeCell ref="B46:H46"/>
    <mergeCell ref="B47:H47"/>
    <mergeCell ref="B49:H49"/>
    <mergeCell ref="B604:H604"/>
    <mergeCell ref="H563:I563"/>
    <mergeCell ref="B563:G563"/>
    <mergeCell ref="B564:G564"/>
    <mergeCell ref="B568:H568"/>
    <mergeCell ref="B565:I565"/>
    <mergeCell ref="D601:H601"/>
    <mergeCell ref="B591:I591"/>
    <mergeCell ref="B594:H594"/>
    <mergeCell ref="B595:I595"/>
    <mergeCell ref="B600:H600"/>
    <mergeCell ref="B569:I569"/>
    <mergeCell ref="B590:H590"/>
    <mergeCell ref="B602:H602"/>
    <mergeCell ref="D562:I562"/>
    <mergeCell ref="D347:I347"/>
    <mergeCell ref="B348:G348"/>
    <mergeCell ref="D373:I373"/>
    <mergeCell ref="B522:I522"/>
    <mergeCell ref="B525:H525"/>
    <mergeCell ref="B28:G28"/>
    <mergeCell ref="H28:I28"/>
    <mergeCell ref="D108:I108"/>
    <mergeCell ref="B109:G109"/>
    <mergeCell ref="D134:I134"/>
    <mergeCell ref="D81:I81"/>
    <mergeCell ref="B82:G82"/>
    <mergeCell ref="H82:I82"/>
    <mergeCell ref="B83:G83"/>
    <mergeCell ref="B51:H51"/>
    <mergeCell ref="D48:H48"/>
    <mergeCell ref="B70:H70"/>
    <mergeCell ref="B71:I71"/>
    <mergeCell ref="B75:H75"/>
    <mergeCell ref="D76:H76"/>
    <mergeCell ref="B77:H77"/>
    <mergeCell ref="B79:H79"/>
    <mergeCell ref="B103:H103"/>
    <mergeCell ref="B105:H105"/>
    <mergeCell ref="B131:H131"/>
    <mergeCell ref="B132:H132"/>
    <mergeCell ref="B38:H38"/>
    <mergeCell ref="B39:I39"/>
    <mergeCell ref="B42:H42"/>
    <mergeCell ref="D235:H235"/>
    <mergeCell ref="B238:H238"/>
    <mergeCell ref="B212:G212"/>
    <mergeCell ref="D1:I1"/>
    <mergeCell ref="B3:G3"/>
    <mergeCell ref="B4:I4"/>
    <mergeCell ref="B8:H8"/>
    <mergeCell ref="B9:I9"/>
    <mergeCell ref="B12:H12"/>
    <mergeCell ref="B2:G2"/>
    <mergeCell ref="H2:I2"/>
    <mergeCell ref="B35:I35"/>
    <mergeCell ref="B23:H23"/>
    <mergeCell ref="B17:I17"/>
    <mergeCell ref="B20:H20"/>
    <mergeCell ref="B21:H21"/>
    <mergeCell ref="D22:H22"/>
    <mergeCell ref="B13:I13"/>
    <mergeCell ref="B16:H16"/>
    <mergeCell ref="B25:H25"/>
    <mergeCell ref="D27:I27"/>
    <mergeCell ref="B29:G29"/>
    <mergeCell ref="B30:I30"/>
    <mergeCell ref="B34:H34"/>
    <mergeCell ref="B150:I150"/>
    <mergeCell ref="B149:H149"/>
    <mergeCell ref="B209:H209"/>
    <mergeCell ref="B207:H207"/>
    <mergeCell ref="B187:I187"/>
    <mergeCell ref="B190:H190"/>
    <mergeCell ref="B191:I191"/>
    <mergeCell ref="B195:H195"/>
    <mergeCell ref="B196:I196"/>
    <mergeCell ref="B199:H199"/>
    <mergeCell ref="B154:H154"/>
    <mergeCell ref="B156:H156"/>
    <mergeCell ref="D155:H155"/>
    <mergeCell ref="B158:H158"/>
    <mergeCell ref="D184:I184"/>
    <mergeCell ref="B205:H205"/>
    <mergeCell ref="B182:H182"/>
    <mergeCell ref="B163:I163"/>
    <mergeCell ref="B166:H166"/>
    <mergeCell ref="B406:H406"/>
    <mergeCell ref="B407:I407"/>
    <mergeCell ref="B412:H412"/>
    <mergeCell ref="B423:H423"/>
    <mergeCell ref="B421:H421"/>
    <mergeCell ref="D427:I427"/>
    <mergeCell ref="H428:I428"/>
    <mergeCell ref="B429:G429"/>
    <mergeCell ref="H401:I401"/>
    <mergeCell ref="B413:I413"/>
    <mergeCell ref="B416:H416"/>
    <mergeCell ref="B417:I417"/>
    <mergeCell ref="D531:H531"/>
    <mergeCell ref="B532:H532"/>
    <mergeCell ref="H505:I505"/>
    <mergeCell ref="B507:I507"/>
    <mergeCell ref="B494:I494"/>
    <mergeCell ref="B497:H497"/>
    <mergeCell ref="B498:H498"/>
    <mergeCell ref="D499:H499"/>
    <mergeCell ref="D422:H422"/>
    <mergeCell ref="D479:I479"/>
    <mergeCell ref="H480:I480"/>
    <mergeCell ref="B437:H437"/>
    <mergeCell ref="B459:I459"/>
    <mergeCell ref="B526:I526"/>
    <mergeCell ref="D269:I269"/>
    <mergeCell ref="B486:I486"/>
    <mergeCell ref="B489:H489"/>
    <mergeCell ref="B490:I490"/>
    <mergeCell ref="B450:H450"/>
    <mergeCell ref="H453:I453"/>
    <mergeCell ref="B454:G454"/>
    <mergeCell ref="B455:I455"/>
    <mergeCell ref="B458:H458"/>
    <mergeCell ref="B446:H446"/>
    <mergeCell ref="D447:H447"/>
    <mergeCell ref="B448:H448"/>
    <mergeCell ref="B464:I464"/>
    <mergeCell ref="B463:H463"/>
    <mergeCell ref="B474:H474"/>
    <mergeCell ref="B481:G481"/>
    <mergeCell ref="B453:G453"/>
    <mergeCell ref="D473:H473"/>
    <mergeCell ref="B472:H472"/>
    <mergeCell ref="B438:I438"/>
    <mergeCell ref="B374:G374"/>
    <mergeCell ref="H374:I374"/>
    <mergeCell ref="B375:G375"/>
    <mergeCell ref="B476:H476"/>
    <mergeCell ref="B687:H687"/>
    <mergeCell ref="B712:H712"/>
    <mergeCell ref="B688:I688"/>
    <mergeCell ref="B699:H699"/>
    <mergeCell ref="B700:I700"/>
    <mergeCell ref="B708:H708"/>
    <mergeCell ref="B703:H703"/>
    <mergeCell ref="B704:I704"/>
    <mergeCell ref="D709:H709"/>
    <mergeCell ref="B710:H710"/>
    <mergeCell ref="B886:H886"/>
    <mergeCell ref="D887:H887"/>
    <mergeCell ref="B890:H890"/>
    <mergeCell ref="B847:H847"/>
    <mergeCell ref="B848:I848"/>
    <mergeCell ref="B852:H852"/>
    <mergeCell ref="B806:G806"/>
    <mergeCell ref="B807:I807"/>
    <mergeCell ref="B810:H810"/>
    <mergeCell ref="B811:I811"/>
    <mergeCell ref="B828:H828"/>
    <mergeCell ref="B816:H816"/>
    <mergeCell ref="B817:I817"/>
    <mergeCell ref="B821:H821"/>
    <mergeCell ref="B822:I822"/>
    <mergeCell ref="D829:H829"/>
    <mergeCell ref="B830:H830"/>
    <mergeCell ref="B832:H832"/>
    <mergeCell ref="B840:I840"/>
    <mergeCell ref="B843:H843"/>
    <mergeCell ref="B844:I844"/>
    <mergeCell ref="D858:I858"/>
    <mergeCell ref="B859:G859"/>
    <mergeCell ref="H859:I859"/>
    <mergeCell ref="B962:H962"/>
    <mergeCell ref="B945:H945"/>
    <mergeCell ref="B834:G834"/>
    <mergeCell ref="H834:I834"/>
    <mergeCell ref="B874:H874"/>
    <mergeCell ref="B875:I875"/>
    <mergeCell ref="B878:H878"/>
    <mergeCell ref="B879:I879"/>
    <mergeCell ref="B930:I930"/>
    <mergeCell ref="B934:H934"/>
    <mergeCell ref="B935:I935"/>
    <mergeCell ref="B899:I899"/>
    <mergeCell ref="B902:H902"/>
    <mergeCell ref="B903:I903"/>
    <mergeCell ref="B906:H906"/>
    <mergeCell ref="B907:I907"/>
    <mergeCell ref="B912:H912"/>
    <mergeCell ref="D913:H913"/>
    <mergeCell ref="B914:H914"/>
    <mergeCell ref="D915:H915"/>
    <mergeCell ref="B916:H916"/>
    <mergeCell ref="B891:H891"/>
    <mergeCell ref="B864:H864"/>
    <mergeCell ref="B865:I865"/>
    <mergeCell ref="D681:I681"/>
    <mergeCell ref="B682:G682"/>
    <mergeCell ref="H682:I682"/>
    <mergeCell ref="B683:G683"/>
    <mergeCell ref="B924:H924"/>
    <mergeCell ref="B925:I925"/>
    <mergeCell ref="B943:H943"/>
    <mergeCell ref="B929:H929"/>
    <mergeCell ref="B311:H311"/>
    <mergeCell ref="B312:I312"/>
    <mergeCell ref="B315:H315"/>
    <mergeCell ref="D316:H316"/>
    <mergeCell ref="B317:H317"/>
    <mergeCell ref="B941:H941"/>
    <mergeCell ref="D942:H942"/>
    <mergeCell ref="B917:H917"/>
    <mergeCell ref="D918:I918"/>
    <mergeCell ref="B919:G919"/>
    <mergeCell ref="H919:I919"/>
    <mergeCell ref="B920:G920"/>
    <mergeCell ref="B921:I921"/>
    <mergeCell ref="B793:I793"/>
    <mergeCell ref="B799:H799"/>
    <mergeCell ref="D800:H800"/>
    <mergeCell ref="D264:H264"/>
    <mergeCell ref="B267:H267"/>
    <mergeCell ref="B84:I84"/>
    <mergeCell ref="B87:H87"/>
    <mergeCell ref="B88:I88"/>
    <mergeCell ref="B93:H93"/>
    <mergeCell ref="B94:I94"/>
    <mergeCell ref="B97:H97"/>
    <mergeCell ref="B98:I98"/>
    <mergeCell ref="B101:H101"/>
    <mergeCell ref="D102:H102"/>
    <mergeCell ref="B265:H265"/>
    <mergeCell ref="B243:I243"/>
    <mergeCell ref="B247:H247"/>
    <mergeCell ref="B248:I248"/>
    <mergeCell ref="B253:H253"/>
    <mergeCell ref="B254:I254"/>
    <mergeCell ref="B257:H257"/>
    <mergeCell ref="B258:I258"/>
    <mergeCell ref="B263:H263"/>
    <mergeCell ref="H241:I241"/>
    <mergeCell ref="B242:G242"/>
    <mergeCell ref="B241:G241"/>
    <mergeCell ref="D206:H206"/>
  </mergeCells>
  <printOptions horizontalCentered="1"/>
  <pageMargins left="0.31496062992125984" right="0.31496062992125984" top="0.39370078740157483" bottom="0.59055118110236227" header="0.51181102362204722" footer="0.51181102362204722"/>
  <pageSetup paperSize="9" scale="68" firstPageNumber="0" orientation="portrait" r:id="rId1"/>
  <headerFooter alignWithMargins="0"/>
  <rowBreaks count="19" manualBreakCount="19">
    <brk id="52" max="16383" man="1"/>
    <brk id="106" min="1" max="8" man="1"/>
    <brk id="159" min="1" max="8" man="1"/>
    <brk id="210" max="16383" man="1"/>
    <brk id="267" min="1" max="8" man="1"/>
    <brk id="319" min="1" max="8" man="1"/>
    <brk id="371" min="1" max="8" man="1"/>
    <brk id="426" min="1" max="8" man="1"/>
    <brk id="477" min="1" max="8" man="1"/>
    <brk id="535" min="1" max="8" man="1"/>
    <brk id="604" min="1" max="8" man="1"/>
    <brk id="653" min="1" max="8" man="1"/>
    <brk id="712" min="1" max="8" man="1"/>
    <brk id="774" max="16383" man="1"/>
    <brk id="832" min="1" max="8" man="1"/>
    <brk id="891" min="1" max="8" man="1"/>
    <brk id="945" min="1" max="8" man="1"/>
    <brk id="1004" max="16383" man="1"/>
    <brk id="105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Q127"/>
  <sheetViews>
    <sheetView view="pageBreakPreview" zoomScaleSheetLayoutView="100" workbookViewId="0">
      <selection activeCell="E101" sqref="E101"/>
    </sheetView>
  </sheetViews>
  <sheetFormatPr defaultRowHeight="12.75" x14ac:dyDescent="0.2"/>
  <cols>
    <col min="1" max="1" width="3.7109375" style="38" customWidth="1"/>
    <col min="2" max="2" width="10.28515625" style="153" customWidth="1"/>
    <col min="3" max="3" width="45.85546875" style="154" customWidth="1"/>
    <col min="4" max="4" width="9.140625" style="153" customWidth="1"/>
    <col min="5" max="5" width="13" style="160" customWidth="1"/>
    <col min="6" max="6" width="18.5703125" style="153" customWidth="1"/>
    <col min="7" max="7" width="9.7109375" style="125" customWidth="1"/>
    <col min="8" max="8" width="23" style="38" customWidth="1"/>
    <col min="9" max="9" width="9.140625" style="126"/>
    <col min="10" max="16384" width="9.140625" style="38"/>
  </cols>
  <sheetData>
    <row r="1" spans="1:10" x14ac:dyDescent="0.2">
      <c r="A1" s="37"/>
      <c r="B1" s="142"/>
      <c r="C1" s="143"/>
      <c r="D1" s="144"/>
      <c r="F1" s="144"/>
    </row>
    <row r="2" spans="1:10" s="1" customFormat="1" ht="12" customHeight="1" x14ac:dyDescent="0.25">
      <c r="B2" s="800" t="s">
        <v>172</v>
      </c>
      <c r="C2" s="801"/>
      <c r="D2" s="801"/>
      <c r="E2" s="801"/>
      <c r="F2" s="802"/>
      <c r="G2" s="155"/>
      <c r="H2" s="155"/>
      <c r="J2" s="66"/>
    </row>
    <row r="3" spans="1:10" s="4" customFormat="1" ht="12" customHeight="1" x14ac:dyDescent="0.25">
      <c r="B3" s="803"/>
      <c r="C3" s="804"/>
      <c r="D3" s="804"/>
      <c r="E3" s="804"/>
      <c r="F3" s="805"/>
      <c r="G3" s="155"/>
      <c r="H3" s="155"/>
      <c r="J3" s="67"/>
    </row>
    <row r="4" spans="1:10" s="4" customFormat="1" ht="12.75" customHeight="1" x14ac:dyDescent="0.25">
      <c r="B4" s="803"/>
      <c r="C4" s="804"/>
      <c r="D4" s="804"/>
      <c r="E4" s="804"/>
      <c r="F4" s="805"/>
      <c r="G4" s="155"/>
      <c r="H4" s="155"/>
      <c r="J4" s="67"/>
    </row>
    <row r="5" spans="1:10" s="4" customFormat="1" ht="15.75" customHeight="1" x14ac:dyDescent="0.25">
      <c r="B5" s="806"/>
      <c r="C5" s="807"/>
      <c r="D5" s="807"/>
      <c r="E5" s="807"/>
      <c r="F5" s="808"/>
      <c r="G5" s="155"/>
      <c r="H5" s="155"/>
      <c r="J5" s="67"/>
    </row>
    <row r="6" spans="1:10" ht="39" customHeight="1" x14ac:dyDescent="0.2">
      <c r="A6" s="37"/>
      <c r="B6" s="145"/>
      <c r="C6" s="98" t="s">
        <v>531</v>
      </c>
      <c r="D6" s="146" t="s">
        <v>102</v>
      </c>
      <c r="E6" s="161">
        <f>BDI!C36</f>
        <v>25</v>
      </c>
      <c r="F6" s="147" t="s">
        <v>103</v>
      </c>
    </row>
    <row r="7" spans="1:10" x14ac:dyDescent="0.2">
      <c r="A7" s="115"/>
      <c r="B7" s="142"/>
      <c r="C7" s="148"/>
      <c r="D7" s="149"/>
      <c r="F7" s="149"/>
    </row>
    <row r="8" spans="1:10" x14ac:dyDescent="0.2">
      <c r="A8" s="37"/>
      <c r="B8" s="797" t="s">
        <v>104</v>
      </c>
      <c r="C8" s="798"/>
      <c r="D8" s="798"/>
      <c r="E8" s="798"/>
      <c r="F8" s="799"/>
      <c r="H8" s="38" t="s">
        <v>105</v>
      </c>
    </row>
    <row r="9" spans="1:10" x14ac:dyDescent="0.2">
      <c r="A9" s="115"/>
      <c r="B9" s="142"/>
      <c r="C9" s="148"/>
      <c r="D9" s="149"/>
      <c r="F9" s="149"/>
      <c r="H9" s="163">
        <v>1.8975</v>
      </c>
      <c r="I9" s="126" t="s">
        <v>195</v>
      </c>
    </row>
    <row r="10" spans="1:10" x14ac:dyDescent="0.2">
      <c r="A10" s="37"/>
      <c r="B10" s="159" t="s">
        <v>2</v>
      </c>
      <c r="C10" s="158" t="s">
        <v>106</v>
      </c>
      <c r="D10" s="157" t="s">
        <v>5</v>
      </c>
      <c r="E10" s="162" t="s">
        <v>107</v>
      </c>
      <c r="F10" s="156" t="s">
        <v>108</v>
      </c>
      <c r="H10" s="127" t="s">
        <v>469</v>
      </c>
    </row>
    <row r="11" spans="1:10" s="131" customFormat="1" ht="15.95" customHeight="1" x14ac:dyDescent="0.2">
      <c r="A11" s="150">
        <v>1</v>
      </c>
      <c r="B11" s="41">
        <v>2707</v>
      </c>
      <c r="C11" s="99" t="s">
        <v>175</v>
      </c>
      <c r="D11" s="39" t="s">
        <v>41</v>
      </c>
      <c r="E11" s="495">
        <v>72.75</v>
      </c>
      <c r="F11" s="40" t="s">
        <v>109</v>
      </c>
      <c r="G11" s="128"/>
      <c r="H11" s="129"/>
      <c r="I11" s="130"/>
    </row>
    <row r="12" spans="1:10" s="131" customFormat="1" ht="15.95" customHeight="1" x14ac:dyDescent="0.2">
      <c r="A12" s="150">
        <v>1</v>
      </c>
      <c r="B12" s="41">
        <v>20020</v>
      </c>
      <c r="C12" s="99" t="s">
        <v>110</v>
      </c>
      <c r="D12" s="39" t="s">
        <v>41</v>
      </c>
      <c r="E12" s="495">
        <v>19.84</v>
      </c>
      <c r="F12" s="40" t="s">
        <v>109</v>
      </c>
      <c r="G12" s="128"/>
      <c r="H12" s="163">
        <v>1.5007999999999999</v>
      </c>
      <c r="I12" s="126" t="s">
        <v>196</v>
      </c>
    </row>
    <row r="13" spans="1:10" s="131" customFormat="1" ht="15.95" customHeight="1" x14ac:dyDescent="0.2">
      <c r="A13" s="150">
        <v>1</v>
      </c>
      <c r="B13" s="41">
        <v>6111</v>
      </c>
      <c r="C13" s="100" t="s">
        <v>48</v>
      </c>
      <c r="D13" s="39" t="s">
        <v>41</v>
      </c>
      <c r="E13" s="495">
        <v>7.81</v>
      </c>
      <c r="F13" s="40" t="s">
        <v>109</v>
      </c>
      <c r="G13" s="128"/>
      <c r="H13" s="132"/>
      <c r="I13" s="130"/>
    </row>
    <row r="14" spans="1:10" s="131" customFormat="1" ht="15.95" customHeight="1" x14ac:dyDescent="0.2">
      <c r="A14" s="150"/>
      <c r="B14" s="41">
        <v>6115</v>
      </c>
      <c r="C14" s="100" t="s">
        <v>156</v>
      </c>
      <c r="D14" s="39" t="s">
        <v>41</v>
      </c>
      <c r="E14" s="495">
        <v>7.81</v>
      </c>
      <c r="F14" s="40" t="s">
        <v>109</v>
      </c>
      <c r="G14" s="128"/>
      <c r="H14" s="132"/>
      <c r="I14" s="130"/>
    </row>
    <row r="15" spans="1:10" s="131" customFormat="1" ht="15.95" customHeight="1" x14ac:dyDescent="0.2">
      <c r="A15" s="150">
        <v>1</v>
      </c>
      <c r="B15" s="41">
        <v>4083</v>
      </c>
      <c r="C15" s="99" t="s">
        <v>61</v>
      </c>
      <c r="D15" s="39" t="s">
        <v>41</v>
      </c>
      <c r="E15" s="495">
        <v>23.62</v>
      </c>
      <c r="F15" s="40" t="s">
        <v>109</v>
      </c>
      <c r="G15" s="123"/>
      <c r="I15" s="133"/>
    </row>
    <row r="16" spans="1:10" s="131" customFormat="1" ht="15.95" customHeight="1" x14ac:dyDescent="0.2">
      <c r="A16" s="150"/>
      <c r="B16" s="41">
        <v>1213</v>
      </c>
      <c r="C16" s="99" t="s">
        <v>54</v>
      </c>
      <c r="D16" s="39" t="s">
        <v>41</v>
      </c>
      <c r="E16" s="495">
        <v>10.37</v>
      </c>
      <c r="F16" s="40" t="s">
        <v>109</v>
      </c>
      <c r="G16" s="128"/>
      <c r="I16" s="133"/>
    </row>
    <row r="17" spans="1:9" s="131" customFormat="1" ht="15.95" customHeight="1" x14ac:dyDescent="0.2">
      <c r="A17" s="150">
        <v>1</v>
      </c>
      <c r="B17" s="41">
        <v>4750</v>
      </c>
      <c r="C17" s="99" t="s">
        <v>83</v>
      </c>
      <c r="D17" s="39" t="s">
        <v>41</v>
      </c>
      <c r="E17" s="495">
        <v>10.37</v>
      </c>
      <c r="F17" s="40" t="s">
        <v>109</v>
      </c>
      <c r="G17" s="128"/>
      <c r="I17" s="133"/>
    </row>
    <row r="18" spans="1:9" s="131" customFormat="1" ht="15.95" customHeight="1" x14ac:dyDescent="0.2">
      <c r="A18" s="150"/>
      <c r="B18" s="41">
        <v>2436</v>
      </c>
      <c r="C18" s="99" t="s">
        <v>82</v>
      </c>
      <c r="D18" s="39" t="s">
        <v>41</v>
      </c>
      <c r="E18" s="495">
        <v>10.37</v>
      </c>
      <c r="F18" s="40" t="s">
        <v>109</v>
      </c>
      <c r="G18" s="128"/>
      <c r="I18" s="133"/>
    </row>
    <row r="19" spans="1:9" s="131" customFormat="1" ht="15.95" customHeight="1" x14ac:dyDescent="0.2">
      <c r="A19" s="150">
        <v>1</v>
      </c>
      <c r="B19" s="41">
        <v>4235</v>
      </c>
      <c r="C19" s="99" t="s">
        <v>66</v>
      </c>
      <c r="D19" s="39" t="s">
        <v>41</v>
      </c>
      <c r="E19" s="495">
        <v>12.78</v>
      </c>
      <c r="F19" s="40" t="s">
        <v>109</v>
      </c>
      <c r="G19" s="123"/>
      <c r="I19" s="133"/>
    </row>
    <row r="20" spans="1:9" s="132" customFormat="1" ht="15.95" customHeight="1" x14ac:dyDescent="0.2">
      <c r="A20" s="151">
        <v>1</v>
      </c>
      <c r="B20" s="42">
        <v>4250</v>
      </c>
      <c r="C20" s="101" t="s">
        <v>121</v>
      </c>
      <c r="D20" s="39" t="s">
        <v>41</v>
      </c>
      <c r="E20" s="495">
        <v>12.29</v>
      </c>
      <c r="F20" s="40" t="s">
        <v>109</v>
      </c>
      <c r="G20" s="123"/>
      <c r="I20" s="130"/>
    </row>
    <row r="21" spans="1:9" s="131" customFormat="1" ht="15.95" customHeight="1" x14ac:dyDescent="0.2">
      <c r="A21" s="150">
        <v>1</v>
      </c>
      <c r="B21" s="41">
        <v>2696</v>
      </c>
      <c r="C21" s="102" t="s">
        <v>70</v>
      </c>
      <c r="D21" s="42" t="s">
        <v>41</v>
      </c>
      <c r="E21" s="496">
        <v>10.37</v>
      </c>
      <c r="F21" s="40" t="s">
        <v>109</v>
      </c>
      <c r="G21" s="128"/>
      <c r="I21" s="133"/>
    </row>
    <row r="22" spans="1:9" s="131" customFormat="1" ht="15.95" customHeight="1" x14ac:dyDescent="0.2">
      <c r="B22" s="41">
        <v>2706</v>
      </c>
      <c r="C22" s="103" t="s">
        <v>97</v>
      </c>
      <c r="D22" s="41" t="s">
        <v>13</v>
      </c>
      <c r="E22" s="495">
        <f>788*8.5*1.5008</f>
        <v>10052.36</v>
      </c>
      <c r="F22" s="41" t="s">
        <v>109</v>
      </c>
      <c r="G22" s="128"/>
      <c r="I22" s="133"/>
    </row>
    <row r="23" spans="1:9" s="131" customFormat="1" ht="15.95" customHeight="1" x14ac:dyDescent="0.2">
      <c r="B23" s="41">
        <v>2355</v>
      </c>
      <c r="C23" s="103" t="s">
        <v>98</v>
      </c>
      <c r="D23" s="41" t="s">
        <v>13</v>
      </c>
      <c r="E23" s="495">
        <f>23.62/1.8975*1.5008*220</f>
        <v>4110.0200000000004</v>
      </c>
      <c r="F23" s="41" t="s">
        <v>109</v>
      </c>
      <c r="G23" s="128"/>
      <c r="I23" s="133"/>
    </row>
    <row r="24" spans="1:9" s="131" customFormat="1" ht="15.95" customHeight="1" x14ac:dyDescent="0.2">
      <c r="B24" s="41">
        <v>7592</v>
      </c>
      <c r="C24" s="101" t="s">
        <v>99</v>
      </c>
      <c r="D24" s="42" t="s">
        <v>41</v>
      </c>
      <c r="E24" s="496">
        <v>14</v>
      </c>
      <c r="F24" s="42" t="s">
        <v>109</v>
      </c>
      <c r="G24" s="123"/>
      <c r="I24" s="133"/>
    </row>
    <row r="25" spans="1:9" s="131" customFormat="1" ht="15.95" customHeight="1" x14ac:dyDescent="0.2">
      <c r="B25" s="41">
        <v>244</v>
      </c>
      <c r="C25" s="101" t="s">
        <v>100</v>
      </c>
      <c r="D25" s="42" t="s">
        <v>41</v>
      </c>
      <c r="E25" s="496">
        <v>10.53</v>
      </c>
      <c r="F25" s="42" t="s">
        <v>109</v>
      </c>
      <c r="G25" s="123"/>
      <c r="I25" s="133"/>
    </row>
    <row r="26" spans="1:9" s="131" customFormat="1" ht="15.95" customHeight="1" x14ac:dyDescent="0.2">
      <c r="B26" s="41">
        <v>247</v>
      </c>
      <c r="C26" s="101" t="s">
        <v>295</v>
      </c>
      <c r="D26" s="42" t="s">
        <v>41</v>
      </c>
      <c r="E26" s="496">
        <v>7.81</v>
      </c>
      <c r="F26" s="42" t="s">
        <v>109</v>
      </c>
      <c r="G26" s="123"/>
      <c r="I26" s="133"/>
    </row>
    <row r="27" spans="1:9" s="131" customFormat="1" ht="15.95" customHeight="1" x14ac:dyDescent="0.2">
      <c r="B27" s="41">
        <v>4243</v>
      </c>
      <c r="C27" s="101" t="s">
        <v>485</v>
      </c>
      <c r="D27" s="42" t="s">
        <v>41</v>
      </c>
      <c r="E27" s="496">
        <v>20.98</v>
      </c>
      <c r="F27" s="42" t="s">
        <v>109</v>
      </c>
      <c r="G27" s="123"/>
      <c r="I27" s="133"/>
    </row>
    <row r="28" spans="1:9" s="131" customFormat="1" ht="15.95" customHeight="1" x14ac:dyDescent="0.2">
      <c r="A28" s="150">
        <v>1</v>
      </c>
      <c r="B28" s="41">
        <v>4221</v>
      </c>
      <c r="C28" s="99" t="s">
        <v>111</v>
      </c>
      <c r="D28" s="39" t="s">
        <v>86</v>
      </c>
      <c r="E28" s="495">
        <v>2.77</v>
      </c>
      <c r="F28" s="40" t="s">
        <v>109</v>
      </c>
      <c r="G28" s="128"/>
      <c r="I28" s="133"/>
    </row>
    <row r="29" spans="1:9" s="131" customFormat="1" ht="15.95" customHeight="1" x14ac:dyDescent="0.2">
      <c r="A29" s="150">
        <v>1</v>
      </c>
      <c r="B29" s="41">
        <v>4227</v>
      </c>
      <c r="C29" s="99" t="s">
        <v>144</v>
      </c>
      <c r="D29" s="39" t="s">
        <v>86</v>
      </c>
      <c r="E29" s="495">
        <v>13</v>
      </c>
      <c r="F29" s="40" t="s">
        <v>109</v>
      </c>
      <c r="G29" s="128"/>
      <c r="I29" s="133"/>
    </row>
    <row r="30" spans="1:9" s="131" customFormat="1" ht="15.95" customHeight="1" x14ac:dyDescent="0.2">
      <c r="A30" s="150">
        <v>1</v>
      </c>
      <c r="B30" s="41">
        <v>5075</v>
      </c>
      <c r="C30" s="100" t="s">
        <v>112</v>
      </c>
      <c r="D30" s="39" t="s">
        <v>53</v>
      </c>
      <c r="E30" s="495">
        <v>7.44</v>
      </c>
      <c r="F30" s="40" t="s">
        <v>109</v>
      </c>
      <c r="G30" s="128"/>
      <c r="I30" s="133"/>
    </row>
    <row r="31" spans="1:9" s="168" customFormat="1" ht="15.95" customHeight="1" x14ac:dyDescent="0.2">
      <c r="A31" s="166"/>
      <c r="B31" s="176">
        <v>16</v>
      </c>
      <c r="C31" s="174" t="s">
        <v>138</v>
      </c>
      <c r="D31" s="175" t="s">
        <v>53</v>
      </c>
      <c r="E31" s="495">
        <v>4.42</v>
      </c>
      <c r="F31" s="40" t="s">
        <v>109</v>
      </c>
      <c r="G31" s="167"/>
      <c r="I31" s="169"/>
    </row>
    <row r="32" spans="1:9" s="131" customFormat="1" ht="15.95" customHeight="1" x14ac:dyDescent="0.2">
      <c r="A32" s="150">
        <v>2</v>
      </c>
      <c r="B32" s="41">
        <v>9869</v>
      </c>
      <c r="C32" s="100" t="s">
        <v>140</v>
      </c>
      <c r="D32" s="39" t="s">
        <v>113</v>
      </c>
      <c r="E32" s="495">
        <v>5.64</v>
      </c>
      <c r="F32" s="40" t="s">
        <v>109</v>
      </c>
      <c r="G32" s="128"/>
      <c r="I32" s="133"/>
    </row>
    <row r="33" spans="1:11" s="131" customFormat="1" ht="15.95" customHeight="1" x14ac:dyDescent="0.2">
      <c r="A33" s="150">
        <v>1</v>
      </c>
      <c r="B33" s="41">
        <v>122</v>
      </c>
      <c r="C33" s="100" t="s">
        <v>114</v>
      </c>
      <c r="D33" s="39" t="s">
        <v>142</v>
      </c>
      <c r="E33" s="495">
        <v>46.97</v>
      </c>
      <c r="F33" s="40" t="s">
        <v>109</v>
      </c>
      <c r="G33" s="128"/>
      <c r="I33" s="133"/>
    </row>
    <row r="34" spans="1:11" s="131" customFormat="1" ht="15.95" customHeight="1" x14ac:dyDescent="0.2">
      <c r="A34" s="150">
        <v>1</v>
      </c>
      <c r="B34" s="41">
        <v>1379</v>
      </c>
      <c r="C34" s="100" t="s">
        <v>512</v>
      </c>
      <c r="D34" s="39" t="s">
        <v>53</v>
      </c>
      <c r="E34" s="495">
        <v>0.5</v>
      </c>
      <c r="F34" s="40" t="s">
        <v>109</v>
      </c>
      <c r="G34" s="128"/>
      <c r="I34" s="133"/>
    </row>
    <row r="35" spans="1:11" s="131" customFormat="1" ht="15.95" customHeight="1" x14ac:dyDescent="0.2">
      <c r="A35" s="150">
        <v>1</v>
      </c>
      <c r="B35" s="41">
        <v>4721</v>
      </c>
      <c r="C35" s="102" t="s">
        <v>167</v>
      </c>
      <c r="D35" s="39" t="s">
        <v>23</v>
      </c>
      <c r="E35" s="495">
        <v>62</v>
      </c>
      <c r="F35" s="40" t="s">
        <v>109</v>
      </c>
      <c r="G35" s="128"/>
      <c r="I35" s="133"/>
    </row>
    <row r="36" spans="1:11" s="131" customFormat="1" ht="15.95" customHeight="1" x14ac:dyDescent="0.2">
      <c r="A36" s="150">
        <v>1</v>
      </c>
      <c r="B36" s="41">
        <v>4718</v>
      </c>
      <c r="C36" s="101" t="s">
        <v>120</v>
      </c>
      <c r="D36" s="39" t="s">
        <v>23</v>
      </c>
      <c r="E36" s="495">
        <v>62</v>
      </c>
      <c r="F36" s="40" t="s">
        <v>109</v>
      </c>
      <c r="G36" s="128"/>
      <c r="I36" s="133"/>
    </row>
    <row r="37" spans="1:11" s="131" customFormat="1" ht="15.95" customHeight="1" x14ac:dyDescent="0.2">
      <c r="A37" s="150">
        <v>1</v>
      </c>
      <c r="B37" s="39">
        <v>367</v>
      </c>
      <c r="C37" s="100" t="s">
        <v>115</v>
      </c>
      <c r="D37" s="39" t="s">
        <v>23</v>
      </c>
      <c r="E37" s="495">
        <v>59</v>
      </c>
      <c r="F37" s="40" t="s">
        <v>109</v>
      </c>
      <c r="G37" s="128"/>
      <c r="I37" s="133"/>
    </row>
    <row r="38" spans="1:11" s="131" customFormat="1" ht="15.95" customHeight="1" x14ac:dyDescent="0.2">
      <c r="A38" s="150"/>
      <c r="B38" s="39">
        <v>370</v>
      </c>
      <c r="C38" s="100" t="s">
        <v>481</v>
      </c>
      <c r="D38" s="39" t="s">
        <v>23</v>
      </c>
      <c r="E38" s="495">
        <v>48</v>
      </c>
      <c r="F38" s="40" t="s">
        <v>109</v>
      </c>
      <c r="G38" s="128"/>
      <c r="I38" s="133"/>
    </row>
    <row r="39" spans="1:11" s="131" customFormat="1" ht="15.95" customHeight="1" x14ac:dyDescent="0.2">
      <c r="A39" s="150">
        <v>1</v>
      </c>
      <c r="B39" s="39">
        <v>404</v>
      </c>
      <c r="C39" s="100" t="s">
        <v>116</v>
      </c>
      <c r="D39" s="39" t="s">
        <v>19</v>
      </c>
      <c r="E39" s="495">
        <v>0.9</v>
      </c>
      <c r="F39" s="40" t="s">
        <v>109</v>
      </c>
      <c r="G39" s="128"/>
      <c r="I39" s="133"/>
    </row>
    <row r="40" spans="1:11" s="131" customFormat="1" ht="15.95" customHeight="1" x14ac:dyDescent="0.2">
      <c r="A40" s="150">
        <v>1</v>
      </c>
      <c r="B40" s="41">
        <v>3146</v>
      </c>
      <c r="C40" s="100" t="s">
        <v>117</v>
      </c>
      <c r="D40" s="41" t="s">
        <v>142</v>
      </c>
      <c r="E40" s="495">
        <v>2.6</v>
      </c>
      <c r="F40" s="40" t="s">
        <v>109</v>
      </c>
      <c r="G40" s="128"/>
      <c r="I40" s="133"/>
    </row>
    <row r="41" spans="1:11" s="131" customFormat="1" ht="15.95" customHeight="1" x14ac:dyDescent="0.2">
      <c r="A41" s="150">
        <v>1</v>
      </c>
      <c r="B41" s="41">
        <v>10742</v>
      </c>
      <c r="C41" s="101" t="s">
        <v>290</v>
      </c>
      <c r="D41" s="41" t="s">
        <v>142</v>
      </c>
      <c r="E41" s="495">
        <v>1049</v>
      </c>
      <c r="F41" s="40" t="s">
        <v>109</v>
      </c>
      <c r="G41" s="128"/>
      <c r="H41" s="47"/>
      <c r="I41" s="133"/>
    </row>
    <row r="42" spans="1:11" s="168" customFormat="1" ht="28.5" customHeight="1" x14ac:dyDescent="0.2">
      <c r="A42" s="166"/>
      <c r="B42" s="176">
        <v>10587</v>
      </c>
      <c r="C42" s="184" t="s">
        <v>470</v>
      </c>
      <c r="D42" s="180" t="s">
        <v>142</v>
      </c>
      <c r="E42" s="497">
        <v>2057.5500000000002</v>
      </c>
      <c r="F42" s="182" t="s">
        <v>109</v>
      </c>
      <c r="G42" s="167"/>
      <c r="I42" s="169"/>
    </row>
    <row r="43" spans="1:11" s="168" customFormat="1" ht="27" customHeight="1" x14ac:dyDescent="0.2">
      <c r="A43" s="166">
        <v>1</v>
      </c>
      <c r="B43" s="180"/>
      <c r="C43" s="174" t="s">
        <v>194</v>
      </c>
      <c r="D43" s="175" t="s">
        <v>19</v>
      </c>
      <c r="E43" s="495">
        <v>16.66</v>
      </c>
      <c r="F43" s="182" t="s">
        <v>126</v>
      </c>
      <c r="G43" s="167"/>
      <c r="H43" s="170"/>
      <c r="I43" s="171"/>
      <c r="J43" s="172"/>
    </row>
    <row r="44" spans="1:11" s="131" customFormat="1" ht="15.95" customHeight="1" x14ac:dyDescent="0.2">
      <c r="A44" s="150">
        <v>1</v>
      </c>
      <c r="B44" s="41">
        <v>643</v>
      </c>
      <c r="C44" s="96" t="s">
        <v>71</v>
      </c>
      <c r="D44" s="39" t="s">
        <v>41</v>
      </c>
      <c r="E44" s="495">
        <v>1.98</v>
      </c>
      <c r="F44" s="40" t="s">
        <v>109</v>
      </c>
      <c r="G44" s="135"/>
      <c r="H44" s="132"/>
      <c r="I44" s="130"/>
      <c r="J44" s="132"/>
      <c r="K44" s="132"/>
    </row>
    <row r="45" spans="1:11" s="131" customFormat="1" ht="36.75" customHeight="1" x14ac:dyDescent="0.2">
      <c r="A45" s="150">
        <v>1</v>
      </c>
      <c r="B45" s="41">
        <v>4102</v>
      </c>
      <c r="C45" s="100" t="s">
        <v>474</v>
      </c>
      <c r="D45" s="41" t="s">
        <v>142</v>
      </c>
      <c r="E45" s="495">
        <v>32.4</v>
      </c>
      <c r="F45" s="40" t="s">
        <v>109</v>
      </c>
      <c r="G45" s="128"/>
      <c r="H45" s="132"/>
      <c r="I45" s="133"/>
    </row>
    <row r="46" spans="1:11" s="131" customFormat="1" ht="43.5" customHeight="1" x14ac:dyDescent="0.2">
      <c r="A46" s="150">
        <v>1</v>
      </c>
      <c r="B46" s="41">
        <v>4114</v>
      </c>
      <c r="C46" s="96" t="s">
        <v>475</v>
      </c>
      <c r="D46" s="41" t="s">
        <v>142</v>
      </c>
      <c r="E46" s="495">
        <v>32.17</v>
      </c>
      <c r="F46" s="40" t="s">
        <v>109</v>
      </c>
      <c r="G46" s="128"/>
      <c r="I46" s="133"/>
    </row>
    <row r="47" spans="1:11" s="131" customFormat="1" ht="15.95" customHeight="1" x14ac:dyDescent="0.2">
      <c r="A47" s="150"/>
      <c r="B47" s="41">
        <v>340</v>
      </c>
      <c r="C47" s="104" t="s">
        <v>173</v>
      </c>
      <c r="D47" s="39" t="s">
        <v>19</v>
      </c>
      <c r="E47" s="495">
        <v>0.7</v>
      </c>
      <c r="F47" s="40" t="s">
        <v>109</v>
      </c>
      <c r="G47" s="128"/>
      <c r="I47" s="133"/>
    </row>
    <row r="48" spans="1:11" s="131" customFormat="1" ht="15.95" customHeight="1" x14ac:dyDescent="0.2">
      <c r="A48" s="150">
        <v>1</v>
      </c>
      <c r="B48" s="41" t="s">
        <v>118</v>
      </c>
      <c r="C48" s="96" t="s">
        <v>119</v>
      </c>
      <c r="D48" s="39" t="s">
        <v>53</v>
      </c>
      <c r="E48" s="495">
        <v>4.1500000000000004</v>
      </c>
      <c r="F48" s="40" t="s">
        <v>109</v>
      </c>
      <c r="G48" s="128"/>
      <c r="I48" s="133"/>
      <c r="J48" s="136"/>
    </row>
    <row r="49" spans="1:9" s="131" customFormat="1" ht="15.95" customHeight="1" x14ac:dyDescent="0.2">
      <c r="A49" s="150">
        <v>1</v>
      </c>
      <c r="B49" s="41">
        <v>12775</v>
      </c>
      <c r="C49" s="101" t="s">
        <v>191</v>
      </c>
      <c r="D49" s="41" t="s">
        <v>142</v>
      </c>
      <c r="E49" s="495">
        <v>337.71</v>
      </c>
      <c r="F49" s="40" t="s">
        <v>109</v>
      </c>
      <c r="G49" s="128"/>
      <c r="I49" s="133"/>
    </row>
    <row r="50" spans="1:9" s="131" customFormat="1" ht="15.95" customHeight="1" x14ac:dyDescent="0.2">
      <c r="A50" s="150">
        <v>1</v>
      </c>
      <c r="B50" s="41">
        <v>11831</v>
      </c>
      <c r="C50" s="101" t="s">
        <v>84</v>
      </c>
      <c r="D50" s="41" t="s">
        <v>142</v>
      </c>
      <c r="E50" s="495">
        <v>16.55</v>
      </c>
      <c r="F50" s="40" t="s">
        <v>109</v>
      </c>
      <c r="G50" s="128"/>
      <c r="I50" s="133"/>
    </row>
    <row r="51" spans="1:9" s="131" customFormat="1" ht="25.5" customHeight="1" x14ac:dyDescent="0.2">
      <c r="A51" s="150"/>
      <c r="B51" s="41">
        <v>71</v>
      </c>
      <c r="C51" s="101" t="s">
        <v>192</v>
      </c>
      <c r="D51" s="55" t="s">
        <v>142</v>
      </c>
      <c r="E51" s="495">
        <v>15.58</v>
      </c>
      <c r="F51" s="40" t="s">
        <v>109</v>
      </c>
      <c r="G51" s="128"/>
      <c r="I51" s="133"/>
    </row>
    <row r="52" spans="1:9" s="131" customFormat="1" ht="15.95" customHeight="1" x14ac:dyDescent="0.2">
      <c r="A52" s="150">
        <v>1</v>
      </c>
      <c r="B52" s="41">
        <v>2692</v>
      </c>
      <c r="C52" s="101" t="s">
        <v>85</v>
      </c>
      <c r="D52" s="39" t="s">
        <v>86</v>
      </c>
      <c r="E52" s="495">
        <v>5.1100000000000003</v>
      </c>
      <c r="F52" s="40" t="s">
        <v>109</v>
      </c>
      <c r="G52" s="128"/>
      <c r="I52" s="133"/>
    </row>
    <row r="53" spans="1:9" s="131" customFormat="1" ht="15.95" customHeight="1" x14ac:dyDescent="0.2">
      <c r="A53" s="150">
        <v>1</v>
      </c>
      <c r="B53" s="41">
        <v>20078</v>
      </c>
      <c r="C53" s="101" t="s">
        <v>471</v>
      </c>
      <c r="D53" s="41" t="s">
        <v>142</v>
      </c>
      <c r="E53" s="495">
        <v>17.2</v>
      </c>
      <c r="F53" s="40" t="s">
        <v>109</v>
      </c>
      <c r="G53" s="128"/>
      <c r="I53" s="133"/>
    </row>
    <row r="54" spans="1:9" s="131" customFormat="1" ht="15.95" customHeight="1" x14ac:dyDescent="0.2">
      <c r="A54" s="150">
        <v>1</v>
      </c>
      <c r="B54" s="41">
        <v>1160</v>
      </c>
      <c r="C54" s="101" t="s">
        <v>472</v>
      </c>
      <c r="D54" s="39" t="s">
        <v>41</v>
      </c>
      <c r="E54" s="495">
        <v>15.78</v>
      </c>
      <c r="F54" s="40" t="s">
        <v>109</v>
      </c>
      <c r="G54" s="128"/>
      <c r="I54" s="133"/>
    </row>
    <row r="55" spans="1:9" s="131" customFormat="1" ht="15.95" customHeight="1" x14ac:dyDescent="0.2">
      <c r="A55" s="150">
        <v>1</v>
      </c>
      <c r="B55" s="41">
        <v>6188</v>
      </c>
      <c r="C55" s="96" t="s">
        <v>174</v>
      </c>
      <c r="D55" s="39" t="s">
        <v>52</v>
      </c>
      <c r="E55" s="495">
        <v>18.09</v>
      </c>
      <c r="F55" s="40" t="s">
        <v>109</v>
      </c>
      <c r="G55" s="128"/>
      <c r="I55" s="133"/>
    </row>
    <row r="56" spans="1:9" s="131" customFormat="1" ht="15.95" customHeight="1" x14ac:dyDescent="0.2">
      <c r="A56" s="150"/>
      <c r="B56" s="41">
        <v>26047</v>
      </c>
      <c r="C56" s="96" t="s">
        <v>146</v>
      </c>
      <c r="D56" s="41" t="s">
        <v>142</v>
      </c>
      <c r="E56" s="495">
        <v>48.73</v>
      </c>
      <c r="F56" s="40" t="s">
        <v>109</v>
      </c>
      <c r="G56" s="123"/>
      <c r="I56" s="133"/>
    </row>
    <row r="57" spans="1:9" s="131" customFormat="1" ht="15.95" customHeight="1" x14ac:dyDescent="0.2">
      <c r="A57" s="150"/>
      <c r="B57" s="42">
        <v>318</v>
      </c>
      <c r="C57" s="99" t="s">
        <v>147</v>
      </c>
      <c r="D57" s="41" t="s">
        <v>142</v>
      </c>
      <c r="E57" s="495">
        <v>11.1</v>
      </c>
      <c r="F57" s="40" t="s">
        <v>109</v>
      </c>
      <c r="G57" s="128"/>
      <c r="H57" s="134"/>
      <c r="I57" s="133"/>
    </row>
    <row r="58" spans="1:9" s="168" customFormat="1" ht="15.95" customHeight="1" x14ac:dyDescent="0.2">
      <c r="A58" s="166"/>
      <c r="B58" s="180">
        <v>9854</v>
      </c>
      <c r="C58" s="181" t="s">
        <v>145</v>
      </c>
      <c r="D58" s="175" t="s">
        <v>19</v>
      </c>
      <c r="E58" s="495">
        <v>74.81</v>
      </c>
      <c r="F58" s="40" t="s">
        <v>109</v>
      </c>
      <c r="G58" s="167"/>
      <c r="H58" s="173"/>
      <c r="I58" s="169"/>
    </row>
    <row r="59" spans="1:9" s="131" customFormat="1" ht="28.5" customHeight="1" x14ac:dyDescent="0.2">
      <c r="A59" s="150">
        <v>1</v>
      </c>
      <c r="B59" s="41" t="s">
        <v>122</v>
      </c>
      <c r="C59" s="99" t="s">
        <v>171</v>
      </c>
      <c r="D59" s="39" t="s">
        <v>41</v>
      </c>
      <c r="E59" s="495">
        <v>67.5</v>
      </c>
      <c r="F59" s="40" t="s">
        <v>109</v>
      </c>
      <c r="G59" s="128"/>
      <c r="I59" s="133"/>
    </row>
    <row r="60" spans="1:9" s="131" customFormat="1" ht="15.95" customHeight="1" x14ac:dyDescent="0.2">
      <c r="A60" s="150">
        <v>1</v>
      </c>
      <c r="B60" s="41">
        <v>4778</v>
      </c>
      <c r="C60" s="102" t="s">
        <v>123</v>
      </c>
      <c r="D60" s="42" t="s">
        <v>41</v>
      </c>
      <c r="E60" s="496">
        <v>3.17</v>
      </c>
      <c r="F60" s="42" t="s">
        <v>109</v>
      </c>
      <c r="G60" s="137"/>
      <c r="H60" s="138"/>
      <c r="I60" s="133"/>
    </row>
    <row r="61" spans="1:9" s="131" customFormat="1" ht="15.95" customHeight="1" x14ac:dyDescent="0.2">
      <c r="A61" s="131">
        <v>1</v>
      </c>
      <c r="B61" s="41">
        <v>4778</v>
      </c>
      <c r="C61" s="102" t="s">
        <v>124</v>
      </c>
      <c r="D61" s="42" t="s">
        <v>41</v>
      </c>
      <c r="E61" s="496">
        <v>3.17</v>
      </c>
      <c r="F61" s="42" t="s">
        <v>109</v>
      </c>
      <c r="G61" s="137"/>
      <c r="I61" s="133"/>
    </row>
    <row r="62" spans="1:9" s="131" customFormat="1" ht="15.95" customHeight="1" x14ac:dyDescent="0.2">
      <c r="A62" s="131">
        <v>1</v>
      </c>
      <c r="B62" s="41">
        <v>1508</v>
      </c>
      <c r="C62" s="105" t="s">
        <v>125</v>
      </c>
      <c r="D62" s="41" t="s">
        <v>41</v>
      </c>
      <c r="E62" s="496">
        <v>9.44</v>
      </c>
      <c r="F62" s="41" t="s">
        <v>109</v>
      </c>
      <c r="G62" s="137"/>
      <c r="I62" s="133"/>
    </row>
    <row r="63" spans="1:9" s="131" customFormat="1" ht="29.25" customHeight="1" x14ac:dyDescent="0.2">
      <c r="A63" s="152">
        <v>1</v>
      </c>
      <c r="B63" s="185">
        <v>37105</v>
      </c>
      <c r="C63" s="96" t="s">
        <v>213</v>
      </c>
      <c r="D63" s="42" t="s">
        <v>142</v>
      </c>
      <c r="E63" s="499">
        <v>1536.44</v>
      </c>
      <c r="F63" s="41" t="s">
        <v>109</v>
      </c>
      <c r="G63" s="137"/>
      <c r="I63" s="133"/>
    </row>
    <row r="64" spans="1:9" s="131" customFormat="1" ht="15.95" customHeight="1" x14ac:dyDescent="0.2">
      <c r="A64" s="152"/>
      <c r="B64" s="41">
        <v>2674</v>
      </c>
      <c r="C64" s="105" t="s">
        <v>164</v>
      </c>
      <c r="D64" s="41" t="s">
        <v>19</v>
      </c>
      <c r="E64" s="496">
        <v>2.3199999999999998</v>
      </c>
      <c r="F64" s="41" t="s">
        <v>109</v>
      </c>
      <c r="G64" s="128"/>
      <c r="I64" s="133"/>
    </row>
    <row r="65" spans="1:9" s="131" customFormat="1" ht="15.95" customHeight="1" x14ac:dyDescent="0.2">
      <c r="A65" s="152">
        <v>1</v>
      </c>
      <c r="B65" s="41">
        <v>3380</v>
      </c>
      <c r="C65" s="106" t="s">
        <v>157</v>
      </c>
      <c r="D65" s="41" t="s">
        <v>142</v>
      </c>
      <c r="E65" s="496">
        <v>34.69</v>
      </c>
      <c r="F65" s="41" t="s">
        <v>109</v>
      </c>
      <c r="G65" s="137"/>
      <c r="I65" s="133"/>
    </row>
    <row r="66" spans="1:9" s="131" customFormat="1" ht="15.95" customHeight="1" x14ac:dyDescent="0.2">
      <c r="A66" s="152">
        <v>1</v>
      </c>
      <c r="B66" s="41">
        <v>1021</v>
      </c>
      <c r="C66" s="105" t="s">
        <v>127</v>
      </c>
      <c r="D66" s="41" t="s">
        <v>19</v>
      </c>
      <c r="E66" s="496">
        <v>3.53</v>
      </c>
      <c r="F66" s="41" t="s">
        <v>109</v>
      </c>
      <c r="G66" s="137"/>
      <c r="I66" s="133"/>
    </row>
    <row r="67" spans="1:9" s="168" customFormat="1" ht="15.95" customHeight="1" x14ac:dyDescent="0.2">
      <c r="A67" s="179">
        <v>1</v>
      </c>
      <c r="B67" s="185" t="s">
        <v>208</v>
      </c>
      <c r="C67" s="181" t="s">
        <v>210</v>
      </c>
      <c r="D67" s="180" t="s">
        <v>142</v>
      </c>
      <c r="E67" s="496">
        <v>39.020000000000003</v>
      </c>
      <c r="F67" s="180" t="s">
        <v>207</v>
      </c>
      <c r="G67" s="177"/>
      <c r="H67" s="173"/>
      <c r="I67" s="169"/>
    </row>
    <row r="68" spans="1:9" s="168" customFormat="1" ht="15.95" customHeight="1" x14ac:dyDescent="0.2">
      <c r="A68" s="179">
        <v>1</v>
      </c>
      <c r="B68" s="185" t="s">
        <v>209</v>
      </c>
      <c r="C68" s="181" t="s">
        <v>211</v>
      </c>
      <c r="D68" s="180" t="s">
        <v>142</v>
      </c>
      <c r="E68" s="496">
        <v>137</v>
      </c>
      <c r="F68" s="180" t="s">
        <v>207</v>
      </c>
      <c r="G68" s="177"/>
      <c r="H68" s="173"/>
      <c r="I68" s="169"/>
    </row>
    <row r="69" spans="1:9" s="131" customFormat="1" ht="15.95" customHeight="1" x14ac:dyDescent="0.2">
      <c r="A69" s="152"/>
      <c r="B69" s="41">
        <v>1879</v>
      </c>
      <c r="C69" s="96" t="s">
        <v>291</v>
      </c>
      <c r="D69" s="41" t="s">
        <v>142</v>
      </c>
      <c r="E69" s="496">
        <v>3.29</v>
      </c>
      <c r="F69" s="41" t="s">
        <v>109</v>
      </c>
      <c r="G69" s="137"/>
      <c r="H69" s="139"/>
      <c r="I69" s="133"/>
    </row>
    <row r="70" spans="1:9" s="131" customFormat="1" ht="15.95" customHeight="1" x14ac:dyDescent="0.2">
      <c r="A70" s="152"/>
      <c r="B70" s="41">
        <v>12033</v>
      </c>
      <c r="C70" s="96" t="s">
        <v>128</v>
      </c>
      <c r="D70" s="41" t="s">
        <v>142</v>
      </c>
      <c r="E70" s="496">
        <v>13.42</v>
      </c>
      <c r="F70" s="41" t="s">
        <v>109</v>
      </c>
      <c r="G70" s="137"/>
      <c r="H70" s="139"/>
      <c r="I70" s="133"/>
    </row>
    <row r="71" spans="1:9" s="168" customFormat="1" ht="15.95" customHeight="1" x14ac:dyDescent="0.2">
      <c r="B71" s="180" t="s">
        <v>129</v>
      </c>
      <c r="C71" s="181" t="s">
        <v>163</v>
      </c>
      <c r="D71" s="180" t="s">
        <v>142</v>
      </c>
      <c r="E71" s="496">
        <f>256.76+342.34</f>
        <v>599.1</v>
      </c>
      <c r="F71" s="180" t="s">
        <v>129</v>
      </c>
      <c r="G71" s="177"/>
      <c r="H71" s="178"/>
      <c r="I71" s="169"/>
    </row>
    <row r="72" spans="1:9" s="131" customFormat="1" ht="15.95" customHeight="1" x14ac:dyDescent="0.2">
      <c r="B72" s="41">
        <v>3879</v>
      </c>
      <c r="C72" s="96" t="s">
        <v>154</v>
      </c>
      <c r="D72" s="41" t="s">
        <v>142</v>
      </c>
      <c r="E72" s="496">
        <v>8.7899999999999991</v>
      </c>
      <c r="F72" s="41" t="s">
        <v>109</v>
      </c>
      <c r="G72" s="137"/>
      <c r="H72" s="139"/>
      <c r="I72" s="133"/>
    </row>
    <row r="73" spans="1:9" s="131" customFormat="1" ht="15.95" customHeight="1" x14ac:dyDescent="0.2">
      <c r="B73" s="41">
        <v>11677</v>
      </c>
      <c r="C73" s="96" t="s">
        <v>72</v>
      </c>
      <c r="D73" s="41" t="s">
        <v>142</v>
      </c>
      <c r="E73" s="496">
        <v>34.49</v>
      </c>
      <c r="F73" s="42" t="s">
        <v>109</v>
      </c>
      <c r="G73" s="137"/>
      <c r="H73" s="139"/>
      <c r="I73" s="133"/>
    </row>
    <row r="74" spans="1:9" s="131" customFormat="1" ht="15.95" customHeight="1" x14ac:dyDescent="0.2">
      <c r="B74" s="41">
        <v>1798</v>
      </c>
      <c r="C74" s="96" t="s">
        <v>130</v>
      </c>
      <c r="D74" s="41" t="s">
        <v>142</v>
      </c>
      <c r="E74" s="496">
        <v>50.8</v>
      </c>
      <c r="F74" s="41" t="s">
        <v>109</v>
      </c>
      <c r="G74" s="137"/>
      <c r="H74" s="139"/>
      <c r="I74" s="133"/>
    </row>
    <row r="75" spans="1:9" s="131" customFormat="1" ht="15.95" customHeight="1" x14ac:dyDescent="0.2">
      <c r="B75" s="41">
        <v>113</v>
      </c>
      <c r="C75" s="96" t="s">
        <v>212</v>
      </c>
      <c r="D75" s="41" t="s">
        <v>142</v>
      </c>
      <c r="E75" s="496">
        <v>9.27</v>
      </c>
      <c r="F75" s="41" t="s">
        <v>109</v>
      </c>
      <c r="G75" s="137"/>
      <c r="H75" s="139"/>
      <c r="I75" s="133"/>
    </row>
    <row r="76" spans="1:9" s="131" customFormat="1" ht="15.95" customHeight="1" x14ac:dyDescent="0.2">
      <c r="B76" s="41">
        <v>3912</v>
      </c>
      <c r="C76" s="105" t="s">
        <v>74</v>
      </c>
      <c r="D76" s="41" t="s">
        <v>142</v>
      </c>
      <c r="E76" s="496">
        <v>13.99</v>
      </c>
      <c r="F76" s="41" t="s">
        <v>109</v>
      </c>
      <c r="G76" s="137"/>
      <c r="H76" s="139"/>
      <c r="I76" s="133"/>
    </row>
    <row r="77" spans="1:9" s="131" customFormat="1" ht="15.95" customHeight="1" x14ac:dyDescent="0.2">
      <c r="B77" s="41">
        <v>3508</v>
      </c>
      <c r="C77" s="103" t="s">
        <v>153</v>
      </c>
      <c r="D77" s="41" t="s">
        <v>142</v>
      </c>
      <c r="E77" s="496">
        <v>19.899999999999999</v>
      </c>
      <c r="F77" s="41" t="s">
        <v>109</v>
      </c>
      <c r="G77" s="137"/>
      <c r="H77" s="139"/>
      <c r="I77" s="133"/>
    </row>
    <row r="78" spans="1:9" s="131" customFormat="1" ht="12.75" customHeight="1" x14ac:dyDescent="0.2">
      <c r="B78" s="41">
        <v>4222</v>
      </c>
      <c r="C78" s="105" t="s">
        <v>176</v>
      </c>
      <c r="D78" s="39" t="s">
        <v>86</v>
      </c>
      <c r="E78" s="496">
        <v>3.44</v>
      </c>
      <c r="F78" s="41" t="s">
        <v>109</v>
      </c>
      <c r="G78" s="137"/>
      <c r="H78" s="139"/>
      <c r="I78" s="133"/>
    </row>
    <row r="79" spans="1:9" s="131" customFormat="1" ht="28.5" customHeight="1" x14ac:dyDescent="0.2">
      <c r="B79" s="41">
        <v>550</v>
      </c>
      <c r="C79" s="109" t="s">
        <v>159</v>
      </c>
      <c r="D79" s="59" t="s">
        <v>53</v>
      </c>
      <c r="E79" s="496">
        <v>4.5</v>
      </c>
      <c r="F79" s="41" t="s">
        <v>109</v>
      </c>
      <c r="G79" s="137"/>
      <c r="H79" s="139"/>
      <c r="I79" s="133"/>
    </row>
    <row r="80" spans="1:9" s="131" customFormat="1" ht="15.95" customHeight="1" x14ac:dyDescent="0.2">
      <c r="B80" s="41">
        <v>557</v>
      </c>
      <c r="C80" s="141" t="s">
        <v>160</v>
      </c>
      <c r="D80" s="110" t="s">
        <v>19</v>
      </c>
      <c r="E80" s="496">
        <v>17.27</v>
      </c>
      <c r="F80" s="41" t="s">
        <v>109</v>
      </c>
      <c r="G80" s="137"/>
      <c r="H80" s="139"/>
      <c r="I80" s="133"/>
    </row>
    <row r="81" spans="1:17" s="131" customFormat="1" ht="27.75" customHeight="1" x14ac:dyDescent="0.2">
      <c r="B81" s="41">
        <v>5089</v>
      </c>
      <c r="C81" s="141" t="s">
        <v>161</v>
      </c>
      <c r="D81" s="41" t="s">
        <v>142</v>
      </c>
      <c r="E81" s="496">
        <v>23.18</v>
      </c>
      <c r="F81" s="41" t="s">
        <v>109</v>
      </c>
      <c r="G81" s="137"/>
      <c r="H81" s="139"/>
      <c r="I81" s="133"/>
    </row>
    <row r="82" spans="1:17" s="131" customFormat="1" ht="27.75" customHeight="1" x14ac:dyDescent="0.2">
      <c r="B82" s="41">
        <v>10932</v>
      </c>
      <c r="C82" s="141" t="s">
        <v>162</v>
      </c>
      <c r="D82" s="110" t="s">
        <v>52</v>
      </c>
      <c r="E82" s="496">
        <v>54.27</v>
      </c>
      <c r="F82" s="41" t="s">
        <v>109</v>
      </c>
      <c r="G82" s="137"/>
      <c r="H82" s="139"/>
      <c r="I82" s="133"/>
    </row>
    <row r="83" spans="1:17" s="131" customFormat="1" ht="15.95" customHeight="1" x14ac:dyDescent="0.2">
      <c r="A83" s="139"/>
      <c r="B83" s="41">
        <v>4229</v>
      </c>
      <c r="C83" s="105" t="s">
        <v>131</v>
      </c>
      <c r="D83" s="41" t="s">
        <v>87</v>
      </c>
      <c r="E83" s="496">
        <v>19.079999999999998</v>
      </c>
      <c r="F83" s="41" t="s">
        <v>109</v>
      </c>
      <c r="G83" s="140"/>
      <c r="H83" s="43"/>
      <c r="I83" s="133"/>
    </row>
    <row r="84" spans="1:17" s="131" customFormat="1" ht="24" customHeight="1" x14ac:dyDescent="0.2">
      <c r="B84" s="41">
        <v>10417</v>
      </c>
      <c r="C84" s="104" t="s">
        <v>132</v>
      </c>
      <c r="D84" s="41" t="s">
        <v>142</v>
      </c>
      <c r="E84" s="496">
        <v>82.88</v>
      </c>
      <c r="F84" s="42" t="s">
        <v>109</v>
      </c>
      <c r="G84" s="137"/>
      <c r="H84" s="139"/>
      <c r="I84" s="132"/>
      <c r="J84" s="132"/>
    </row>
    <row r="85" spans="1:17" s="168" customFormat="1" ht="59.25" customHeight="1" x14ac:dyDescent="0.2">
      <c r="B85" s="42"/>
      <c r="C85" s="104" t="s">
        <v>524</v>
      </c>
      <c r="D85" s="42" t="s">
        <v>142</v>
      </c>
      <c r="E85" s="496">
        <v>430</v>
      </c>
      <c r="F85" s="42" t="s">
        <v>126</v>
      </c>
      <c r="G85" s="177">
        <v>430</v>
      </c>
      <c r="H85" s="178"/>
      <c r="I85" s="169"/>
    </row>
    <row r="86" spans="1:17" s="131" customFormat="1" ht="15.95" customHeight="1" x14ac:dyDescent="0.2">
      <c r="B86" s="41">
        <v>5056</v>
      </c>
      <c r="C86" s="107" t="s">
        <v>93</v>
      </c>
      <c r="D86" s="41" t="s">
        <v>142</v>
      </c>
      <c r="E86" s="496">
        <v>732.97</v>
      </c>
      <c r="F86" s="41" t="s">
        <v>109</v>
      </c>
      <c r="G86" s="128"/>
      <c r="H86" s="111"/>
      <c r="I86" s="133"/>
    </row>
    <row r="87" spans="1:17" s="131" customFormat="1" ht="12.75" customHeight="1" x14ac:dyDescent="0.2">
      <c r="B87" s="41">
        <v>3398</v>
      </c>
      <c r="C87" s="107" t="s">
        <v>94</v>
      </c>
      <c r="D87" s="41" t="s">
        <v>142</v>
      </c>
      <c r="E87" s="496">
        <v>6.41</v>
      </c>
      <c r="F87" s="41" t="s">
        <v>109</v>
      </c>
      <c r="G87" s="128"/>
      <c r="H87" s="111"/>
      <c r="I87" s="133"/>
    </row>
    <row r="88" spans="1:17" s="131" customFormat="1" ht="27.75" customHeight="1" x14ac:dyDescent="0.2">
      <c r="B88" s="41">
        <v>1094</v>
      </c>
      <c r="C88" s="107" t="s">
        <v>165</v>
      </c>
      <c r="D88" s="41" t="s">
        <v>142</v>
      </c>
      <c r="E88" s="496">
        <v>22.95</v>
      </c>
      <c r="F88" s="41" t="s">
        <v>109</v>
      </c>
      <c r="G88" s="128"/>
      <c r="I88" s="133"/>
    </row>
    <row r="89" spans="1:17" s="131" customFormat="1" ht="15.95" customHeight="1" x14ac:dyDescent="0.2">
      <c r="B89" s="41">
        <v>4336</v>
      </c>
      <c r="C89" s="107" t="s">
        <v>95</v>
      </c>
      <c r="D89" s="41" t="s">
        <v>142</v>
      </c>
      <c r="E89" s="496">
        <v>2.42</v>
      </c>
      <c r="F89" s="41" t="s">
        <v>109</v>
      </c>
      <c r="G89" s="128"/>
      <c r="I89" s="133"/>
    </row>
    <row r="90" spans="1:17" s="37" customFormat="1" ht="15.95" customHeight="1" x14ac:dyDescent="0.2">
      <c r="B90" s="41">
        <v>841</v>
      </c>
      <c r="C90" s="107" t="s">
        <v>92</v>
      </c>
      <c r="D90" s="41" t="s">
        <v>87</v>
      </c>
      <c r="E90" s="496">
        <v>22.5</v>
      </c>
      <c r="F90" s="41" t="s">
        <v>109</v>
      </c>
      <c r="G90" s="128"/>
      <c r="H90" s="111"/>
      <c r="I90" s="112"/>
      <c r="J90" s="113"/>
      <c r="K90" s="114"/>
      <c r="L90" s="114"/>
      <c r="M90" s="114"/>
      <c r="N90" s="114"/>
      <c r="O90" s="115"/>
      <c r="P90" s="115"/>
      <c r="Q90" s="115"/>
    </row>
    <row r="91" spans="1:17" s="131" customFormat="1" ht="15.95" customHeight="1" x14ac:dyDescent="0.2">
      <c r="B91" s="41">
        <v>418</v>
      </c>
      <c r="C91" s="107" t="s">
        <v>96</v>
      </c>
      <c r="D91" s="41" t="s">
        <v>142</v>
      </c>
      <c r="E91" s="496">
        <v>3.88</v>
      </c>
      <c r="F91" s="41" t="s">
        <v>109</v>
      </c>
      <c r="G91" s="128"/>
      <c r="H91" s="116"/>
      <c r="I91" s="133"/>
    </row>
    <row r="92" spans="1:17" s="131" customFormat="1" ht="15.95" customHeight="1" x14ac:dyDescent="0.2">
      <c r="B92" s="41">
        <v>417</v>
      </c>
      <c r="C92" s="107" t="s">
        <v>294</v>
      </c>
      <c r="D92" s="41" t="s">
        <v>142</v>
      </c>
      <c r="E92" s="496">
        <v>3.88</v>
      </c>
      <c r="F92" s="41" t="s">
        <v>109</v>
      </c>
      <c r="G92" s="128"/>
      <c r="H92" s="116"/>
      <c r="I92" s="133"/>
    </row>
    <row r="93" spans="1:17" x14ac:dyDescent="0.2">
      <c r="B93" s="273">
        <v>31</v>
      </c>
      <c r="C93" s="274" t="s">
        <v>231</v>
      </c>
      <c r="D93" s="273" t="s">
        <v>53</v>
      </c>
      <c r="E93" s="496">
        <v>3.95</v>
      </c>
      <c r="F93" s="42" t="s">
        <v>109</v>
      </c>
    </row>
    <row r="94" spans="1:17" x14ac:dyDescent="0.2">
      <c r="B94" s="273">
        <v>36</v>
      </c>
      <c r="C94" s="274" t="s">
        <v>219</v>
      </c>
      <c r="D94" s="273" t="s">
        <v>53</v>
      </c>
      <c r="E94" s="496">
        <v>4.1100000000000003</v>
      </c>
      <c r="F94" s="42" t="s">
        <v>109</v>
      </c>
    </row>
    <row r="95" spans="1:17" x14ac:dyDescent="0.2">
      <c r="B95" s="276">
        <v>32</v>
      </c>
      <c r="C95" s="277" t="s">
        <v>232</v>
      </c>
      <c r="D95" s="276" t="s">
        <v>53</v>
      </c>
      <c r="E95" s="498">
        <v>4.3499999999999996</v>
      </c>
      <c r="F95" s="278" t="s">
        <v>109</v>
      </c>
    </row>
    <row r="96" spans="1:17" x14ac:dyDescent="0.2">
      <c r="B96" s="273">
        <v>39</v>
      </c>
      <c r="C96" s="279" t="s">
        <v>218</v>
      </c>
      <c r="D96" s="276" t="s">
        <v>53</v>
      </c>
      <c r="E96" s="498">
        <v>4.1100000000000003</v>
      </c>
      <c r="F96" s="278" t="s">
        <v>109</v>
      </c>
    </row>
    <row r="97" spans="2:6" ht="51" x14ac:dyDescent="0.2">
      <c r="B97" s="281">
        <v>7155</v>
      </c>
      <c r="C97" s="277" t="s">
        <v>220</v>
      </c>
      <c r="D97" s="281" t="s">
        <v>52</v>
      </c>
      <c r="E97" s="498">
        <v>17.739999999999998</v>
      </c>
      <c r="F97" s="281" t="s">
        <v>109</v>
      </c>
    </row>
    <row r="98" spans="2:6" ht="25.5" x14ac:dyDescent="0.2">
      <c r="B98" s="41">
        <v>73</v>
      </c>
      <c r="C98" s="104" t="s">
        <v>225</v>
      </c>
      <c r="D98" s="41" t="s">
        <v>142</v>
      </c>
      <c r="E98" s="496">
        <v>11.2</v>
      </c>
      <c r="F98" s="281" t="s">
        <v>109</v>
      </c>
    </row>
    <row r="99" spans="2:6" ht="25.5" x14ac:dyDescent="0.2">
      <c r="B99" s="41">
        <v>99</v>
      </c>
      <c r="C99" s="104" t="s">
        <v>226</v>
      </c>
      <c r="D99" s="41" t="s">
        <v>142</v>
      </c>
      <c r="E99" s="496">
        <v>30.99</v>
      </c>
      <c r="F99" s="281" t="s">
        <v>109</v>
      </c>
    </row>
    <row r="100" spans="2:6" x14ac:dyDescent="0.2">
      <c r="B100" s="41">
        <v>6031</v>
      </c>
      <c r="C100" s="104" t="s">
        <v>227</v>
      </c>
      <c r="D100" s="41" t="s">
        <v>142</v>
      </c>
      <c r="E100" s="496">
        <v>12.24</v>
      </c>
      <c r="F100" s="41" t="s">
        <v>109</v>
      </c>
    </row>
    <row r="101" spans="2:6" x14ac:dyDescent="0.2">
      <c r="B101" s="41">
        <v>7094</v>
      </c>
      <c r="C101" s="280" t="s">
        <v>228</v>
      </c>
      <c r="D101" s="41" t="s">
        <v>142</v>
      </c>
      <c r="E101" s="496">
        <v>7.54</v>
      </c>
      <c r="F101" s="41" t="s">
        <v>109</v>
      </c>
    </row>
    <row r="102" spans="2:6" ht="25.5" x14ac:dyDescent="0.2">
      <c r="B102" s="41">
        <v>7114</v>
      </c>
      <c r="C102" s="104" t="s">
        <v>229</v>
      </c>
      <c r="D102" s="41" t="s">
        <v>142</v>
      </c>
      <c r="E102" s="496">
        <v>16.75</v>
      </c>
      <c r="F102" s="41" t="s">
        <v>109</v>
      </c>
    </row>
    <row r="103" spans="2:6" x14ac:dyDescent="0.2">
      <c r="B103" s="273">
        <v>3767</v>
      </c>
      <c r="C103" s="300" t="s">
        <v>297</v>
      </c>
      <c r="D103" s="41" t="s">
        <v>142</v>
      </c>
      <c r="E103" s="496">
        <v>0.43</v>
      </c>
      <c r="F103" s="41" t="s">
        <v>109</v>
      </c>
    </row>
    <row r="104" spans="2:6" x14ac:dyDescent="0.2">
      <c r="B104" s="273">
        <v>7345</v>
      </c>
      <c r="C104" s="303" t="s">
        <v>298</v>
      </c>
      <c r="D104" s="273" t="s">
        <v>56</v>
      </c>
      <c r="E104" s="496">
        <v>13.11</v>
      </c>
      <c r="F104" s="41" t="s">
        <v>109</v>
      </c>
    </row>
    <row r="105" spans="2:6" x14ac:dyDescent="0.2">
      <c r="B105" s="273">
        <v>4783</v>
      </c>
      <c r="C105" s="309" t="s">
        <v>158</v>
      </c>
      <c r="D105" s="273" t="s">
        <v>41</v>
      </c>
      <c r="E105" s="496">
        <v>10.37</v>
      </c>
      <c r="F105" s="41" t="s">
        <v>109</v>
      </c>
    </row>
    <row r="106" spans="2:6" ht="38.25" x14ac:dyDescent="0.2">
      <c r="B106" s="42">
        <v>13845</v>
      </c>
      <c r="C106" s="183" t="s">
        <v>168</v>
      </c>
      <c r="D106" s="41" t="s">
        <v>142</v>
      </c>
      <c r="E106" s="496">
        <v>139.66999999999999</v>
      </c>
      <c r="F106" s="41" t="s">
        <v>109</v>
      </c>
    </row>
    <row r="107" spans="2:6" x14ac:dyDescent="0.2">
      <c r="B107" s="273">
        <v>378</v>
      </c>
      <c r="C107" s="275" t="s">
        <v>353</v>
      </c>
      <c r="D107" s="273" t="s">
        <v>41</v>
      </c>
      <c r="E107" s="496">
        <v>10.37</v>
      </c>
      <c r="F107" s="41" t="s">
        <v>109</v>
      </c>
    </row>
    <row r="108" spans="2:6" ht="24" customHeight="1" x14ac:dyDescent="0.2">
      <c r="B108" s="41">
        <v>344</v>
      </c>
      <c r="C108" s="323" t="s">
        <v>473</v>
      </c>
      <c r="D108" s="41" t="s">
        <v>53</v>
      </c>
      <c r="E108" s="496">
        <v>10.92</v>
      </c>
      <c r="F108" s="41" t="s">
        <v>109</v>
      </c>
    </row>
    <row r="109" spans="2:6" x14ac:dyDescent="0.2">
      <c r="B109" s="273">
        <v>10512</v>
      </c>
      <c r="C109" s="275" t="s">
        <v>478</v>
      </c>
      <c r="D109" s="273" t="s">
        <v>13</v>
      </c>
      <c r="E109" s="507">
        <v>2409.5700000000002</v>
      </c>
      <c r="F109" s="273" t="s">
        <v>109</v>
      </c>
    </row>
    <row r="110" spans="2:6" x14ac:dyDescent="0.2">
      <c r="B110" s="273">
        <v>1150</v>
      </c>
      <c r="C110" s="275" t="s">
        <v>477</v>
      </c>
      <c r="D110" s="41" t="s">
        <v>142</v>
      </c>
      <c r="E110" s="508">
        <v>176704.25</v>
      </c>
      <c r="F110" s="273" t="s">
        <v>109</v>
      </c>
    </row>
    <row r="111" spans="2:6" x14ac:dyDescent="0.2">
      <c r="B111" s="276">
        <v>3768</v>
      </c>
      <c r="C111" s="513" t="s">
        <v>479</v>
      </c>
      <c r="D111" s="281" t="s">
        <v>142</v>
      </c>
      <c r="E111" s="498">
        <v>1.81</v>
      </c>
      <c r="F111" s="281" t="s">
        <v>109</v>
      </c>
    </row>
    <row r="112" spans="2:6" x14ac:dyDescent="0.2">
      <c r="B112" s="273">
        <v>7293</v>
      </c>
      <c r="C112" s="275" t="s">
        <v>480</v>
      </c>
      <c r="D112" s="273" t="s">
        <v>56</v>
      </c>
      <c r="E112" s="507">
        <v>24.14</v>
      </c>
      <c r="F112" s="41" t="s">
        <v>109</v>
      </c>
    </row>
    <row r="113" spans="2:6" ht="25.5" x14ac:dyDescent="0.2">
      <c r="B113" s="41">
        <v>643</v>
      </c>
      <c r="C113" s="105" t="s">
        <v>508</v>
      </c>
      <c r="D113" s="41" t="s">
        <v>41</v>
      </c>
      <c r="E113" s="496">
        <v>1.98</v>
      </c>
      <c r="F113" s="41" t="s">
        <v>109</v>
      </c>
    </row>
    <row r="114" spans="2:6" ht="26.25" customHeight="1" x14ac:dyDescent="0.2">
      <c r="B114" s="41">
        <v>4491</v>
      </c>
      <c r="C114" s="105" t="s">
        <v>503</v>
      </c>
      <c r="D114" s="41" t="s">
        <v>19</v>
      </c>
      <c r="E114" s="496">
        <v>6.19</v>
      </c>
      <c r="F114" s="41" t="s">
        <v>109</v>
      </c>
    </row>
    <row r="115" spans="2:6" ht="30" customHeight="1" x14ac:dyDescent="0.2">
      <c r="B115" s="41">
        <v>4417</v>
      </c>
      <c r="C115" s="105" t="s">
        <v>502</v>
      </c>
      <c r="D115" s="41" t="s">
        <v>19</v>
      </c>
      <c r="E115" s="496">
        <v>4.29</v>
      </c>
      <c r="F115" s="41" t="s">
        <v>109</v>
      </c>
    </row>
    <row r="116" spans="2:6" ht="25.5" customHeight="1" x14ac:dyDescent="0.2">
      <c r="B116" s="41">
        <v>4813</v>
      </c>
      <c r="C116" s="105" t="s">
        <v>504</v>
      </c>
      <c r="D116" s="41" t="s">
        <v>52</v>
      </c>
      <c r="E116" s="496">
        <v>275</v>
      </c>
      <c r="F116" s="41" t="s">
        <v>109</v>
      </c>
    </row>
    <row r="117" spans="2:6" x14ac:dyDescent="0.2">
      <c r="B117" s="180">
        <v>9850</v>
      </c>
      <c r="C117" s="181" t="s">
        <v>518</v>
      </c>
      <c r="D117" s="175" t="s">
        <v>19</v>
      </c>
      <c r="E117" s="495">
        <v>96.02</v>
      </c>
      <c r="F117" s="40" t="s">
        <v>109</v>
      </c>
    </row>
    <row r="118" spans="2:6" x14ac:dyDescent="0.2">
      <c r="B118" s="273"/>
      <c r="C118" s="564" t="s">
        <v>441</v>
      </c>
      <c r="D118" s="175" t="s">
        <v>19</v>
      </c>
      <c r="E118" s="495">
        <v>80</v>
      </c>
      <c r="F118" s="182" t="s">
        <v>126</v>
      </c>
    </row>
    <row r="119" spans="2:6" ht="25.5" x14ac:dyDescent="0.2">
      <c r="B119" s="41">
        <v>11075</v>
      </c>
      <c r="C119" s="565" t="s">
        <v>442</v>
      </c>
      <c r="D119" s="39" t="s">
        <v>23</v>
      </c>
      <c r="E119" s="495">
        <v>966.12</v>
      </c>
      <c r="F119" s="40" t="s">
        <v>109</v>
      </c>
    </row>
    <row r="120" spans="2:6" ht="63.75" x14ac:dyDescent="0.2">
      <c r="B120" s="180"/>
      <c r="C120" s="566" t="s">
        <v>519</v>
      </c>
      <c r="D120" s="175" t="s">
        <v>142</v>
      </c>
      <c r="E120" s="497">
        <f>(7420+5300)/2</f>
        <v>6360</v>
      </c>
      <c r="F120" s="182" t="s">
        <v>126</v>
      </c>
    </row>
    <row r="121" spans="2:6" x14ac:dyDescent="0.2">
      <c r="B121" s="180"/>
      <c r="C121" s="566" t="s">
        <v>443</v>
      </c>
      <c r="D121" s="175" t="s">
        <v>41</v>
      </c>
      <c r="E121" s="495">
        <v>150</v>
      </c>
      <c r="F121" s="182" t="s">
        <v>126</v>
      </c>
    </row>
    <row r="122" spans="2:6" ht="25.5" x14ac:dyDescent="0.2">
      <c r="B122" s="41">
        <v>21011</v>
      </c>
      <c r="C122" s="567" t="s">
        <v>448</v>
      </c>
      <c r="D122" s="41" t="s">
        <v>19</v>
      </c>
      <c r="E122" s="496">
        <v>18.079999999999998</v>
      </c>
      <c r="F122" s="41" t="s">
        <v>109</v>
      </c>
    </row>
    <row r="123" spans="2:6" ht="25.5" x14ac:dyDescent="0.2">
      <c r="B123" s="588"/>
      <c r="C123" s="589" t="s">
        <v>525</v>
      </c>
      <c r="D123" s="590" t="s">
        <v>41</v>
      </c>
      <c r="E123" s="495">
        <f>(1800/30)/8</f>
        <v>7.5</v>
      </c>
      <c r="F123" s="182" t="s">
        <v>526</v>
      </c>
    </row>
    <row r="124" spans="2:6" ht="25.5" x14ac:dyDescent="0.2">
      <c r="B124" s="588">
        <v>7252</v>
      </c>
      <c r="C124" s="589" t="s">
        <v>451</v>
      </c>
      <c r="D124" s="590" t="s">
        <v>41</v>
      </c>
      <c r="E124" s="495">
        <v>1.33</v>
      </c>
      <c r="F124" s="182" t="s">
        <v>109</v>
      </c>
    </row>
    <row r="125" spans="2:6" x14ac:dyDescent="0.2">
      <c r="B125" s="41">
        <v>7595</v>
      </c>
      <c r="C125" s="101" t="s">
        <v>452</v>
      </c>
      <c r="D125" s="42" t="s">
        <v>41</v>
      </c>
      <c r="E125" s="496">
        <v>11.36</v>
      </c>
      <c r="F125" s="42" t="s">
        <v>109</v>
      </c>
    </row>
    <row r="126" spans="2:6" x14ac:dyDescent="0.2">
      <c r="B126" s="41">
        <v>868</v>
      </c>
      <c r="C126" s="107" t="s">
        <v>527</v>
      </c>
      <c r="D126" s="41" t="s">
        <v>19</v>
      </c>
      <c r="E126" s="496">
        <v>11.97</v>
      </c>
      <c r="F126" s="41" t="s">
        <v>109</v>
      </c>
    </row>
    <row r="127" spans="2:6" x14ac:dyDescent="0.2">
      <c r="B127" s="591" t="s">
        <v>528</v>
      </c>
      <c r="C127" s="592" t="s">
        <v>453</v>
      </c>
      <c r="D127" s="593" t="s">
        <v>142</v>
      </c>
      <c r="E127" s="496">
        <v>22.99</v>
      </c>
      <c r="F127" s="594" t="s">
        <v>529</v>
      </c>
    </row>
  </sheetData>
  <autoFilter ref="A10:G108"/>
  <mergeCells count="2">
    <mergeCell ref="B8:F8"/>
    <mergeCell ref="B2:F5"/>
  </mergeCells>
  <printOptions horizontalCentered="1"/>
  <pageMargins left="0.51181102362204722" right="0.51181102362204722" top="0.39370078740157483" bottom="0.78740157480314965" header="0.51181102362204722" footer="0.51181102362204722"/>
  <pageSetup paperSize="9" scale="80" firstPageNumber="0" fitToHeight="2" orientation="portrait" r:id="rId1"/>
  <headerFooter alignWithMargins="0"/>
  <rowBreaks count="2" manualBreakCount="2">
    <brk id="56" min="1" max="5" man="1"/>
    <brk id="95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N40"/>
  <sheetViews>
    <sheetView view="pageBreakPreview" zoomScale="80" zoomScaleNormal="100" zoomScaleSheetLayoutView="80" workbookViewId="0">
      <selection activeCell="H34" sqref="H34"/>
    </sheetView>
  </sheetViews>
  <sheetFormatPr defaultRowHeight="12.75" x14ac:dyDescent="0.2"/>
  <cols>
    <col min="2" max="2" width="9.28515625" bestFit="1" customWidth="1"/>
    <col min="3" max="3" width="33.140625" bestFit="1" customWidth="1"/>
    <col min="4" max="4" width="10.85546875" bestFit="1" customWidth="1"/>
    <col min="5" max="5" width="14.5703125" customWidth="1"/>
    <col min="8" max="8" width="9.28515625" bestFit="1" customWidth="1"/>
  </cols>
  <sheetData>
    <row r="1" spans="1:13" ht="13.5" thickBot="1" x14ac:dyDescent="0.25"/>
    <row r="2" spans="1:13" x14ac:dyDescent="0.2">
      <c r="B2" s="597"/>
      <c r="C2" s="598"/>
      <c r="D2" s="598"/>
      <c r="E2" s="598"/>
      <c r="F2" s="598"/>
      <c r="G2" s="598"/>
      <c r="H2" s="598"/>
      <c r="I2" s="598"/>
      <c r="J2" s="598"/>
      <c r="K2" s="598"/>
      <c r="L2" s="599"/>
    </row>
    <row r="3" spans="1:13" x14ac:dyDescent="0.2">
      <c r="B3" s="600"/>
      <c r="C3" s="601"/>
      <c r="D3" s="601"/>
      <c r="E3" s="601"/>
      <c r="F3" s="601"/>
      <c r="G3" s="601"/>
      <c r="H3" s="601"/>
      <c r="I3" s="601"/>
      <c r="J3" s="601"/>
      <c r="K3" s="601"/>
      <c r="L3" s="602"/>
    </row>
    <row r="4" spans="1:13" x14ac:dyDescent="0.2">
      <c r="B4" s="600"/>
      <c r="C4" s="601"/>
      <c r="D4" s="601"/>
      <c r="E4" s="601"/>
      <c r="F4" s="601"/>
      <c r="G4" s="601"/>
      <c r="H4" s="601"/>
      <c r="I4" s="601"/>
      <c r="J4" s="601"/>
      <c r="K4" s="601"/>
      <c r="L4" s="602"/>
    </row>
    <row r="5" spans="1:13" x14ac:dyDescent="0.2">
      <c r="B5" s="600"/>
      <c r="C5" s="601"/>
      <c r="D5" s="601"/>
      <c r="E5" s="601"/>
      <c r="F5" s="601"/>
      <c r="G5" s="601"/>
      <c r="H5" s="601"/>
      <c r="I5" s="601"/>
      <c r="J5" s="601"/>
      <c r="K5" s="601"/>
      <c r="L5" s="602"/>
    </row>
    <row r="6" spans="1:13" ht="13.5" thickBot="1" x14ac:dyDescent="0.25">
      <c r="B6" s="603"/>
      <c r="C6" s="604"/>
      <c r="D6" s="604"/>
      <c r="E6" s="604"/>
      <c r="F6" s="604"/>
      <c r="G6" s="604"/>
      <c r="H6" s="604"/>
      <c r="I6" s="604"/>
      <c r="J6" s="604"/>
      <c r="K6" s="604"/>
      <c r="L6" s="605"/>
    </row>
    <row r="8" spans="1:13" ht="15.75" x14ac:dyDescent="0.25">
      <c r="A8" s="228"/>
      <c r="B8" s="820" t="s">
        <v>253</v>
      </c>
      <c r="C8" s="820"/>
      <c r="D8" s="820"/>
      <c r="E8" s="820"/>
      <c r="F8" s="229"/>
      <c r="G8" s="230"/>
      <c r="H8" s="228"/>
      <c r="I8" s="228"/>
      <c r="J8" s="228"/>
      <c r="K8" s="228"/>
      <c r="L8" s="228"/>
      <c r="M8" s="228"/>
    </row>
    <row r="9" spans="1:13" ht="9" customHeight="1" x14ac:dyDescent="0.25">
      <c r="A9" s="228"/>
      <c r="B9" s="810"/>
      <c r="C9" s="811"/>
      <c r="D9" s="811"/>
      <c r="E9" s="812"/>
      <c r="F9" s="229"/>
      <c r="G9" s="230"/>
      <c r="H9" s="228"/>
      <c r="I9" s="228"/>
      <c r="J9" s="228"/>
      <c r="K9" s="228"/>
      <c r="L9" s="228"/>
      <c r="M9" s="228"/>
    </row>
    <row r="10" spans="1:13" ht="16.5" thickBot="1" x14ac:dyDescent="0.3">
      <c r="A10" s="228"/>
      <c r="B10" s="228"/>
      <c r="C10" s="228"/>
      <c r="D10" s="228"/>
      <c r="E10" s="228"/>
      <c r="F10" s="231" t="s">
        <v>101</v>
      </c>
      <c r="G10" s="228"/>
      <c r="H10" s="228"/>
      <c r="I10" s="228"/>
      <c r="J10" s="228"/>
      <c r="K10" s="228"/>
      <c r="L10" s="228"/>
      <c r="M10" s="228"/>
    </row>
    <row r="11" spans="1:13" ht="15.75" customHeight="1" thickBot="1" x14ac:dyDescent="0.25">
      <c r="A11" s="228"/>
      <c r="B11" s="813" t="s">
        <v>254</v>
      </c>
      <c r="C11" s="814" t="s">
        <v>255</v>
      </c>
      <c r="D11" s="233" t="s">
        <v>103</v>
      </c>
      <c r="E11" s="234" t="s">
        <v>103</v>
      </c>
      <c r="F11" s="228"/>
      <c r="G11" s="228"/>
      <c r="H11" s="815" t="s">
        <v>256</v>
      </c>
      <c r="I11" s="815"/>
      <c r="J11" s="815"/>
      <c r="K11" s="815"/>
      <c r="L11" s="228"/>
      <c r="M11" s="228"/>
    </row>
    <row r="12" spans="1:13" ht="16.5" thickBot="1" x14ac:dyDescent="0.3">
      <c r="A12" s="228"/>
      <c r="B12" s="813"/>
      <c r="C12" s="814"/>
      <c r="D12" s="235" t="s">
        <v>257</v>
      </c>
      <c r="E12" s="236" t="s">
        <v>258</v>
      </c>
      <c r="F12" s="237" t="s">
        <v>101</v>
      </c>
      <c r="G12" s="238"/>
      <c r="H12" s="815"/>
      <c r="I12" s="815"/>
      <c r="J12" s="815"/>
      <c r="K12" s="815"/>
      <c r="L12" s="228"/>
      <c r="M12" s="228"/>
    </row>
    <row r="13" spans="1:13" ht="15.75" x14ac:dyDescent="0.25">
      <c r="A13" s="228"/>
      <c r="B13" s="239"/>
      <c r="C13" s="240"/>
      <c r="D13" s="241"/>
      <c r="E13" s="242"/>
      <c r="F13" s="243"/>
      <c r="G13" s="243"/>
      <c r="H13" s="243"/>
      <c r="I13" s="243"/>
      <c r="J13" s="243"/>
      <c r="K13" s="228"/>
      <c r="L13" s="228"/>
      <c r="M13" s="228"/>
    </row>
    <row r="14" spans="1:13" ht="15.75" x14ac:dyDescent="0.25">
      <c r="A14" s="228"/>
      <c r="B14" s="244">
        <v>1</v>
      </c>
      <c r="C14" s="245" t="s">
        <v>259</v>
      </c>
      <c r="D14" s="246" t="s">
        <v>101</v>
      </c>
      <c r="E14" s="328">
        <f>SUM(E15:E16)</f>
        <v>4</v>
      </c>
      <c r="F14" s="243" t="s">
        <v>101</v>
      </c>
      <c r="G14" s="247" t="s">
        <v>260</v>
      </c>
      <c r="H14" s="248">
        <f>E14/100</f>
        <v>0.04</v>
      </c>
      <c r="I14" s="816" t="s">
        <v>261</v>
      </c>
      <c r="J14" s="816"/>
      <c r="K14" s="816"/>
      <c r="L14" s="816"/>
      <c r="M14" s="228"/>
    </row>
    <row r="15" spans="1:13" ht="15.75" x14ac:dyDescent="0.25">
      <c r="A15" s="228"/>
      <c r="B15" s="249" t="s">
        <v>9</v>
      </c>
      <c r="C15" s="250" t="s">
        <v>262</v>
      </c>
      <c r="D15" s="246"/>
      <c r="E15" s="329">
        <v>1.8</v>
      </c>
      <c r="F15" s="243"/>
      <c r="G15" s="252"/>
      <c r="H15" s="253"/>
      <c r="I15" s="324"/>
      <c r="J15" s="324"/>
      <c r="K15" s="324"/>
      <c r="L15" s="324"/>
      <c r="M15" s="228"/>
    </row>
    <row r="16" spans="1:13" ht="15.75" x14ac:dyDescent="0.25">
      <c r="A16" s="228"/>
      <c r="B16" s="249" t="s">
        <v>12</v>
      </c>
      <c r="C16" s="250" t="s">
        <v>263</v>
      </c>
      <c r="D16" s="246"/>
      <c r="E16" s="329">
        <v>2.2000000000000002</v>
      </c>
      <c r="F16" s="243"/>
      <c r="G16" s="252"/>
      <c r="H16" s="253"/>
      <c r="I16" s="324"/>
      <c r="J16" s="324"/>
      <c r="K16" s="324"/>
      <c r="L16" s="324"/>
      <c r="M16" s="228"/>
    </row>
    <row r="17" spans="1:13" ht="15.75" x14ac:dyDescent="0.25">
      <c r="A17" s="228"/>
      <c r="B17" s="249"/>
      <c r="C17" s="254" t="s">
        <v>101</v>
      </c>
      <c r="D17" s="255" t="s">
        <v>101</v>
      </c>
      <c r="E17" s="329" t="s">
        <v>101</v>
      </c>
      <c r="F17" s="821" t="s">
        <v>101</v>
      </c>
      <c r="G17" s="821"/>
      <c r="H17" s="821"/>
      <c r="I17" s="821"/>
      <c r="J17" s="821"/>
      <c r="K17" s="228"/>
      <c r="L17" s="228"/>
      <c r="M17" s="228"/>
    </row>
    <row r="18" spans="1:13" ht="15.75" x14ac:dyDescent="0.25">
      <c r="A18" s="228"/>
      <c r="B18" s="244">
        <v>2</v>
      </c>
      <c r="C18" s="245" t="s">
        <v>264</v>
      </c>
      <c r="D18" s="331">
        <f>SUM(D19:D22)</f>
        <v>8.65</v>
      </c>
      <c r="E18" s="330"/>
      <c r="F18" s="243"/>
      <c r="G18" s="247" t="s">
        <v>265</v>
      </c>
      <c r="H18" s="248">
        <f>D18/100</f>
        <v>8.6499999999999994E-2</v>
      </c>
      <c r="I18" s="816" t="s">
        <v>266</v>
      </c>
      <c r="J18" s="816"/>
      <c r="K18" s="816"/>
      <c r="L18" s="816"/>
      <c r="M18" s="257"/>
    </row>
    <row r="19" spans="1:13" ht="15.75" x14ac:dyDescent="0.25">
      <c r="A19" s="228"/>
      <c r="B19" s="249" t="s">
        <v>14</v>
      </c>
      <c r="C19" s="258" t="s">
        <v>267</v>
      </c>
      <c r="D19" s="332">
        <v>3</v>
      </c>
      <c r="E19" s="329"/>
      <c r="F19" s="821" t="s">
        <v>101</v>
      </c>
      <c r="G19" s="821"/>
      <c r="H19" s="821"/>
      <c r="I19" s="821"/>
      <c r="J19" s="821"/>
      <c r="K19" s="228"/>
      <c r="L19" s="228"/>
      <c r="M19" s="228"/>
    </row>
    <row r="20" spans="1:13" ht="15.75" x14ac:dyDescent="0.25">
      <c r="A20" s="228"/>
      <c r="B20" s="249" t="s">
        <v>15</v>
      </c>
      <c r="C20" s="254" t="s">
        <v>268</v>
      </c>
      <c r="D20" s="332">
        <v>0.65</v>
      </c>
      <c r="E20" s="329"/>
      <c r="F20" s="237" t="s">
        <v>101</v>
      </c>
      <c r="G20" s="247" t="s">
        <v>269</v>
      </c>
      <c r="H20" s="248">
        <f>E24/100</f>
        <v>1.2800000000000001E-2</v>
      </c>
      <c r="I20" s="816" t="s">
        <v>270</v>
      </c>
      <c r="J20" s="816"/>
      <c r="K20" s="816"/>
      <c r="L20" s="816"/>
      <c r="M20" s="228"/>
    </row>
    <row r="21" spans="1:13" ht="15.75" x14ac:dyDescent="0.25">
      <c r="A21" s="228"/>
      <c r="B21" s="249" t="s">
        <v>16</v>
      </c>
      <c r="C21" s="254" t="s">
        <v>271</v>
      </c>
      <c r="D21" s="333">
        <v>3</v>
      </c>
      <c r="E21" s="329"/>
      <c r="F21" s="243"/>
      <c r="M21" s="243"/>
    </row>
    <row r="22" spans="1:13" ht="15.75" x14ac:dyDescent="0.25">
      <c r="A22" s="228"/>
      <c r="B22" s="267" t="s">
        <v>17</v>
      </c>
      <c r="C22" s="254" t="s">
        <v>285</v>
      </c>
      <c r="D22" s="332">
        <v>2</v>
      </c>
      <c r="E22" s="329"/>
      <c r="F22" s="243"/>
      <c r="G22" s="247" t="s">
        <v>272</v>
      </c>
      <c r="H22" s="248">
        <f>E29/100</f>
        <v>9.4000000000000004E-3</v>
      </c>
      <c r="I22" s="816" t="s">
        <v>273</v>
      </c>
      <c r="J22" s="816"/>
      <c r="K22" s="816"/>
      <c r="L22" s="816"/>
      <c r="M22" s="228"/>
    </row>
    <row r="23" spans="1:13" ht="15.75" x14ac:dyDescent="0.25">
      <c r="A23" s="228"/>
      <c r="B23" s="267"/>
      <c r="C23" s="254"/>
      <c r="D23" s="332"/>
      <c r="E23" s="329"/>
      <c r="F23" s="243"/>
      <c r="G23" s="252"/>
      <c r="H23" s="253"/>
      <c r="I23" s="324"/>
      <c r="J23" s="324"/>
      <c r="K23" s="324"/>
      <c r="L23" s="324"/>
      <c r="M23" s="228"/>
    </row>
    <row r="24" spans="1:13" ht="15.75" x14ac:dyDescent="0.25">
      <c r="A24" s="228"/>
      <c r="B24" s="244">
        <v>3</v>
      </c>
      <c r="C24" s="245" t="s">
        <v>274</v>
      </c>
      <c r="D24" s="332" t="s">
        <v>101</v>
      </c>
      <c r="E24" s="330">
        <f>SUM(E25:E27)</f>
        <v>1.28</v>
      </c>
      <c r="F24" s="243"/>
      <c r="M24" s="228"/>
    </row>
    <row r="25" spans="1:13" ht="15.75" x14ac:dyDescent="0.25">
      <c r="A25" s="228"/>
      <c r="B25" s="249" t="s">
        <v>25</v>
      </c>
      <c r="C25" s="258" t="s">
        <v>275</v>
      </c>
      <c r="D25" s="332"/>
      <c r="E25" s="329">
        <v>0.1</v>
      </c>
      <c r="F25" s="243"/>
      <c r="M25" s="228"/>
    </row>
    <row r="26" spans="1:13" ht="15.75" x14ac:dyDescent="0.25">
      <c r="A26" s="228"/>
      <c r="B26" s="249" t="s">
        <v>26</v>
      </c>
      <c r="C26" s="258" t="s">
        <v>276</v>
      </c>
      <c r="D26" s="332"/>
      <c r="E26" s="329">
        <v>1</v>
      </c>
      <c r="F26" s="243"/>
      <c r="M26" s="228"/>
    </row>
    <row r="27" spans="1:13" ht="15.75" x14ac:dyDescent="0.25">
      <c r="A27" s="228"/>
      <c r="B27" s="249" t="s">
        <v>27</v>
      </c>
      <c r="C27" s="258" t="s">
        <v>277</v>
      </c>
      <c r="D27" s="332"/>
      <c r="E27" s="329">
        <v>0.18</v>
      </c>
      <c r="F27" s="243"/>
      <c r="M27" s="228"/>
    </row>
    <row r="28" spans="1:13" ht="15.75" x14ac:dyDescent="0.25">
      <c r="A28" s="228"/>
      <c r="B28" s="259"/>
      <c r="C28" s="254"/>
      <c r="D28" s="332"/>
      <c r="E28" s="329"/>
      <c r="F28" s="243"/>
      <c r="G28" s="325" t="s">
        <v>278</v>
      </c>
      <c r="H28" s="326">
        <f>D31/100</f>
        <v>7.4499999999999997E-2</v>
      </c>
      <c r="I28" s="816" t="s">
        <v>279</v>
      </c>
      <c r="J28" s="816"/>
      <c r="K28" s="816"/>
      <c r="L28" s="816"/>
      <c r="M28" s="228"/>
    </row>
    <row r="29" spans="1:13" ht="15.75" x14ac:dyDescent="0.25">
      <c r="A29" s="228"/>
      <c r="B29" s="244">
        <v>4</v>
      </c>
      <c r="C29" s="245" t="s">
        <v>280</v>
      </c>
      <c r="D29" s="332" t="s">
        <v>101</v>
      </c>
      <c r="E29" s="330">
        <v>0.94</v>
      </c>
      <c r="F29" s="243"/>
      <c r="G29" s="327"/>
      <c r="H29" s="327"/>
      <c r="I29" s="327"/>
      <c r="J29" s="327"/>
      <c r="K29" s="327"/>
      <c r="L29" s="327"/>
      <c r="M29" s="228"/>
    </row>
    <row r="30" spans="1:13" ht="15.75" x14ac:dyDescent="0.25">
      <c r="A30" s="228"/>
      <c r="B30" s="259"/>
      <c r="C30" s="254"/>
      <c r="D30" s="332"/>
      <c r="E30" s="251"/>
      <c r="F30" s="243"/>
      <c r="G30" s="817" t="s">
        <v>551</v>
      </c>
      <c r="H30" s="817"/>
      <c r="I30" s="817"/>
      <c r="J30" s="817"/>
      <c r="K30" s="817"/>
      <c r="L30" s="817"/>
      <c r="M30" s="228"/>
    </row>
    <row r="31" spans="1:13" ht="15.75" x14ac:dyDescent="0.25">
      <c r="A31" s="228"/>
      <c r="B31" s="244">
        <v>5</v>
      </c>
      <c r="C31" s="245" t="s">
        <v>281</v>
      </c>
      <c r="D31" s="334">
        <v>7.45</v>
      </c>
      <c r="E31" s="256"/>
      <c r="F31" s="243"/>
      <c r="G31" s="819" t="s">
        <v>552</v>
      </c>
      <c r="H31" s="819"/>
      <c r="I31" s="819"/>
      <c r="J31" s="819"/>
      <c r="K31" s="819"/>
      <c r="L31" s="819"/>
      <c r="M31" s="228"/>
    </row>
    <row r="32" spans="1:13" ht="15.75" thickBot="1" x14ac:dyDescent="0.25">
      <c r="A32" s="228"/>
      <c r="B32" s="259"/>
      <c r="C32" s="254"/>
      <c r="D32" s="332"/>
      <c r="E32" s="251"/>
      <c r="F32" s="228"/>
      <c r="M32" s="228"/>
    </row>
    <row r="33" spans="1:14" ht="16.5" thickBot="1" x14ac:dyDescent="0.3">
      <c r="A33" s="228"/>
      <c r="B33" s="818" t="s">
        <v>282</v>
      </c>
      <c r="C33" s="818"/>
      <c r="D33" s="818"/>
      <c r="E33" s="615">
        <f>(((1+H$14+H$20)*(1+H$22)*(1+H$28)/(1-H$18))-1)*100</f>
        <v>25</v>
      </c>
      <c r="F33" s="232" t="s">
        <v>101</v>
      </c>
      <c r="M33" s="228"/>
    </row>
    <row r="34" spans="1:14" ht="15" x14ac:dyDescent="0.2">
      <c r="A34" s="228"/>
      <c r="B34" s="228"/>
      <c r="C34" s="260"/>
      <c r="D34" s="228"/>
      <c r="F34" s="228"/>
      <c r="G34" s="228"/>
      <c r="H34" s="228"/>
      <c r="I34" s="228"/>
      <c r="J34" s="228"/>
      <c r="K34" s="228"/>
      <c r="L34" s="228"/>
      <c r="M34" s="228"/>
      <c r="N34" s="261"/>
    </row>
    <row r="35" spans="1:14" ht="15.75" x14ac:dyDescent="0.25">
      <c r="A35" s="228"/>
      <c r="B35" s="262" t="s">
        <v>102</v>
      </c>
      <c r="C35" s="263">
        <f>E33</f>
        <v>25</v>
      </c>
      <c r="D35" s="264" t="s">
        <v>283</v>
      </c>
      <c r="E35" s="228"/>
      <c r="F35" s="228"/>
      <c r="G35" s="228"/>
      <c r="H35" s="228"/>
      <c r="I35" s="228"/>
      <c r="J35" s="228"/>
      <c r="K35" s="228"/>
      <c r="L35" s="228"/>
      <c r="M35" s="228"/>
    </row>
    <row r="36" spans="1:14" ht="15.75" x14ac:dyDescent="0.25">
      <c r="A36" s="228"/>
      <c r="B36" s="262" t="s">
        <v>102</v>
      </c>
      <c r="C36" s="265">
        <f>ROUNDDOWN(C35,0)</f>
        <v>25</v>
      </c>
      <c r="D36" s="264" t="s">
        <v>284</v>
      </c>
      <c r="E36" s="228"/>
      <c r="F36" s="230"/>
      <c r="G36" s="230"/>
      <c r="H36" s="230"/>
      <c r="I36" s="230"/>
      <c r="J36" s="230"/>
      <c r="K36" s="230"/>
      <c r="L36" s="230"/>
      <c r="M36" s="230"/>
    </row>
    <row r="37" spans="1:14" ht="15" x14ac:dyDescent="0.2">
      <c r="A37" s="228"/>
      <c r="B37" s="809" t="s">
        <v>101</v>
      </c>
      <c r="C37" s="809"/>
      <c r="D37" s="228"/>
      <c r="E37" s="228"/>
      <c r="F37" s="230"/>
      <c r="G37" s="230"/>
      <c r="H37" s="230"/>
      <c r="I37" s="230"/>
      <c r="J37" s="230"/>
      <c r="K37" s="230"/>
      <c r="L37" s="230"/>
      <c r="M37" s="230"/>
    </row>
    <row r="38" spans="1:14" ht="15.75" customHeight="1" x14ac:dyDescent="0.25">
      <c r="A38" s="228"/>
      <c r="B38" s="268"/>
      <c r="C38" s="268"/>
      <c r="D38" s="268"/>
      <c r="E38" s="268"/>
      <c r="F38" s="268"/>
      <c r="G38" s="268"/>
      <c r="H38" s="268"/>
      <c r="I38" s="268"/>
      <c r="J38" s="268"/>
      <c r="K38" s="268"/>
      <c r="L38" s="266"/>
      <c r="M38" s="266"/>
    </row>
    <row r="39" spans="1:14" ht="15" customHeight="1" x14ac:dyDescent="0.2">
      <c r="A39" s="228"/>
      <c r="B39" s="268"/>
      <c r="C39" s="268"/>
      <c r="D39" s="268"/>
      <c r="E39" s="268"/>
      <c r="F39" s="268"/>
      <c r="G39" s="268"/>
      <c r="H39" s="268"/>
      <c r="I39" s="268"/>
      <c r="J39" s="268"/>
      <c r="K39" s="268"/>
      <c r="L39" s="230"/>
      <c r="M39" s="230"/>
    </row>
    <row r="40" spans="1:14" ht="15" x14ac:dyDescent="0.2">
      <c r="A40" s="228"/>
      <c r="B40" s="228"/>
      <c r="C40" s="228"/>
      <c r="D40" s="228"/>
      <c r="E40" s="228"/>
      <c r="F40" s="230"/>
      <c r="G40" s="230"/>
      <c r="H40" s="230"/>
      <c r="I40" s="230"/>
      <c r="J40" s="230"/>
      <c r="K40" s="230"/>
      <c r="L40" s="230"/>
      <c r="M40" s="230"/>
    </row>
  </sheetData>
  <mergeCells count="16">
    <mergeCell ref="B8:E8"/>
    <mergeCell ref="I14:L14"/>
    <mergeCell ref="F17:J17"/>
    <mergeCell ref="I18:L18"/>
    <mergeCell ref="F19:J19"/>
    <mergeCell ref="B37:C37"/>
    <mergeCell ref="B9:E9"/>
    <mergeCell ref="B11:B12"/>
    <mergeCell ref="C11:C12"/>
    <mergeCell ref="H11:K12"/>
    <mergeCell ref="I20:L20"/>
    <mergeCell ref="I22:L22"/>
    <mergeCell ref="I28:L28"/>
    <mergeCell ref="G30:L30"/>
    <mergeCell ref="B33:D33"/>
    <mergeCell ref="G31:L31"/>
  </mergeCells>
  <pageMargins left="0.51181102362204722" right="0.51181102362204722" top="0.78740157480314965" bottom="0.78740157480314965" header="0.31496062992125984" footer="0.31496062992125984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B1:E46"/>
  <sheetViews>
    <sheetView view="pageBreakPreview" topLeftCell="A4" zoomScaleNormal="100" zoomScaleSheetLayoutView="100" workbookViewId="0">
      <selection activeCell="D33" sqref="D33"/>
    </sheetView>
  </sheetViews>
  <sheetFormatPr defaultColWidth="12.7109375" defaultRowHeight="15" x14ac:dyDescent="0.25"/>
  <cols>
    <col min="1" max="1" width="1.7109375" style="419" customWidth="1"/>
    <col min="2" max="2" width="8.28515625" style="419" customWidth="1"/>
    <col min="3" max="3" width="59.7109375" style="419" customWidth="1"/>
    <col min="4" max="4" width="21.7109375" style="419" customWidth="1"/>
    <col min="5" max="5" width="5.5703125" style="419" bestFit="1" customWidth="1"/>
    <col min="6" max="16384" width="12.7109375" style="419"/>
  </cols>
  <sheetData>
    <row r="1" spans="2:5" ht="7.5" customHeight="1" thickBot="1" x14ac:dyDescent="0.3"/>
    <row r="2" spans="2:5" s="420" customFormat="1" ht="22.5" customHeight="1" thickBot="1" x14ac:dyDescent="0.25">
      <c r="B2" s="822" t="s">
        <v>496</v>
      </c>
      <c r="C2" s="823"/>
      <c r="D2" s="824"/>
    </row>
    <row r="3" spans="2:5" ht="32.25" customHeight="1" thickBot="1" x14ac:dyDescent="0.3">
      <c r="B3" s="825" t="s">
        <v>358</v>
      </c>
      <c r="C3" s="826"/>
      <c r="D3" s="827"/>
    </row>
    <row r="4" spans="2:5" ht="15.75" thickBot="1" x14ac:dyDescent="0.3">
      <c r="B4" s="828" t="s">
        <v>359</v>
      </c>
      <c r="C4" s="829"/>
      <c r="D4" s="830"/>
    </row>
    <row r="5" spans="2:5" x14ac:dyDescent="0.25">
      <c r="B5" s="421" t="s">
        <v>360</v>
      </c>
      <c r="C5" s="422" t="s">
        <v>361</v>
      </c>
      <c r="D5" s="423"/>
    </row>
    <row r="6" spans="2:5" x14ac:dyDescent="0.25">
      <c r="B6" s="421" t="s">
        <v>362</v>
      </c>
      <c r="C6" s="424" t="s">
        <v>363</v>
      </c>
      <c r="D6" s="595">
        <v>118286</v>
      </c>
      <c r="E6" s="425"/>
    </row>
    <row r="7" spans="2:5" x14ac:dyDescent="0.25">
      <c r="B7" s="421" t="s">
        <v>364</v>
      </c>
      <c r="C7" s="424" t="s">
        <v>365</v>
      </c>
      <c r="D7" s="423">
        <v>36</v>
      </c>
    </row>
    <row r="8" spans="2:5" x14ac:dyDescent="0.25">
      <c r="B8" s="421" t="s">
        <v>366</v>
      </c>
      <c r="C8" s="424" t="s">
        <v>367</v>
      </c>
      <c r="D8" s="426">
        <v>0.4</v>
      </c>
    </row>
    <row r="9" spans="2:5" x14ac:dyDescent="0.25">
      <c r="B9" s="421" t="s">
        <v>368</v>
      </c>
      <c r="C9" s="424" t="s">
        <v>369</v>
      </c>
      <c r="D9" s="423">
        <f>(D6-(D8*D6))/D7</f>
        <v>1971.43</v>
      </c>
    </row>
    <row r="10" spans="2:5" x14ac:dyDescent="0.25">
      <c r="B10" s="421" t="s">
        <v>370</v>
      </c>
      <c r="C10" s="422" t="s">
        <v>371</v>
      </c>
      <c r="D10" s="423"/>
    </row>
    <row r="11" spans="2:5" x14ac:dyDescent="0.25">
      <c r="B11" s="421" t="s">
        <v>372</v>
      </c>
      <c r="C11" s="424" t="s">
        <v>373</v>
      </c>
      <c r="D11" s="426">
        <v>0.05</v>
      </c>
    </row>
    <row r="12" spans="2:5" x14ac:dyDescent="0.25">
      <c r="B12" s="421" t="s">
        <v>374</v>
      </c>
      <c r="C12" s="427" t="s">
        <v>375</v>
      </c>
      <c r="D12" s="423">
        <f>D11*D9</f>
        <v>98.57</v>
      </c>
    </row>
    <row r="13" spans="2:5" x14ac:dyDescent="0.25">
      <c r="B13" s="421" t="s">
        <v>376</v>
      </c>
      <c r="C13" s="422" t="s">
        <v>377</v>
      </c>
      <c r="D13" s="423"/>
    </row>
    <row r="14" spans="2:5" x14ac:dyDescent="0.25">
      <c r="B14" s="421" t="s">
        <v>378</v>
      </c>
      <c r="C14" s="424" t="s">
        <v>379</v>
      </c>
      <c r="D14" s="426">
        <v>1</v>
      </c>
    </row>
    <row r="15" spans="2:5" x14ac:dyDescent="0.25">
      <c r="B15" s="421" t="s">
        <v>380</v>
      </c>
      <c r="C15" s="424" t="s">
        <v>381</v>
      </c>
      <c r="D15" s="423">
        <f>D14*D9</f>
        <v>1971.43</v>
      </c>
    </row>
    <row r="16" spans="2:5" x14ac:dyDescent="0.25">
      <c r="B16" s="421" t="s">
        <v>382</v>
      </c>
      <c r="C16" s="422" t="s">
        <v>383</v>
      </c>
      <c r="D16" s="423"/>
    </row>
    <row r="17" spans="2:4" x14ac:dyDescent="0.25">
      <c r="B17" s="421" t="s">
        <v>384</v>
      </c>
      <c r="C17" s="424" t="s">
        <v>385</v>
      </c>
      <c r="D17" s="423">
        <v>3000</v>
      </c>
    </row>
    <row r="18" spans="2:4" x14ac:dyDescent="0.25">
      <c r="B18" s="421" t="s">
        <v>386</v>
      </c>
      <c r="C18" s="424" t="s">
        <v>387</v>
      </c>
      <c r="D18" s="423">
        <f>INSUMOS!E28</f>
        <v>2.77</v>
      </c>
    </row>
    <row r="19" spans="2:4" x14ac:dyDescent="0.25">
      <c r="B19" s="421" t="s">
        <v>388</v>
      </c>
      <c r="C19" s="424" t="s">
        <v>389</v>
      </c>
      <c r="D19" s="423">
        <v>10</v>
      </c>
    </row>
    <row r="20" spans="2:4" x14ac:dyDescent="0.25">
      <c r="B20" s="421" t="s">
        <v>390</v>
      </c>
      <c r="C20" s="424" t="s">
        <v>391</v>
      </c>
      <c r="D20" s="423">
        <f>(D17/D19)*D18</f>
        <v>831</v>
      </c>
    </row>
    <row r="21" spans="2:4" x14ac:dyDescent="0.25">
      <c r="B21" s="421" t="s">
        <v>392</v>
      </c>
      <c r="C21" s="422" t="s">
        <v>393</v>
      </c>
      <c r="D21" s="423"/>
    </row>
    <row r="22" spans="2:4" x14ac:dyDescent="0.25">
      <c r="B22" s="421" t="s">
        <v>394</v>
      </c>
      <c r="C22" s="424" t="s">
        <v>395</v>
      </c>
      <c r="D22" s="423">
        <f>D17*8</f>
        <v>24000</v>
      </c>
    </row>
    <row r="23" spans="2:4" x14ac:dyDescent="0.25">
      <c r="B23" s="421" t="s">
        <v>396</v>
      </c>
      <c r="C23" s="424" t="s">
        <v>397</v>
      </c>
      <c r="D23" s="423">
        <v>5000</v>
      </c>
    </row>
    <row r="24" spans="2:4" x14ac:dyDescent="0.25">
      <c r="B24" s="421" t="s">
        <v>398</v>
      </c>
      <c r="C24" s="424" t="s">
        <v>399</v>
      </c>
      <c r="D24" s="423">
        <f>INSUMOS!E29</f>
        <v>13</v>
      </c>
    </row>
    <row r="25" spans="2:4" x14ac:dyDescent="0.25">
      <c r="B25" s="421" t="s">
        <v>400</v>
      </c>
      <c r="C25" s="424" t="s">
        <v>401</v>
      </c>
      <c r="D25" s="423">
        <v>3.5</v>
      </c>
    </row>
    <row r="26" spans="2:4" x14ac:dyDescent="0.25">
      <c r="B26" s="421" t="s">
        <v>402</v>
      </c>
      <c r="C26" s="424" t="s">
        <v>403</v>
      </c>
      <c r="D26" s="423">
        <v>240</v>
      </c>
    </row>
    <row r="27" spans="2:4" x14ac:dyDescent="0.25">
      <c r="B27" s="421" t="s">
        <v>404</v>
      </c>
      <c r="C27" s="424" t="s">
        <v>405</v>
      </c>
      <c r="D27" s="428">
        <f>(D22*D24*D25*30)/(D23*D26)</f>
        <v>27.3</v>
      </c>
    </row>
    <row r="28" spans="2:4" x14ac:dyDescent="0.25">
      <c r="B28" s="421" t="s">
        <v>406</v>
      </c>
      <c r="C28" s="422" t="s">
        <v>407</v>
      </c>
      <c r="D28" s="429"/>
    </row>
    <row r="29" spans="2:4" x14ac:dyDescent="0.25">
      <c r="B29" s="421" t="s">
        <v>408</v>
      </c>
      <c r="C29" s="424" t="s">
        <v>395</v>
      </c>
      <c r="D29" s="423">
        <f>D17*8</f>
        <v>24000</v>
      </c>
    </row>
    <row r="30" spans="2:4" x14ac:dyDescent="0.25">
      <c r="B30" s="421" t="s">
        <v>409</v>
      </c>
      <c r="C30" s="424" t="s">
        <v>410</v>
      </c>
      <c r="D30" s="423">
        <v>45000</v>
      </c>
    </row>
    <row r="31" spans="2:4" x14ac:dyDescent="0.25">
      <c r="B31" s="421" t="s">
        <v>411</v>
      </c>
      <c r="C31" s="424" t="s">
        <v>412</v>
      </c>
      <c r="D31" s="423">
        <v>5</v>
      </c>
    </row>
    <row r="32" spans="2:4" x14ac:dyDescent="0.25">
      <c r="B32" s="421" t="s">
        <v>413</v>
      </c>
      <c r="C32" s="424" t="s">
        <v>414</v>
      </c>
      <c r="D32" s="595">
        <v>777.56</v>
      </c>
    </row>
    <row r="33" spans="2:4" x14ac:dyDescent="0.25">
      <c r="B33" s="421" t="s">
        <v>415</v>
      </c>
      <c r="C33" s="424" t="s">
        <v>416</v>
      </c>
      <c r="D33" s="423">
        <v>240</v>
      </c>
    </row>
    <row r="34" spans="2:4" x14ac:dyDescent="0.25">
      <c r="B34" s="421" t="s">
        <v>417</v>
      </c>
      <c r="C34" s="424" t="s">
        <v>418</v>
      </c>
      <c r="D34" s="423">
        <f>(D29*D31*D32*30)/(D30*D33)</f>
        <v>259.19</v>
      </c>
    </row>
    <row r="35" spans="2:4" x14ac:dyDescent="0.25">
      <c r="B35" s="421" t="s">
        <v>419</v>
      </c>
      <c r="C35" s="422" t="s">
        <v>62</v>
      </c>
      <c r="D35" s="423"/>
    </row>
    <row r="36" spans="2:4" x14ac:dyDescent="0.25">
      <c r="B36" s="421" t="s">
        <v>420</v>
      </c>
      <c r="C36" s="424" t="s">
        <v>421</v>
      </c>
      <c r="D36" s="423">
        <v>2409.5700000000002</v>
      </c>
    </row>
    <row r="37" spans="2:4" x14ac:dyDescent="0.25">
      <c r="B37" s="421" t="s">
        <v>422</v>
      </c>
      <c r="C37" s="422" t="s">
        <v>423</v>
      </c>
      <c r="D37" s="428" t="s">
        <v>101</v>
      </c>
    </row>
    <row r="38" spans="2:4" x14ac:dyDescent="0.25">
      <c r="B38" s="421"/>
      <c r="C38" s="427" t="s">
        <v>424</v>
      </c>
      <c r="D38" s="596">
        <f>D9+D12+D15+D20+D27+D34</f>
        <v>5158.92</v>
      </c>
    </row>
    <row r="39" spans="2:4" x14ac:dyDescent="0.25">
      <c r="B39" s="421"/>
      <c r="C39" s="427" t="s">
        <v>425</v>
      </c>
      <c r="D39" s="428">
        <f>D9+D12+D15+D20+D27+D34+D36</f>
        <v>7568.49</v>
      </c>
    </row>
    <row r="40" spans="2:4" x14ac:dyDescent="0.25">
      <c r="B40" s="421" t="s">
        <v>426</v>
      </c>
      <c r="C40" s="422" t="s">
        <v>427</v>
      </c>
      <c r="D40" s="428"/>
    </row>
    <row r="41" spans="2:4" x14ac:dyDescent="0.25">
      <c r="B41" s="421"/>
      <c r="C41" s="427" t="s">
        <v>424</v>
      </c>
      <c r="D41" s="428">
        <f>D38/D17</f>
        <v>1.72</v>
      </c>
    </row>
    <row r="42" spans="2:4" x14ac:dyDescent="0.25">
      <c r="B42" s="421"/>
      <c r="C42" s="427" t="s">
        <v>425</v>
      </c>
      <c r="D42" s="428">
        <f>D39/D17</f>
        <v>2.52</v>
      </c>
    </row>
    <row r="43" spans="2:4" x14ac:dyDescent="0.25">
      <c r="B43" s="430" t="s">
        <v>428</v>
      </c>
      <c r="C43" s="431" t="s">
        <v>429</v>
      </c>
      <c r="D43" s="432" t="s">
        <v>101</v>
      </c>
    </row>
    <row r="44" spans="2:4" x14ac:dyDescent="0.25">
      <c r="B44" s="430" t="s">
        <v>430</v>
      </c>
      <c r="C44" s="433" t="s">
        <v>424</v>
      </c>
      <c r="D44" s="432">
        <f>D38*(1+BDI!C36%)</f>
        <v>6448.65</v>
      </c>
    </row>
    <row r="45" spans="2:4" x14ac:dyDescent="0.25">
      <c r="B45" s="430" t="s">
        <v>431</v>
      </c>
      <c r="C45" s="433" t="s">
        <v>425</v>
      </c>
      <c r="D45" s="432">
        <f>D39*(1+BDI!C36%)</f>
        <v>9460.61</v>
      </c>
    </row>
    <row r="46" spans="2:4" ht="15.75" thickBot="1" x14ac:dyDescent="0.3">
      <c r="B46" s="434"/>
      <c r="C46" s="435"/>
      <c r="D46" s="436"/>
    </row>
  </sheetData>
  <mergeCells count="3">
    <mergeCell ref="B2:D2"/>
    <mergeCell ref="B3:D3"/>
    <mergeCell ref="B4:D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B1:E56"/>
  <sheetViews>
    <sheetView view="pageBreakPreview" zoomScaleNormal="100" zoomScaleSheetLayoutView="100" workbookViewId="0">
      <selection activeCell="C59" sqref="C59"/>
    </sheetView>
  </sheetViews>
  <sheetFormatPr defaultColWidth="12.7109375" defaultRowHeight="15" x14ac:dyDescent="0.25"/>
  <cols>
    <col min="1" max="1" width="1.7109375" style="419" customWidth="1"/>
    <col min="2" max="2" width="8.28515625" style="419" customWidth="1"/>
    <col min="3" max="3" width="59.7109375" style="419" customWidth="1"/>
    <col min="4" max="4" width="21.7109375" style="419" customWidth="1"/>
    <col min="5" max="5" width="2.85546875" style="419" customWidth="1"/>
    <col min="6" max="16384" width="12.7109375" style="419"/>
  </cols>
  <sheetData>
    <row r="1" spans="2:5" ht="7.5" customHeight="1" thickBot="1" x14ac:dyDescent="0.3"/>
    <row r="2" spans="2:5" s="420" customFormat="1" ht="22.5" customHeight="1" thickBot="1" x14ac:dyDescent="0.25">
      <c r="B2" s="822" t="s">
        <v>357</v>
      </c>
      <c r="C2" s="823"/>
      <c r="D2" s="824"/>
    </row>
    <row r="3" spans="2:5" ht="32.25" customHeight="1" thickBot="1" x14ac:dyDescent="0.3">
      <c r="B3" s="825" t="s">
        <v>358</v>
      </c>
      <c r="C3" s="826"/>
      <c r="D3" s="827"/>
    </row>
    <row r="4" spans="2:5" ht="15.75" thickBot="1" x14ac:dyDescent="0.3">
      <c r="B4" s="828" t="s">
        <v>432</v>
      </c>
      <c r="C4" s="829"/>
      <c r="D4" s="830"/>
    </row>
    <row r="5" spans="2:5" x14ac:dyDescent="0.25">
      <c r="B5" s="421"/>
      <c r="C5" s="437"/>
      <c r="D5" s="423"/>
    </row>
    <row r="6" spans="2:5" x14ac:dyDescent="0.25">
      <c r="B6" s="421" t="s">
        <v>360</v>
      </c>
      <c r="C6" s="422" t="s">
        <v>361</v>
      </c>
      <c r="D6" s="423"/>
      <c r="E6" s="425"/>
    </row>
    <row r="7" spans="2:5" x14ac:dyDescent="0.25">
      <c r="B7" s="421" t="s">
        <v>362</v>
      </c>
      <c r="C7" s="424" t="s">
        <v>363</v>
      </c>
      <c r="D7" s="595">
        <v>38048</v>
      </c>
    </row>
    <row r="8" spans="2:5" x14ac:dyDescent="0.25">
      <c r="B8" s="421" t="s">
        <v>364</v>
      </c>
      <c r="C8" s="424" t="s">
        <v>365</v>
      </c>
      <c r="D8" s="423">
        <v>36</v>
      </c>
    </row>
    <row r="9" spans="2:5" x14ac:dyDescent="0.25">
      <c r="B9" s="421" t="s">
        <v>366</v>
      </c>
      <c r="C9" s="424" t="s">
        <v>367</v>
      </c>
      <c r="D9" s="426">
        <v>0.4</v>
      </c>
    </row>
    <row r="10" spans="2:5" x14ac:dyDescent="0.25">
      <c r="B10" s="421" t="s">
        <v>368</v>
      </c>
      <c r="C10" s="424" t="s">
        <v>369</v>
      </c>
      <c r="D10" s="423">
        <f>(D7-(D9*D7))/D8</f>
        <v>634.13</v>
      </c>
    </row>
    <row r="11" spans="2:5" x14ac:dyDescent="0.25">
      <c r="B11" s="421"/>
      <c r="C11" s="424"/>
      <c r="D11" s="423"/>
    </row>
    <row r="12" spans="2:5" x14ac:dyDescent="0.25">
      <c r="B12" s="421" t="s">
        <v>370</v>
      </c>
      <c r="C12" s="422" t="s">
        <v>371</v>
      </c>
      <c r="D12" s="423"/>
    </row>
    <row r="13" spans="2:5" x14ac:dyDescent="0.25">
      <c r="B13" s="421" t="s">
        <v>372</v>
      </c>
      <c r="C13" s="424" t="s">
        <v>373</v>
      </c>
      <c r="D13" s="426">
        <v>0.05</v>
      </c>
    </row>
    <row r="14" spans="2:5" x14ac:dyDescent="0.25">
      <c r="B14" s="421" t="s">
        <v>374</v>
      </c>
      <c r="C14" s="427" t="s">
        <v>375</v>
      </c>
      <c r="D14" s="423">
        <f>D13*D10</f>
        <v>31.71</v>
      </c>
    </row>
    <row r="15" spans="2:5" x14ac:dyDescent="0.25">
      <c r="B15" s="421"/>
      <c r="C15" s="422"/>
      <c r="D15" s="423"/>
    </row>
    <row r="16" spans="2:5" x14ac:dyDescent="0.25">
      <c r="B16" s="421" t="s">
        <v>376</v>
      </c>
      <c r="C16" s="422" t="s">
        <v>377</v>
      </c>
      <c r="D16" s="423"/>
    </row>
    <row r="17" spans="2:4" x14ac:dyDescent="0.25">
      <c r="B17" s="421" t="s">
        <v>378</v>
      </c>
      <c r="C17" s="424" t="s">
        <v>379</v>
      </c>
      <c r="D17" s="426">
        <v>1</v>
      </c>
    </row>
    <row r="18" spans="2:4" x14ac:dyDescent="0.25">
      <c r="B18" s="421" t="s">
        <v>380</v>
      </c>
      <c r="C18" s="424" t="s">
        <v>381</v>
      </c>
      <c r="D18" s="423">
        <f>D17*D10</f>
        <v>634.13</v>
      </c>
    </row>
    <row r="19" spans="2:4" x14ac:dyDescent="0.25">
      <c r="B19" s="421" t="s">
        <v>101</v>
      </c>
      <c r="C19" s="424" t="s">
        <v>101</v>
      </c>
      <c r="D19" s="595" t="s">
        <v>101</v>
      </c>
    </row>
    <row r="20" spans="2:4" x14ac:dyDescent="0.25">
      <c r="B20" s="421" t="s">
        <v>382</v>
      </c>
      <c r="C20" s="422" t="s">
        <v>383</v>
      </c>
      <c r="D20" s="423"/>
    </row>
    <row r="21" spans="2:4" x14ac:dyDescent="0.25">
      <c r="B21" s="421" t="s">
        <v>384</v>
      </c>
      <c r="C21" s="424" t="s">
        <v>385</v>
      </c>
      <c r="D21" s="423">
        <v>3000</v>
      </c>
    </row>
    <row r="22" spans="2:4" x14ac:dyDescent="0.25">
      <c r="B22" s="421" t="s">
        <v>386</v>
      </c>
      <c r="C22" s="424" t="s">
        <v>387</v>
      </c>
      <c r="D22" s="423">
        <f>INSUMOS!$E$78</f>
        <v>3.44</v>
      </c>
    </row>
    <row r="23" spans="2:4" x14ac:dyDescent="0.25">
      <c r="B23" s="421" t="s">
        <v>388</v>
      </c>
      <c r="C23" s="424" t="s">
        <v>389</v>
      </c>
      <c r="D23" s="423">
        <v>10</v>
      </c>
    </row>
    <row r="24" spans="2:4" x14ac:dyDescent="0.25">
      <c r="B24" s="421" t="s">
        <v>390</v>
      </c>
      <c r="C24" s="424" t="s">
        <v>391</v>
      </c>
      <c r="D24" s="423">
        <f>(D21/D23)*D22</f>
        <v>1032</v>
      </c>
    </row>
    <row r="25" spans="2:4" x14ac:dyDescent="0.25">
      <c r="B25" s="421"/>
      <c r="C25" s="424"/>
      <c r="D25" s="423"/>
    </row>
    <row r="26" spans="2:4" x14ac:dyDescent="0.25">
      <c r="B26" s="421" t="s">
        <v>392</v>
      </c>
      <c r="C26" s="422" t="s">
        <v>393</v>
      </c>
      <c r="D26" s="423"/>
    </row>
    <row r="27" spans="2:4" x14ac:dyDescent="0.25">
      <c r="B27" s="421" t="s">
        <v>394</v>
      </c>
      <c r="C27" s="424" t="s">
        <v>395</v>
      </c>
      <c r="D27" s="423">
        <f>D21*8</f>
        <v>24000</v>
      </c>
    </row>
    <row r="28" spans="2:4" x14ac:dyDescent="0.25">
      <c r="B28" s="421" t="s">
        <v>396</v>
      </c>
      <c r="C28" s="424" t="s">
        <v>397</v>
      </c>
      <c r="D28" s="423">
        <v>5000</v>
      </c>
    </row>
    <row r="29" spans="2:4" x14ac:dyDescent="0.25">
      <c r="B29" s="421" t="s">
        <v>398</v>
      </c>
      <c r="C29" s="424" t="s">
        <v>399</v>
      </c>
      <c r="D29" s="423">
        <f>INSUMOS!$E$29</f>
        <v>13</v>
      </c>
    </row>
    <row r="30" spans="2:4" x14ac:dyDescent="0.25">
      <c r="B30" s="421" t="s">
        <v>400</v>
      </c>
      <c r="C30" s="424" t="s">
        <v>401</v>
      </c>
      <c r="D30" s="423">
        <v>3.5</v>
      </c>
    </row>
    <row r="31" spans="2:4" x14ac:dyDescent="0.25">
      <c r="B31" s="421" t="s">
        <v>402</v>
      </c>
      <c r="C31" s="424" t="s">
        <v>403</v>
      </c>
      <c r="D31" s="423">
        <v>240</v>
      </c>
    </row>
    <row r="32" spans="2:4" x14ac:dyDescent="0.25">
      <c r="B32" s="421" t="s">
        <v>404</v>
      </c>
      <c r="C32" s="424" t="s">
        <v>405</v>
      </c>
      <c r="D32" s="428">
        <f>(D27*D29*D30*30)/(D28*D31)</f>
        <v>27.3</v>
      </c>
    </row>
    <row r="33" spans="2:4" x14ac:dyDescent="0.25">
      <c r="B33" s="421"/>
      <c r="C33" s="424"/>
      <c r="D33" s="429"/>
    </row>
    <row r="34" spans="2:4" x14ac:dyDescent="0.25">
      <c r="B34" s="421" t="s">
        <v>406</v>
      </c>
      <c r="C34" s="422" t="s">
        <v>407</v>
      </c>
      <c r="D34" s="429"/>
    </row>
    <row r="35" spans="2:4" x14ac:dyDescent="0.25">
      <c r="B35" s="421" t="s">
        <v>408</v>
      </c>
      <c r="C35" s="424" t="s">
        <v>395</v>
      </c>
      <c r="D35" s="423">
        <f>D21*8</f>
        <v>24000</v>
      </c>
    </row>
    <row r="36" spans="2:4" x14ac:dyDescent="0.25">
      <c r="B36" s="421" t="s">
        <v>409</v>
      </c>
      <c r="C36" s="424" t="s">
        <v>410</v>
      </c>
      <c r="D36" s="423">
        <v>45000</v>
      </c>
    </row>
    <row r="37" spans="2:4" x14ac:dyDescent="0.25">
      <c r="B37" s="421" t="s">
        <v>411</v>
      </c>
      <c r="C37" s="424" t="s">
        <v>412</v>
      </c>
      <c r="D37" s="423">
        <v>5</v>
      </c>
    </row>
    <row r="38" spans="2:4" x14ac:dyDescent="0.25">
      <c r="B38" s="421" t="s">
        <v>413</v>
      </c>
      <c r="C38" s="424" t="s">
        <v>414</v>
      </c>
      <c r="D38" s="595">
        <v>244.32</v>
      </c>
    </row>
    <row r="39" spans="2:4" x14ac:dyDescent="0.25">
      <c r="B39" s="421" t="s">
        <v>415</v>
      </c>
      <c r="C39" s="424" t="s">
        <v>416</v>
      </c>
      <c r="D39" s="423">
        <v>240</v>
      </c>
    </row>
    <row r="40" spans="2:4" x14ac:dyDescent="0.25">
      <c r="B40" s="421" t="s">
        <v>417</v>
      </c>
      <c r="C40" s="424" t="s">
        <v>418</v>
      </c>
      <c r="D40" s="423">
        <f>(D35*D37*D38*30)/(D36*D39)</f>
        <v>81.44</v>
      </c>
    </row>
    <row r="41" spans="2:4" x14ac:dyDescent="0.25">
      <c r="B41" s="421"/>
      <c r="C41" s="424"/>
      <c r="D41" s="423"/>
    </row>
    <row r="42" spans="2:4" x14ac:dyDescent="0.25">
      <c r="B42" s="421" t="s">
        <v>419</v>
      </c>
      <c r="C42" s="422" t="s">
        <v>62</v>
      </c>
      <c r="D42" s="423"/>
    </row>
    <row r="43" spans="2:4" x14ac:dyDescent="0.25">
      <c r="B43" s="421" t="s">
        <v>420</v>
      </c>
      <c r="C43" s="424" t="s">
        <v>421</v>
      </c>
      <c r="D43" s="423">
        <v>2409.5700000000002</v>
      </c>
    </row>
    <row r="44" spans="2:4" x14ac:dyDescent="0.25">
      <c r="B44" s="421"/>
      <c r="C44" s="424"/>
      <c r="D44" s="423"/>
    </row>
    <row r="45" spans="2:4" x14ac:dyDescent="0.25">
      <c r="B45" s="421" t="s">
        <v>422</v>
      </c>
      <c r="C45" s="422" t="s">
        <v>423</v>
      </c>
      <c r="D45" s="428" t="s">
        <v>101</v>
      </c>
    </row>
    <row r="46" spans="2:4" x14ac:dyDescent="0.25">
      <c r="B46" s="421"/>
      <c r="C46" s="427" t="s">
        <v>424</v>
      </c>
      <c r="D46" s="596">
        <f>D10+D14+D18+D24+D32+D40</f>
        <v>2440.71</v>
      </c>
    </row>
    <row r="47" spans="2:4" x14ac:dyDescent="0.25">
      <c r="B47" s="421"/>
      <c r="C47" s="427" t="s">
        <v>425</v>
      </c>
      <c r="D47" s="428">
        <f>D10+D14+D18+D24+D32+D40+D43</f>
        <v>4850.28</v>
      </c>
    </row>
    <row r="48" spans="2:4" x14ac:dyDescent="0.25">
      <c r="B48" s="421"/>
      <c r="C48" s="422"/>
      <c r="D48" s="428"/>
    </row>
    <row r="49" spans="2:4" x14ac:dyDescent="0.25">
      <c r="B49" s="421" t="s">
        <v>426</v>
      </c>
      <c r="C49" s="422" t="s">
        <v>427</v>
      </c>
      <c r="D49" s="428"/>
    </row>
    <row r="50" spans="2:4" x14ac:dyDescent="0.25">
      <c r="B50" s="421"/>
      <c r="C50" s="427" t="s">
        <v>424</v>
      </c>
      <c r="D50" s="428">
        <f>D46/D21</f>
        <v>0.81</v>
      </c>
    </row>
    <row r="51" spans="2:4" x14ac:dyDescent="0.25">
      <c r="B51" s="421"/>
      <c r="C51" s="427" t="s">
        <v>425</v>
      </c>
      <c r="D51" s="428">
        <f>D47/D21</f>
        <v>1.62</v>
      </c>
    </row>
    <row r="52" spans="2:4" x14ac:dyDescent="0.25">
      <c r="B52" s="421"/>
      <c r="C52" s="422"/>
      <c r="D52" s="428"/>
    </row>
    <row r="53" spans="2:4" x14ac:dyDescent="0.25">
      <c r="B53" s="430" t="s">
        <v>428</v>
      </c>
      <c r="C53" s="431" t="s">
        <v>429</v>
      </c>
      <c r="D53" s="432" t="s">
        <v>101</v>
      </c>
    </row>
    <row r="54" spans="2:4" x14ac:dyDescent="0.25">
      <c r="B54" s="430" t="s">
        <v>430</v>
      </c>
      <c r="C54" s="433" t="s">
        <v>424</v>
      </c>
      <c r="D54" s="432">
        <f>D46*(1+BDI!C36%)</f>
        <v>3050.89</v>
      </c>
    </row>
    <row r="55" spans="2:4" x14ac:dyDescent="0.25">
      <c r="B55" s="430" t="s">
        <v>431</v>
      </c>
      <c r="C55" s="433" t="s">
        <v>425</v>
      </c>
      <c r="D55" s="432">
        <f>D47*(1+BDI!C36%)</f>
        <v>6062.85</v>
      </c>
    </row>
    <row r="56" spans="2:4" ht="15.75" thickBot="1" x14ac:dyDescent="0.3">
      <c r="B56" s="434"/>
      <c r="C56" s="435"/>
      <c r="D56" s="436"/>
    </row>
  </sheetData>
  <mergeCells count="3">
    <mergeCell ref="B2:D2"/>
    <mergeCell ref="B3:D3"/>
    <mergeCell ref="B4:D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7</vt:i4>
      </vt:variant>
    </vt:vector>
  </HeadingPairs>
  <TitlesOfParts>
    <vt:vector size="13" baseType="lpstr">
      <vt:lpstr>Planilha Orçamentária</vt:lpstr>
      <vt:lpstr>CPU POÇOS</vt:lpstr>
      <vt:lpstr>INSUMOS</vt:lpstr>
      <vt:lpstr>BDI</vt:lpstr>
      <vt:lpstr>Veículo Fiscalização</vt:lpstr>
      <vt:lpstr>Veiculo</vt:lpstr>
      <vt:lpstr>'CPU POÇOS'!Area_de_impressao</vt:lpstr>
      <vt:lpstr>INSUMOS!Area_de_impressao</vt:lpstr>
      <vt:lpstr>'Planilha Orçamentária'!Area_de_impressao</vt:lpstr>
      <vt:lpstr>Veiculo!Area_de_impressao</vt:lpstr>
      <vt:lpstr>'Veículo Fiscalização'!Area_de_impressao</vt:lpstr>
      <vt:lpstr>INSUMOS!Titulos_de_impressao</vt:lpstr>
      <vt:lpstr>'Planilha Orçamentária'!Titulos_de_impressao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Miguel Oliveira Martin</dc:creator>
  <cp:lastModifiedBy>Alessandra Cristina Rossin</cp:lastModifiedBy>
  <cp:lastPrinted>2015-10-07T20:32:12Z</cp:lastPrinted>
  <dcterms:created xsi:type="dcterms:W3CDTF">2013-05-02T14:52:15Z</dcterms:created>
  <dcterms:modified xsi:type="dcterms:W3CDTF">2015-10-07T20:32:14Z</dcterms:modified>
</cp:coreProperties>
</file>