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720" windowWidth="15480" windowHeight="7470" tabRatio="689"/>
  </bookViews>
  <sheets>
    <sheet name="Planilha Orçamentária" sheetId="10" r:id="rId1"/>
    <sheet name="CPU POÇOS" sheetId="2" r:id="rId2"/>
    <sheet name="INSUMOS" sheetId="5" r:id="rId3"/>
    <sheet name="BDI" sheetId="11" r:id="rId4"/>
    <sheet name="Veículo Fiscalização" sheetId="12" r:id="rId5"/>
    <sheet name="Veiculo" sheetId="13" r:id="rId6"/>
  </sheets>
  <externalReferences>
    <externalReference r:id="rId7"/>
    <externalReference r:id="rId8"/>
    <externalReference r:id="rId9"/>
  </externalReferences>
  <definedNames>
    <definedName name="_aga14" localSheetId="3">[1]Insumos!#REF!</definedName>
    <definedName name="_aga14" localSheetId="0">[1]Insumos!#REF!</definedName>
    <definedName name="_aga14" localSheetId="5">[1]Insumos!#REF!</definedName>
    <definedName name="_aga14" localSheetId="4">[1]Insumos!#REF!</definedName>
    <definedName name="_aga14">[1]Insumos!#REF!</definedName>
    <definedName name="_aga16" localSheetId="3">[1]Insumos!#REF!</definedName>
    <definedName name="_aga16" localSheetId="0">[1]Insumos!#REF!</definedName>
    <definedName name="_aga16" localSheetId="5">[1]Insumos!#REF!</definedName>
    <definedName name="_aga16" localSheetId="4">[1]Insumos!#REF!</definedName>
    <definedName name="_aga16">[1]Insumos!#REF!</definedName>
    <definedName name="_asc321" localSheetId="0">[1]Insumos!#REF!</definedName>
    <definedName name="_asc321" localSheetId="5">[1]Insumos!#REF!</definedName>
    <definedName name="_asc321" localSheetId="4">[1]Insumos!#REF!</definedName>
    <definedName name="_asc321">[1]Insumos!#REF!</definedName>
    <definedName name="_bur3220" localSheetId="0">[1]Insumos!#REF!</definedName>
    <definedName name="_bur3220" localSheetId="5">[1]Insumos!#REF!</definedName>
    <definedName name="_bur3220" localSheetId="4">[1]Insumos!#REF!</definedName>
    <definedName name="_bur3220">[1]Insumos!#REF!</definedName>
    <definedName name="_cap20" localSheetId="0">[1]Insumos!#REF!</definedName>
    <definedName name="_cap20" localSheetId="5">[1]Insumos!#REF!</definedName>
    <definedName name="_cap20" localSheetId="4">[1]Insumos!#REF!</definedName>
    <definedName name="_cap20">[1]Insumos!#REF!</definedName>
    <definedName name="_ccr12" localSheetId="0">[1]Insumos!#REF!</definedName>
    <definedName name="_ccr12" localSheetId="5">[1]Insumos!#REF!</definedName>
    <definedName name="_ccr12" localSheetId="4">[1]Insumos!#REF!</definedName>
    <definedName name="_ccr12">[1]Insumos!#REF!</definedName>
    <definedName name="_cva32" localSheetId="0">[1]Insumos!#REF!</definedName>
    <definedName name="_cva32" localSheetId="5">[1]Insumos!#REF!</definedName>
    <definedName name="_cva32" localSheetId="4">[1]Insumos!#REF!</definedName>
    <definedName name="_cva32">[1]Insumos!#REF!</definedName>
    <definedName name="_cva50" localSheetId="0">[1]Insumos!#REF!</definedName>
    <definedName name="_cva50" localSheetId="5">[1]Insumos!#REF!</definedName>
    <definedName name="_cva50" localSheetId="4">[1]Insumos!#REF!</definedName>
    <definedName name="_cva50">[1]Insumos!#REF!</definedName>
    <definedName name="_cva60" localSheetId="0">[1]Insumos!#REF!</definedName>
    <definedName name="_cva60" localSheetId="5">[1]Insumos!#REF!</definedName>
    <definedName name="_cva60" localSheetId="4">[1]Insumos!#REF!</definedName>
    <definedName name="_cva60">[1]Insumos!#REF!</definedName>
    <definedName name="_cve45100" localSheetId="0">[1]Insumos!#REF!</definedName>
    <definedName name="_cve45100" localSheetId="5">[1]Insumos!#REF!</definedName>
    <definedName name="_cve45100" localSheetId="4">[1]Insumos!#REF!</definedName>
    <definedName name="_cve45100">[1]Insumos!#REF!</definedName>
    <definedName name="_cve90100" localSheetId="0">[1]Insumos!#REF!</definedName>
    <definedName name="_cve90100" localSheetId="5">[1]Insumos!#REF!</definedName>
    <definedName name="_cve90100" localSheetId="4">[1]Insumos!#REF!</definedName>
    <definedName name="_cve90100">[1]Insumos!#REF!</definedName>
    <definedName name="_cve9040" localSheetId="0">[1]Insumos!#REF!</definedName>
    <definedName name="_cve9040" localSheetId="5">[1]Insumos!#REF!</definedName>
    <definedName name="_cve9040" localSheetId="4">[1]Insumos!#REF!</definedName>
    <definedName name="_cve9040">[1]Insumos!#REF!</definedName>
    <definedName name="_djm10" localSheetId="0">[1]Insumos!#REF!</definedName>
    <definedName name="_djm10" localSheetId="5">[1]Insumos!#REF!</definedName>
    <definedName name="_djm10" localSheetId="4">[1]Insumos!#REF!</definedName>
    <definedName name="_djm10">[1]Insumos!#REF!</definedName>
    <definedName name="_djm15" localSheetId="0">[1]Insumos!#REF!</definedName>
    <definedName name="_djm15" localSheetId="5">[1]Insumos!#REF!</definedName>
    <definedName name="_djm15" localSheetId="4">[1]Insumos!#REF!</definedName>
    <definedName name="_djm15">[1]Insumos!#REF!</definedName>
    <definedName name="_epl2" localSheetId="0">[1]Insumos!#REF!</definedName>
    <definedName name="_epl2" localSheetId="5">[1]Insumos!#REF!</definedName>
    <definedName name="_epl2" localSheetId="4">[1]Insumos!#REF!</definedName>
    <definedName name="_epl2">[1]Insumos!#REF!</definedName>
    <definedName name="_epl5" localSheetId="0">[1]Insumos!#REF!</definedName>
    <definedName name="_epl5" localSheetId="5">[1]Insumos!#REF!</definedName>
    <definedName name="_epl5" localSheetId="4">[1]Insumos!#REF!</definedName>
    <definedName name="_epl5">[1]Insumos!#REF!</definedName>
    <definedName name="_est15" localSheetId="0">[1]Insumos!#REF!</definedName>
    <definedName name="_est15" localSheetId="5">[1]Insumos!#REF!</definedName>
    <definedName name="_est15" localSheetId="4">[1]Insumos!#REF!</definedName>
    <definedName name="_est15">[1]Insumos!#REF!</definedName>
    <definedName name="_fil1" localSheetId="0">[1]Insumos!#REF!</definedName>
    <definedName name="_fil1" localSheetId="5">[1]Insumos!#REF!</definedName>
    <definedName name="_fil1" localSheetId="4">[1]Insumos!#REF!</definedName>
    <definedName name="_fil1">[1]Insumos!#REF!</definedName>
    <definedName name="_fil2" localSheetId="0">[1]Insumos!#REF!</definedName>
    <definedName name="_fil2" localSheetId="5">[1]Insumos!#REF!</definedName>
    <definedName name="_fil2" localSheetId="4">[1]Insumos!#REF!</definedName>
    <definedName name="_fil2">[1]Insumos!#REF!</definedName>
    <definedName name="_xlnm._FilterDatabase" localSheetId="2" hidden="1">INSUMOS!$A$10:$G$108</definedName>
    <definedName name="_fio12" localSheetId="0">[1]Insumos!#REF!</definedName>
    <definedName name="_fio12" localSheetId="5">[1]Insumos!#REF!</definedName>
    <definedName name="_fio12" localSheetId="4">[1]Insumos!#REF!</definedName>
    <definedName name="_fio12">[1]Insumos!#REF!</definedName>
    <definedName name="_fis5" localSheetId="0">[1]Insumos!#REF!</definedName>
    <definedName name="_fis5" localSheetId="5">[1]Insumos!#REF!</definedName>
    <definedName name="_fis5" localSheetId="4">[1]Insumos!#REF!</definedName>
    <definedName name="_fis5">[1]Insumos!#REF!</definedName>
    <definedName name="_flf50" localSheetId="0">[1]Insumos!#REF!</definedName>
    <definedName name="_flf50">[1]Insumos!#REF!</definedName>
    <definedName name="_flf60" localSheetId="0">[1]Insumos!#REF!</definedName>
    <definedName name="_flf60">[1]Insumos!#REF!</definedName>
    <definedName name="_fpd12" localSheetId="0">[1]Insumos!#REF!</definedName>
    <definedName name="_fpd12">[1]Insumos!#REF!</definedName>
    <definedName name="_fvr10" localSheetId="0">[1]Insumos!#REF!</definedName>
    <definedName name="_fvr10">[1]Insumos!#REF!</definedName>
    <definedName name="_itu1" localSheetId="0">[1]Insumos!#REF!</definedName>
    <definedName name="_itu1">[1]Insumos!#REF!</definedName>
    <definedName name="_jla20" localSheetId="0">[1]Insumos!#REF!</definedName>
    <definedName name="_jla20">[1]Insumos!#REF!</definedName>
    <definedName name="_jla32" localSheetId="0">[1]Insumos!#REF!</definedName>
    <definedName name="_jla32">[1]Insumos!#REF!</definedName>
    <definedName name="_lpi100" localSheetId="0">[1]Insumos!#REF!</definedName>
    <definedName name="_lpi100">[1]Insumos!#REF!</definedName>
    <definedName name="_lvg10060" localSheetId="0">[1]Insumos!#REF!</definedName>
    <definedName name="_lvg10060">[1]Insumos!#REF!</definedName>
    <definedName name="_lvp32" localSheetId="0">[1]Insumos!#REF!</definedName>
    <definedName name="_lvp32">[1]Insumos!#REF!</definedName>
    <definedName name="_lxa1">#REF!</definedName>
    <definedName name="_man50" localSheetId="0">[1]Insumos!#REF!</definedName>
    <definedName name="_man50">[1]Insumos!#REF!</definedName>
    <definedName name="_ope1" localSheetId="0">[1]Insumos!#REF!</definedName>
    <definedName name="_ope1">[1]Insumos!#REF!</definedName>
    <definedName name="_ope2" localSheetId="0">[1]Insumos!#REF!</definedName>
    <definedName name="_ope2">[1]Insumos!#REF!</definedName>
    <definedName name="_ope3" localSheetId="0">[1]Insumos!#REF!</definedName>
    <definedName name="_ope3">[1]Insumos!#REF!</definedName>
    <definedName name="_pne1" localSheetId="0">[1]Insumos!#REF!</definedName>
    <definedName name="_pne1">[1]Insumos!#REF!</definedName>
    <definedName name="_pne2" localSheetId="0">[1]Insumos!#REF!</definedName>
    <definedName name="_pne2">[1]Insumos!#REF!</definedName>
    <definedName name="_prg1515" localSheetId="0">[1]Insumos!#REF!</definedName>
    <definedName name="_prg1515">[1]Insumos!#REF!</definedName>
    <definedName name="_prg1827" localSheetId="0">[1]Insumos!#REF!</definedName>
    <definedName name="_prg1827">[1]Insumos!#REF!</definedName>
    <definedName name="_ptc7">#REF!</definedName>
    <definedName name="_ptm6" localSheetId="0">[1]Insumos!#REF!</definedName>
    <definedName name="_ptm6">[1]Insumos!#REF!</definedName>
    <definedName name="_qdm3" localSheetId="0">[1]Insumos!#REF!</definedName>
    <definedName name="_qdm3">[1]Insumos!#REF!</definedName>
    <definedName name="_rcm10" localSheetId="0">[1]Insumos!#REF!</definedName>
    <definedName name="_rcm10">[1]Insumos!#REF!</definedName>
    <definedName name="_rcm15" localSheetId="0">[1]Insumos!#REF!</definedName>
    <definedName name="_rcm15">[1]Insumos!#REF!</definedName>
    <definedName name="_rcm20" localSheetId="0">[1]Insumos!#REF!</definedName>
    <definedName name="_rcm20">[1]Insumos!#REF!</definedName>
    <definedName name="_rcm5" localSheetId="0">[1]Insumos!#REF!</definedName>
    <definedName name="_rcm5">[1]Insumos!#REF!</definedName>
    <definedName name="_res10" localSheetId="0">[1]Insumos!#REF!</definedName>
    <definedName name="_res10">[1]Insumos!#REF!</definedName>
    <definedName name="_res15" localSheetId="0">[1]Insumos!#REF!</definedName>
    <definedName name="_res15">[1]Insumos!#REF!</definedName>
    <definedName name="_res5" localSheetId="0">[1]Insumos!#REF!</definedName>
    <definedName name="_res5">[1]Insumos!#REF!</definedName>
    <definedName name="_rge32" localSheetId="0">[1]Insumos!#REF!</definedName>
    <definedName name="_rge32">[1]Insumos!#REF!</definedName>
    <definedName name="_rgf60" localSheetId="0">[1]Insumos!#REF!</definedName>
    <definedName name="_rgf60">[1]Insumos!#REF!</definedName>
    <definedName name="_rgp1" localSheetId="0">[1]Insumos!#REF!</definedName>
    <definedName name="_rgp1">[1]Insumos!#REF!</definedName>
    <definedName name="_tap100" localSheetId="0">[1]Insumos!#REF!</definedName>
    <definedName name="_tap100">[1]Insumos!#REF!</definedName>
    <definedName name="_tb112" localSheetId="0">[1]Insumos!#REF!</definedName>
    <definedName name="_tb112">[1]Insumos!#REF!</definedName>
    <definedName name="_tb16" localSheetId="0">[1]Insumos!#REF!</definedName>
    <definedName name="_tb16">[1]Insumos!#REF!</definedName>
    <definedName name="_tb19" localSheetId="0">[1]Insumos!#REF!</definedName>
    <definedName name="_tb19">[1]Insumos!#REF!</definedName>
    <definedName name="_tba20" localSheetId="0">[1]Insumos!#REF!</definedName>
    <definedName name="_tba20">[1]Insumos!#REF!</definedName>
    <definedName name="_tba32" localSheetId="0">[1]Insumos!#REF!</definedName>
    <definedName name="_tba32">[1]Insumos!#REF!</definedName>
    <definedName name="_tba50" localSheetId="0">[1]Insumos!#REF!</definedName>
    <definedName name="_tba50">[1]Insumos!#REF!</definedName>
    <definedName name="_tba60" localSheetId="0">[1]Insumos!#REF!</definedName>
    <definedName name="_tba60">[1]Insumos!#REF!</definedName>
    <definedName name="_tbe100" localSheetId="0">[1]Insumos!#REF!</definedName>
    <definedName name="_tbe100">[1]Insumos!#REF!</definedName>
    <definedName name="_tbe40" localSheetId="0">[1]Insumos!#REF!</definedName>
    <definedName name="_tbe40">[1]Insumos!#REF!</definedName>
    <definedName name="_tbe50" localSheetId="0">[1]Insumos!#REF!</definedName>
    <definedName name="_tbe50">[1]Insumos!#REF!</definedName>
    <definedName name="_tca80" localSheetId="0">[1]Insumos!#REF!</definedName>
    <definedName name="_tca80">[1]Insumos!#REF!</definedName>
    <definedName name="_tea32" localSheetId="0">[1]Insumos!#REF!</definedName>
    <definedName name="_tea32">[1]Insumos!#REF!</definedName>
    <definedName name="_tea4560" localSheetId="0">[1]Insumos!#REF!</definedName>
    <definedName name="_tea4560">[1]Insumos!#REF!</definedName>
    <definedName name="_tee100" localSheetId="0">[1]Insumos!#REF!</definedName>
    <definedName name="_tee100">[1]Insumos!#REF!</definedName>
    <definedName name="_ter10050" localSheetId="0">[1]Insumos!#REF!</definedName>
    <definedName name="_ter10050">[1]Insumos!#REF!</definedName>
    <definedName name="_tfg50" localSheetId="0">[1]Insumos!#REF!</definedName>
    <definedName name="_tfg50">[1]Insumos!#REF!</definedName>
    <definedName name="_tlf6" localSheetId="0">[1]Insumos!#REF!</definedName>
    <definedName name="_tlf6">[1]Insumos!#REF!</definedName>
    <definedName name="_tub10012" localSheetId="0">[1]Insumos!#REF!</definedName>
    <definedName name="_tub10012">[1]Insumos!#REF!</definedName>
    <definedName name="_tub10015" localSheetId="0">[1]Insumos!#REF!</definedName>
    <definedName name="_tub10015">[1]Insumos!#REF!</definedName>
    <definedName name="_tub10020" localSheetId="0">[1]Insumos!#REF!</definedName>
    <definedName name="_tub10020">[1]Insumos!#REF!</definedName>
    <definedName name="_tub15012" localSheetId="0">[1]Insumos!#REF!</definedName>
    <definedName name="_tub15012">[1]Insumos!#REF!</definedName>
    <definedName name="_tub4012" localSheetId="0">[1]Insumos!#REF!</definedName>
    <definedName name="_tub4012">[1]Insumos!#REF!</definedName>
    <definedName name="_tub4015" localSheetId="0">[1]Insumos!#REF!</definedName>
    <definedName name="_tub4015">[1]Insumos!#REF!</definedName>
    <definedName name="_tub4020" localSheetId="0">[1]Insumos!#REF!</definedName>
    <definedName name="_tub4020">[1]Insumos!#REF!</definedName>
    <definedName name="_tub5012" localSheetId="0">[1]Insumos!#REF!</definedName>
    <definedName name="_tub5012">[1]Insumos!#REF!</definedName>
    <definedName name="_tub5015" localSheetId="0">[1]Insumos!#REF!</definedName>
    <definedName name="_tub5015">[1]Insumos!#REF!</definedName>
    <definedName name="_tub5020" localSheetId="0">[1]Insumos!#REF!</definedName>
    <definedName name="_tub5020">[1]Insumos!#REF!</definedName>
    <definedName name="_tub7512" localSheetId="0">[1]Insumos!#REF!</definedName>
    <definedName name="_tub7512">[1]Insumos!#REF!</definedName>
    <definedName name="_tub7515" localSheetId="0">[1]Insumos!#REF!</definedName>
    <definedName name="_tub7515">[1]Insumos!#REF!</definedName>
    <definedName name="_tub7520" localSheetId="0">[1]Insumos!#REF!</definedName>
    <definedName name="_tub7520">[1]Insumos!#REF!</definedName>
    <definedName name="acl" localSheetId="0">[1]Insumos!#REF!</definedName>
    <definedName name="acl">[1]Insumos!#REF!</definedName>
    <definedName name="aço" localSheetId="0">[1]Insumos!#REF!</definedName>
    <definedName name="aço">[1]Insumos!#REF!</definedName>
    <definedName name="ade" localSheetId="0">[1]Insumos!#REF!</definedName>
    <definedName name="ade">[1]Insumos!#REF!</definedName>
    <definedName name="adtimp" localSheetId="0">[1]Insumos!#REF!</definedName>
    <definedName name="adtimp">[1]Insumos!#REF!</definedName>
    <definedName name="afi" localSheetId="0">[1]Insumos!#REF!</definedName>
    <definedName name="afi">[1]Insumos!#REF!</definedName>
    <definedName name="afp" localSheetId="0">[1]Insumos!#REF!</definedName>
    <definedName name="afp">[1]Insumos!#REF!</definedName>
    <definedName name="agr" localSheetId="0">[1]Insumos!#REF!</definedName>
    <definedName name="agr">[1]Insumos!#REF!</definedName>
    <definedName name="amc" localSheetId="0">[1]Insumos!#REF!</definedName>
    <definedName name="amc">[1]Insumos!#REF!</definedName>
    <definedName name="amd" localSheetId="0">[1]Insumos!#REF!</definedName>
    <definedName name="amd">[1]Insumos!#REF!</definedName>
    <definedName name="ame" localSheetId="0">[1]Insumos!#REF!</definedName>
    <definedName name="ame">[1]Insumos!#REF!</definedName>
    <definedName name="amm" localSheetId="0">[1]Insumos!#REF!</definedName>
    <definedName name="amm">[1]Insumos!#REF!</definedName>
    <definedName name="anb" localSheetId="0">[1]Insumos!#REF!</definedName>
    <definedName name="anb">[1]Insumos!#REF!</definedName>
    <definedName name="apc">#REF!</definedName>
    <definedName name="apmfs" localSheetId="0">[1]Insumos!#REF!</definedName>
    <definedName name="apmfs">[1]Insumos!#REF!</definedName>
    <definedName name="are" localSheetId="0">[1]Insumos!#REF!</definedName>
    <definedName name="are">[1]Insumos!#REF!</definedName>
    <definedName name="_xlnm.Print_Area" localSheetId="1">'CPU POÇOS'!$B$1:$I$1414</definedName>
    <definedName name="_xlnm.Print_Area" localSheetId="2">INSUMOS!$B$2:$F$129</definedName>
    <definedName name="_xlnm.Print_Area" localSheetId="0">'Planilha Orçamentária'!$A$2:$H$112</definedName>
    <definedName name="_xlnm.Print_Area" localSheetId="5">Veiculo!$A$1:$E$56</definedName>
    <definedName name="_xlnm.Print_Area" localSheetId="4">'Veículo Fiscalização'!$A$1:$D$46</definedName>
    <definedName name="B320I" localSheetId="5">#REF!</definedName>
    <definedName name="B320I" localSheetId="4">#REF!</definedName>
    <definedName name="B320I">#REF!</definedName>
    <definedName name="B320P" localSheetId="5">#REF!</definedName>
    <definedName name="B320P" localSheetId="4">#REF!</definedName>
    <definedName name="B320P">#REF!</definedName>
    <definedName name="B500I" localSheetId="5">#REF!</definedName>
    <definedName name="B500I" localSheetId="4">#REF!</definedName>
    <definedName name="B500I">#REF!</definedName>
    <definedName name="B500P">#REF!</definedName>
    <definedName name="bcc10.10" localSheetId="0">[1]Insumos!#REF!</definedName>
    <definedName name="bcc10.10">[1]Insumos!#REF!</definedName>
    <definedName name="bcc10.20" localSheetId="0">[1]Insumos!#REF!</definedName>
    <definedName name="bcc10.20">[1]Insumos!#REF!</definedName>
    <definedName name="bcc4.5" localSheetId="0">[1]Insumos!#REF!</definedName>
    <definedName name="bcc4.5">[1]Insumos!#REF!</definedName>
    <definedName name="bcc5.10" localSheetId="0">[1]Insumos!#REF!</definedName>
    <definedName name="bcc5.10">[1]Insumos!#REF!</definedName>
    <definedName name="bcc5.15" localSheetId="0">[1]Insumos!#REF!</definedName>
    <definedName name="bcc5.15">[1]Insumos!#REF!</definedName>
    <definedName name="bcc5.20" localSheetId="0">[1]Insumos!#REF!</definedName>
    <definedName name="bcc5.20">[1]Insumos!#REF!</definedName>
    <definedName name="bcc5.5" localSheetId="0">[1]Insumos!#REF!</definedName>
    <definedName name="bcc5.5">[1]Insumos!#REF!</definedName>
    <definedName name="bcc6.10" localSheetId="0">[1]Insumos!#REF!</definedName>
    <definedName name="bcc6.10">[1]Insumos!#REF!</definedName>
    <definedName name="bcc6.15" localSheetId="0">[1]Insumos!#REF!</definedName>
    <definedName name="bcc6.15">[1]Insumos!#REF!</definedName>
    <definedName name="bcc6.20" localSheetId="0">[1]Insumos!#REF!</definedName>
    <definedName name="bcc6.20">[1]Insumos!#REF!</definedName>
    <definedName name="bcc6.5" localSheetId="0">[1]Insumos!#REF!</definedName>
    <definedName name="bcc6.5">[1]Insumos!#REF!</definedName>
    <definedName name="bcc8.10" localSheetId="0">[1]Insumos!#REF!</definedName>
    <definedName name="bcc8.10">[1]Insumos!#REF!</definedName>
    <definedName name="bcc8.15" localSheetId="0">[1]Insumos!#REF!</definedName>
    <definedName name="bcc8.15">[1]Insumos!#REF!</definedName>
    <definedName name="bcc8.20" localSheetId="0">[1]Insumos!#REF!</definedName>
    <definedName name="bcc8.20">[1]Insumos!#REF!</definedName>
    <definedName name="bcc8.5" localSheetId="0">[1]Insumos!#REF!</definedName>
    <definedName name="bcc8.5">[1]Insumos!#REF!</definedName>
    <definedName name="bcf" localSheetId="0">[1]Insumos!#REF!</definedName>
    <definedName name="bcf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0">[1]Insumos!#REF!</definedName>
    <definedName name="bomp2">[1]Insumos!#REF!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 localSheetId="0">[1]Insumos!#REF!</definedName>
    <definedName name="cal">[1]Insumos!#REF!</definedName>
    <definedName name="calpi" localSheetId="0">[1]Insumos!#REF!</definedName>
    <definedName name="calpi">[1]Insumos!#REF!</definedName>
    <definedName name="camp" localSheetId="0">[1]Insumos!#REF!</definedName>
    <definedName name="camp">[1]Insumos!#REF!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 localSheetId="0">[1]Insumos!#REF!</definedName>
    <definedName name="cbas">[1]Insumos!#REF!</definedName>
    <definedName name="ccp" localSheetId="0">[1]Insumos!#REF!</definedName>
    <definedName name="ccp">[1]Insumos!#REF!</definedName>
    <definedName name="cds" localSheetId="0">[1]Insumos!#REF!</definedName>
    <definedName name="cds">[1]Insumos!#REF!</definedName>
    <definedName name="cec20x20" localSheetId="0">[1]Insumos!#REF!</definedName>
    <definedName name="cec20x20">[1]Insumos!#REF!</definedName>
    <definedName name="cer1_2" localSheetId="0">[1]Insumos!#REF!</definedName>
    <definedName name="cer1_2">[1]Insumos!#REF!</definedName>
    <definedName name="chaf" localSheetId="0">[1]Insumos!#REF!</definedName>
    <definedName name="chaf">[1]Insumos!#REF!</definedName>
    <definedName name="cib" localSheetId="0">[1]Insumos!#REF!</definedName>
    <definedName name="cib">[1]Insumos!#REF!</definedName>
    <definedName name="cim" localSheetId="0">[1]Insumos!#REF!</definedName>
    <definedName name="cim">[1]Insumos!#REF!</definedName>
    <definedName name="cim_5">#REF!</definedName>
    <definedName name="clp" localSheetId="0">[1]Insumos!#REF!</definedName>
    <definedName name="clp">[1]Insumos!#REF!</definedName>
    <definedName name="clr1_2" localSheetId="0">[1]Insumos!#REF!</definedName>
    <definedName name="clr1_2">[1]Insumos!#REF!</definedName>
    <definedName name="CM9I">#REF!</definedName>
    <definedName name="CM9P">#REF!</definedName>
    <definedName name="comp" localSheetId="0">[1]Insumos!#REF!</definedName>
    <definedName name="comp">[1]Insumos!#REF!</definedName>
    <definedName name="CPA">#REF!</definedName>
    <definedName name="CPAF">#REF!</definedName>
    <definedName name="ctfa4" localSheetId="0">[1]Insumos!#REF!</definedName>
    <definedName name="ctfa4">[1]Insumos!#REF!</definedName>
    <definedName name="ctpvc" localSheetId="0">[1]Insumos!#REF!</definedName>
    <definedName name="ctpvc">[1]Insumos!#REF!</definedName>
    <definedName name="cumeeira" localSheetId="0">[1]Insumos!#REF!</definedName>
    <definedName name="cumeeira">[1]Insumos!#REF!</definedName>
    <definedName name="cumeira" localSheetId="0">[1]Insumos!#REF!</definedName>
    <definedName name="cumeira">[1]Insumos!#REF!</definedName>
    <definedName name="cxp4x2" localSheetId="0">[1]Insumos!#REF!</definedName>
    <definedName name="cxp4x2">[1]Insumos!#REF!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 localSheetId="0">[1]Insumos!#REF!</definedName>
    <definedName name="desm">[1]Insumos!#REF!</definedName>
    <definedName name="DIE">#REF!</definedName>
    <definedName name="DIF">#REF!</definedName>
    <definedName name="DIF_2">#REF!</definedName>
    <definedName name="DKM">#REF!</definedName>
    <definedName name="E" localSheetId="0">[1]Insumos!#REF!</definedName>
    <definedName name="E">[1]Insumos!#REF!</definedName>
    <definedName name="ecm" localSheetId="0">[1]Insumos!#REF!</definedName>
    <definedName name="ecm">[1]Insumos!#REF!</definedName>
    <definedName name="ele" localSheetId="0">[1]Insumos!#REF!</definedName>
    <definedName name="ele">[1]Insumos!#REF!</definedName>
    <definedName name="elr1_2" localSheetId="0">[1]Insumos!#REF!</definedName>
    <definedName name="elr1_2">[1]Insumos!#REF!</definedName>
    <definedName name="elv50x40" localSheetId="0">[1]Insumos!#REF!</definedName>
    <definedName name="elv50x40">[1]Insumos!#REF!</definedName>
    <definedName name="ENC_5">#REF!</definedName>
    <definedName name="ENE">#REF!</definedName>
    <definedName name="epm2.5" localSheetId="0">[1]Insumos!#REF!</definedName>
    <definedName name="epm2.5">[1]Insumos!#REF!</definedName>
    <definedName name="esm" localSheetId="0">[1]Insumos!#REF!</definedName>
    <definedName name="esm">[1]Insumos!#REF!</definedName>
    <definedName name="est" localSheetId="0">[1]Insumos!#REF!</definedName>
    <definedName name="est">[1]Insumos!#REF!</definedName>
    <definedName name="est1.5_15" localSheetId="0">[1]Insumos!#REF!</definedName>
    <definedName name="est1.5_15">[1]Insumos!#REF!</definedName>
    <definedName name="Excel_BuiltIn_Print_Area_3">#REF!</definedName>
    <definedName name="Excel_BuiltIn_Print_Area_5" localSheetId="0">[3]CPU!#REF!</definedName>
    <definedName name="Excel_BuiltIn_Print_Area_5" localSheetId="5">[1]CPU!#REF!</definedName>
    <definedName name="Excel_BuiltIn_Print_Area_5">[3]CPU!#REF!</definedName>
    <definedName name="Excel_BuiltIn_Print_Titles_3" localSheetId="5">#REF!</definedName>
    <definedName name="Excel_BuiltIn_Print_Titles_3" localSheetId="4">#REF!</definedName>
    <definedName name="Excel_BuiltIn_Print_Titles_3">#REF!</definedName>
    <definedName name="fcm" localSheetId="0">[1]Insumos!#REF!</definedName>
    <definedName name="fcm">[1]Insumos!#REF!</definedName>
    <definedName name="fer" localSheetId="0">[1]Insumos!#REF!</definedName>
    <definedName name="fer">[1]Insumos!#REF!</definedName>
    <definedName name="fossa" localSheetId="0">[1]Insumos!#REF!</definedName>
    <definedName name="fossa">[1]Insumos!#REF!</definedName>
    <definedName name="FT">#REF!</definedName>
    <definedName name="GAS">#REF!</definedName>
    <definedName name="gdc" localSheetId="0">[1]Insumos!#REF!</definedName>
    <definedName name="gdc">[1]Insumos!#REF!</definedName>
    <definedName name="gfg" localSheetId="0">[1]Insumos!#REF!</definedName>
    <definedName name="gfg">[1]Insumos!#REF!</definedName>
    <definedName name="ggm" localSheetId="0">[1]Insumos!#REF!</definedName>
    <definedName name="ggm">[1]Insumos!#REF!</definedName>
    <definedName name="graf">#REF!</definedName>
    <definedName name="GRI">#REF!</definedName>
    <definedName name="GRP">#REF!</definedName>
    <definedName name="grx" localSheetId="0">[1]Insumos!#REF!</definedName>
    <definedName name="grx">[1]Insumos!#REF!</definedName>
    <definedName name="hid1_2" localSheetId="0">[1]Insumos!#REF!</definedName>
    <definedName name="hid1_2">[1]Insumos!#REF!</definedName>
    <definedName name="ipf" localSheetId="0">[1]Insumos!#REF!</definedName>
    <definedName name="ipf">[1]Insumos!#REF!</definedName>
    <definedName name="itus1" localSheetId="0">[1]Insumos!#REF!</definedName>
    <definedName name="itus1">[1]Insumos!#REF!</definedName>
    <definedName name="jla1_220" localSheetId="0">[1]Insumos!#REF!</definedName>
    <definedName name="jla1_220">[1]Insumos!#REF!</definedName>
    <definedName name="JRS">#REF!</definedName>
    <definedName name="lm6_3" localSheetId="0">[1]Insumos!#REF!</definedName>
    <definedName name="lm6_3">[1]Insumos!#REF!</definedName>
    <definedName name="lnm" localSheetId="0">[1]Insumos!#REF!</definedName>
    <definedName name="lnm">[1]Insumos!#REF!</definedName>
    <definedName name="lpb" localSheetId="0">[1]Insumos!#REF!</definedName>
    <definedName name="lpb">[1]Insumos!#REF!</definedName>
    <definedName name="LSO" localSheetId="0">[1]Insumos!#REF!</definedName>
    <definedName name="LSO">[1]Insumos!#REF!</definedName>
    <definedName name="lub" localSheetId="0">[1]Insumos!#REF!</definedName>
    <definedName name="lub">[1]Insumos!#REF!</definedName>
    <definedName name="lvg12050_1" localSheetId="0">[1]Insumos!#REF!</definedName>
    <definedName name="lvg12050_1">[1]Insumos!#REF!</definedName>
    <definedName name="lvp1_2" localSheetId="0">[1]Insumos!#REF!</definedName>
    <definedName name="lvp1_2">[1]Insumos!#REF!</definedName>
    <definedName name="lvr" localSheetId="0">[1]Insumos!#REF!</definedName>
    <definedName name="lvr">[1]Insumos!#REF!</definedName>
    <definedName name="lxa" localSheetId="0">[1]Insumos!#REF!</definedName>
    <definedName name="lxa">[1]Insumos!#REF!</definedName>
    <definedName name="lxaf" localSheetId="0">[1]Insumos!#REF!</definedName>
    <definedName name="lxaf">[1]Insumos!#REF!</definedName>
    <definedName name="mad" localSheetId="0">[1]Insumos!#REF!</definedName>
    <definedName name="mad">[1]Insumos!#REF!</definedName>
    <definedName name="map" localSheetId="0">[1]Insumos!#REF!</definedName>
    <definedName name="map">[1]Insumos!#REF!</definedName>
    <definedName name="mdn" localSheetId="0">[1]Insumos!#REF!</definedName>
    <definedName name="mdn">[1]Insumos!#REF!</definedName>
    <definedName name="MNI">#REF!</definedName>
    <definedName name="MNP">#REF!</definedName>
    <definedName name="mour">#REF!</definedName>
    <definedName name="mpm2.5" localSheetId="0">[1]Insumos!#REF!</definedName>
    <definedName name="mpm2.5">[1]Insumos!#REF!</definedName>
    <definedName name="msv" localSheetId="0">[1]Insumos!#REF!</definedName>
    <definedName name="msv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0">[1]Insumos!#REF!</definedName>
    <definedName name="odi">[1]Insumos!#REF!</definedName>
    <definedName name="ofc">NA()</definedName>
    <definedName name="ofi" localSheetId="0">[1]Insumos!#REF!</definedName>
    <definedName name="ofi">[1]Insumos!#REF!</definedName>
    <definedName name="OGU">#REF!</definedName>
    <definedName name="oli" localSheetId="0">[1]Insumos!#REF!</definedName>
    <definedName name="oli">[1]Insumos!#REF!</definedName>
    <definedName name="pcf60x210" localSheetId="0">[1]Insumos!#REF!</definedName>
    <definedName name="pcf60x210">[1]Insumos!#REF!</definedName>
    <definedName name="pcf80x200" localSheetId="0">[1]Insumos!#REF!</definedName>
    <definedName name="pcf80x200">[1]Insumos!#REF!</definedName>
    <definedName name="pcf80x210" localSheetId="0">[1]Insumos!#REF!</definedName>
    <definedName name="pcf80x210">[1]Insumos!#REF!</definedName>
    <definedName name="pcfc" localSheetId="0">[1]Insumos!#REF!</definedName>
    <definedName name="pcfc">[1]Insumos!#REF!</definedName>
    <definedName name="pdm" localSheetId="0">[1]Insumos!#REF!</definedName>
    <definedName name="pdm">[1]Insumos!#REF!</definedName>
    <definedName name="pdm_5">#REF!</definedName>
    <definedName name="pes" localSheetId="0">[1]Insumos!#REF!</definedName>
    <definedName name="pes">[1]Insumos!#REF!</definedName>
    <definedName name="pig" localSheetId="0">[1]Insumos!#REF!</definedName>
    <definedName name="pig">[1]Insumos!#REF!</definedName>
    <definedName name="PII">#REF!</definedName>
    <definedName name="PIP">#REF!</definedName>
    <definedName name="plc" localSheetId="0">[1]Insumos!#REF!</definedName>
    <definedName name="plc">[1]Insumos!#REF!</definedName>
    <definedName name="plc2.5" localSheetId="0">[1]Insumos!#REF!</definedName>
    <definedName name="plc2.5">[1]Insumos!#REF!</definedName>
    <definedName name="PMS">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0">[1]Insumos!#REF!</definedName>
    <definedName name="prf">[1]Insumos!#REF!</definedName>
    <definedName name="prg" localSheetId="0">[1]Insumos!#REF!</definedName>
    <definedName name="prg">[1]Insumos!#REF!</definedName>
    <definedName name="prg_5">#REF!</definedName>
    <definedName name="PROJ">#REF!</definedName>
    <definedName name="prtm" localSheetId="0">[1]Insumos!#REF!</definedName>
    <definedName name="prtm">[1]Insumos!#REF!</definedName>
    <definedName name="ptt3x2" localSheetId="0">[1]Insumos!#REF!</definedName>
    <definedName name="ptt3x2">[1]Insumos!#REF!</definedName>
    <definedName name="qgm" localSheetId="0">[1]Insumos!#REF!</definedName>
    <definedName name="qgm">[1]Insumos!#REF!</definedName>
    <definedName name="rdt13.8" localSheetId="0">[1]Insumos!#REF!</definedName>
    <definedName name="rdt13.8">[1]Insumos!#REF!</definedName>
    <definedName name="rec" localSheetId="0">[1]Insumos!#REF!</definedName>
    <definedName name="rec">[1]Insumos!#REF!</definedName>
    <definedName name="RES">#REF!</definedName>
    <definedName name="rgG3_4" localSheetId="0">[1]Insumos!#REF!</definedName>
    <definedName name="rgG3_4">[1]Insumos!#REF!</definedName>
    <definedName name="rgp1_2" localSheetId="0">[1]Insumos!#REF!</definedName>
    <definedName name="rgp1_2">[1]Insumos!#REF!</definedName>
    <definedName name="RLI">#REF!</definedName>
    <definedName name="RLP">#REF!</definedName>
    <definedName name="RPI">#REF!</definedName>
    <definedName name="RPP">#REF!</definedName>
    <definedName name="seat15" localSheetId="0">[1]Insumos!#REF!</definedName>
    <definedName name="seat15">[1]Insumos!#REF!</definedName>
    <definedName name="sin" localSheetId="0">[1]Insumos!#REF!</definedName>
    <definedName name="sin">[1]Insumos!#REF!</definedName>
    <definedName name="sollimp" localSheetId="0">[1]Insumos!#REF!</definedName>
    <definedName name="sollimp">[1]Insumos!#REF!</definedName>
    <definedName name="srv" localSheetId="0">[1]Insumos!#REF!</definedName>
    <definedName name="srv">[1]Insumos!#REF!</definedName>
    <definedName name="sum" localSheetId="0">[1]Insumos!#REF!</definedName>
    <definedName name="sum">[1]Insumos!#REF!</definedName>
    <definedName name="svt" localSheetId="0">[1]Insumos!#REF!</definedName>
    <definedName name="svt">[1]Insumos!#REF!</definedName>
    <definedName name="sxo" localSheetId="0">[1]Insumos!#REF!</definedName>
    <definedName name="sxo">[1]Insumos!#REF!</definedName>
    <definedName name="tbv" localSheetId="0">[1]Insumos!#REF!</definedName>
    <definedName name="tbv">[1]Insumos!#REF!</definedName>
    <definedName name="tbv_5">#REF!</definedName>
    <definedName name="ted" localSheetId="0">[1]Insumos!#REF!</definedName>
    <definedName name="ted">[1]Insumos!#REF!</definedName>
    <definedName name="ter" localSheetId="0">[1]Insumos!#REF!</definedName>
    <definedName name="ter">[1]Insumos!#REF!</definedName>
    <definedName name="tes" localSheetId="0">[1]Insumos!#REF!</definedName>
    <definedName name="tes">[1]Insumos!#REF!</definedName>
    <definedName name="tic">NA()</definedName>
    <definedName name="TID">#REF!</definedName>
    <definedName name="TID_2">#REF!</definedName>
    <definedName name="_xlnm.Print_Titles" localSheetId="2">INSUMOS!$2:$10</definedName>
    <definedName name="_xlnm.Print_Titles" localSheetId="0">'Planilha Orçamentária'!$B:$G,'Planilha Orçamentária'!$2:$19</definedName>
    <definedName name="tjc" localSheetId="0">[1]Insumos!#REF!</definedName>
    <definedName name="tjc">[1]Insumos!#REF!</definedName>
    <definedName name="tjf" localSheetId="0">[1]Insumos!#REF!</definedName>
    <definedName name="tjf">[1]Insumos!#REF!</definedName>
    <definedName name="tlc" localSheetId="0">[1]Insumos!#REF!</definedName>
    <definedName name="tlc">[1]Insumos!#REF!</definedName>
    <definedName name="tlf" localSheetId="0">[1]Insumos!#REF!</definedName>
    <definedName name="tlf">[1]Insumos!#REF!</definedName>
    <definedName name="tnp1_2" localSheetId="0">[1]Insumos!#REF!</definedName>
    <definedName name="tnp1_2">[1]Insumos!#REF!</definedName>
    <definedName name="tof" localSheetId="0">[1]Insumos!#REF!</definedName>
    <definedName name="tof">[1]Insumos!#REF!</definedName>
    <definedName name="TOT">#REF!</definedName>
    <definedName name="TOT_2">#REF!</definedName>
    <definedName name="tp6_12" localSheetId="0">[1]Insumos!#REF!</definedName>
    <definedName name="tp6_12">[1]Insumos!#REF!</definedName>
    <definedName name="tp6_16" localSheetId="0">[1]Insumos!#REF!</definedName>
    <definedName name="tp6_16">[1]Insumos!#REF!</definedName>
    <definedName name="TPI">#REF!</definedName>
    <definedName name="tpl1_2" localSheetId="0">[1]Insumos!#REF!</definedName>
    <definedName name="tpl1_2">[1]Insumos!#REF!</definedName>
    <definedName name="tpmfs" localSheetId="0">[1]Insumos!#REF!</definedName>
    <definedName name="tpmfs">[1]Insumos!#REF!</definedName>
    <definedName name="TPP">#REF!</definedName>
    <definedName name="trb" localSheetId="0">[1]Insumos!#REF!</definedName>
    <definedName name="trb">[1]Insumos!#REF!</definedName>
    <definedName name="tre" localSheetId="0">[1]Insumos!#REF!</definedName>
    <definedName name="tre">[1]Insumos!#REF!</definedName>
    <definedName name="ttc" localSheetId="0">[1]Insumos!#REF!</definedName>
    <definedName name="ttc">[1]Insumos!#REF!</definedName>
    <definedName name="tte" localSheetId="0">[1]Insumos!#REF!</definedName>
    <definedName name="tte">[1]Insumos!#REF!</definedName>
    <definedName name="tus" localSheetId="0">[1]Insumos!#REF!</definedName>
    <definedName name="tus">[1]Insumos!#REF!</definedName>
    <definedName name="tuso" localSheetId="0">[1]Insumos!#REF!</definedName>
    <definedName name="tuso">[1]Insumos!#REF!</definedName>
    <definedName name="USS">#REF!</definedName>
    <definedName name="v60120_" localSheetId="0">[1]Insumos!#REF!</definedName>
    <definedName name="v60120_">[1]Insumos!#REF!</definedName>
    <definedName name="VII">#REF!</definedName>
    <definedName name="VIP">#REF!</definedName>
    <definedName name="VLR">#REF!</definedName>
    <definedName name="vsb" localSheetId="0">[1]Insumos!#REF!</definedName>
    <definedName name="vsb">[1]Insumos!#REF!</definedName>
    <definedName name="zar" localSheetId="0">[1]Insumos!#REF!</definedName>
    <definedName name="zar">[1]Insumos!#REF!</definedName>
  </definedNames>
  <calcPr calcId="145621" fullPrecision="0"/>
</workbook>
</file>

<file path=xl/calcChain.xml><?xml version="1.0" encoding="utf-8"?>
<calcChain xmlns="http://schemas.openxmlformats.org/spreadsheetml/2006/main">
  <c r="C35" i="11" l="1"/>
  <c r="E33" i="11"/>
  <c r="F33" i="10" l="1"/>
  <c r="F50" i="10" l="1"/>
  <c r="F51" i="10" s="1"/>
  <c r="F112" i="10"/>
  <c r="F108" i="10"/>
  <c r="F100" i="10"/>
  <c r="F96" i="10"/>
  <c r="F58" i="10"/>
  <c r="F54" i="10"/>
  <c r="F55" i="10"/>
  <c r="F111" i="10"/>
  <c r="F105" i="10"/>
  <c r="F99" i="10"/>
  <c r="F95" i="10"/>
  <c r="F61" i="10"/>
  <c r="F57" i="10"/>
  <c r="F52" i="10"/>
  <c r="F53" i="10" s="1"/>
  <c r="F103" i="10"/>
  <c r="F59" i="10"/>
  <c r="F110" i="10"/>
  <c r="F104" i="10"/>
  <c r="F98" i="10"/>
  <c r="F60" i="10"/>
  <c r="F56" i="10"/>
  <c r="F109" i="10"/>
  <c r="F97" i="10"/>
  <c r="F43" i="10"/>
  <c r="F47" i="10"/>
  <c r="F44" i="10"/>
  <c r="F48" i="10"/>
  <c r="F45" i="10"/>
  <c r="F49" i="10"/>
  <c r="F46" i="10"/>
  <c r="F93" i="10" l="1"/>
  <c r="F92" i="10"/>
  <c r="F91" i="10"/>
  <c r="F90" i="10"/>
  <c r="F89" i="10"/>
  <c r="F88" i="10"/>
  <c r="F84" i="10"/>
  <c r="F85" i="10" s="1"/>
  <c r="F83" i="10"/>
  <c r="F82" i="10"/>
  <c r="F81" i="10"/>
  <c r="F86" i="10" s="1"/>
  <c r="F79" i="10"/>
  <c r="F78" i="10"/>
  <c r="F77" i="10"/>
  <c r="F76" i="10"/>
  <c r="F72" i="10"/>
  <c r="F65" i="10"/>
  <c r="F63" i="10"/>
  <c r="F68" i="10" s="1"/>
  <c r="F69" i="10" s="1"/>
  <c r="F64" i="10"/>
  <c r="F66" i="10"/>
  <c r="F67" i="10" s="1"/>
  <c r="F70" i="10"/>
  <c r="F71" i="10"/>
  <c r="F73" i="10"/>
  <c r="F74" i="10"/>
  <c r="F75" i="10"/>
  <c r="F41" i="10"/>
  <c r="F40" i="10"/>
  <c r="F39" i="10"/>
  <c r="F38" i="10"/>
  <c r="F37" i="10"/>
  <c r="F35" i="10"/>
  <c r="F34" i="10"/>
  <c r="F31" i="10"/>
  <c r="F30" i="10"/>
  <c r="F32" i="10" s="1"/>
  <c r="F29" i="10"/>
  <c r="F28" i="10"/>
  <c r="F27" i="10"/>
  <c r="F36" i="10" s="1"/>
  <c r="D35" i="13"/>
  <c r="D27" i="13"/>
  <c r="D29" i="12"/>
  <c r="D22" i="12"/>
  <c r="F101" i="10"/>
  <c r="H1234" i="2"/>
  <c r="H1236" i="2"/>
  <c r="H1240" i="2" l="1"/>
  <c r="I1240" i="2" s="1"/>
  <c r="D29" i="13" l="1"/>
  <c r="D22" i="13"/>
  <c r="D24" i="12"/>
  <c r="D18" i="12"/>
  <c r="H1305" i="2"/>
  <c r="H1304" i="2"/>
  <c r="H1296" i="2"/>
  <c r="H1295" i="2"/>
  <c r="H1294" i="2"/>
  <c r="H1277" i="2"/>
  <c r="H1276" i="2"/>
  <c r="H1275" i="2"/>
  <c r="G1263" i="2"/>
  <c r="G1262" i="2"/>
  <c r="E123" i="5"/>
  <c r="H1250" i="2"/>
  <c r="H1249" i="2"/>
  <c r="H1248" i="2"/>
  <c r="H1239" i="2"/>
  <c r="H1238" i="2"/>
  <c r="H1237" i="2"/>
  <c r="H1235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I1222" i="2" s="1"/>
  <c r="H125" i="2" l="1"/>
  <c r="H1206" i="2" l="1"/>
  <c r="H1205" i="2"/>
  <c r="H1204" i="2"/>
  <c r="H1195" i="2"/>
  <c r="H1194" i="2"/>
  <c r="H1193" i="2"/>
  <c r="H1192" i="2"/>
  <c r="H1191" i="2"/>
  <c r="H1190" i="2"/>
  <c r="H930" i="2"/>
  <c r="H898" i="2"/>
  <c r="H737" i="2"/>
  <c r="G725" i="2"/>
  <c r="H713" i="2"/>
  <c r="H712" i="2"/>
  <c r="H704" i="2"/>
  <c r="H703" i="2"/>
  <c r="G699" i="2"/>
  <c r="H1196" i="2"/>
  <c r="E120" i="5"/>
  <c r="H687" i="2"/>
  <c r="H686" i="2"/>
  <c r="H678" i="2"/>
  <c r="H662" i="2"/>
  <c r="H661" i="2"/>
  <c r="H653" i="2"/>
  <c r="H637" i="2"/>
  <c r="H636" i="2"/>
  <c r="H628" i="2"/>
  <c r="H627" i="2"/>
  <c r="H626" i="2"/>
  <c r="H610" i="2"/>
  <c r="H609" i="2"/>
  <c r="H608" i="2"/>
  <c r="G596" i="2"/>
  <c r="G595" i="2"/>
  <c r="H583" i="2"/>
  <c r="H582" i="2"/>
  <c r="H581" i="2"/>
  <c r="G569" i="2"/>
  <c r="G568" i="2"/>
  <c r="H556" i="2"/>
  <c r="H555" i="2"/>
  <c r="H554" i="2"/>
  <c r="H546" i="2"/>
  <c r="H545" i="2"/>
  <c r="G541" i="2"/>
  <c r="H440" i="2"/>
  <c r="H74" i="2"/>
  <c r="H73" i="2"/>
  <c r="H65" i="2"/>
  <c r="H64" i="2"/>
  <c r="I64" i="2" s="1"/>
  <c r="H63" i="2"/>
  <c r="H62" i="2"/>
  <c r="H100" i="2"/>
  <c r="I100" i="2" s="1"/>
  <c r="G86" i="2"/>
  <c r="I86" i="2" s="1"/>
  <c r="I87" i="2" s="1"/>
  <c r="H92" i="2"/>
  <c r="I92" i="2" s="1"/>
  <c r="H91" i="2"/>
  <c r="I91" i="2" s="1"/>
  <c r="H90" i="2"/>
  <c r="I90" i="2" s="1"/>
  <c r="I93" i="2" l="1"/>
  <c r="I101" i="2"/>
  <c r="H1409" i="2"/>
  <c r="I1409" i="2" s="1"/>
  <c r="H1408" i="2"/>
  <c r="I1408" i="2" s="1"/>
  <c r="H1400" i="2"/>
  <c r="I1400" i="2" s="1"/>
  <c r="H1399" i="2"/>
  <c r="I1399" i="2" s="1"/>
  <c r="H1398" i="2"/>
  <c r="I1398" i="2" s="1"/>
  <c r="H1397" i="2"/>
  <c r="I1397" i="2" s="1"/>
  <c r="H1393" i="2"/>
  <c r="I1393" i="2" s="1"/>
  <c r="I1394" i="2" s="1"/>
  <c r="H1382" i="2"/>
  <c r="I1382" i="2" s="1"/>
  <c r="H1381" i="2"/>
  <c r="I1381" i="2" s="1"/>
  <c r="H1373" i="2"/>
  <c r="I1373" i="2" s="1"/>
  <c r="H1372" i="2"/>
  <c r="I1372" i="2" s="1"/>
  <c r="H1321" i="2"/>
  <c r="I1321" i="2" s="1"/>
  <c r="I1322" i="2" s="1"/>
  <c r="H1347" i="2"/>
  <c r="I1347" i="2" s="1"/>
  <c r="I1348" i="2" s="1"/>
  <c r="H1330" i="2"/>
  <c r="I1330" i="2" s="1"/>
  <c r="H1356" i="2"/>
  <c r="I1356" i="2" s="1"/>
  <c r="H1355" i="2"/>
  <c r="I1355" i="2" s="1"/>
  <c r="H1329" i="2"/>
  <c r="I1329" i="2" s="1"/>
  <c r="H1174" i="2"/>
  <c r="E23" i="5"/>
  <c r="E22" i="5"/>
  <c r="I74" i="2"/>
  <c r="I73" i="2"/>
  <c r="I65" i="2"/>
  <c r="I63" i="2"/>
  <c r="I62" i="2"/>
  <c r="I1305" i="2"/>
  <c r="I1304" i="2"/>
  <c r="I1296" i="2"/>
  <c r="I1295" i="2"/>
  <c r="I1294" i="2"/>
  <c r="I1277" i="2"/>
  <c r="I1276" i="2"/>
  <c r="I1275" i="2"/>
  <c r="I1263" i="2"/>
  <c r="I1262" i="2"/>
  <c r="I1250" i="2"/>
  <c r="I1249" i="2"/>
  <c r="I1248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06" i="2"/>
  <c r="I1205" i="2"/>
  <c r="I1204" i="2"/>
  <c r="I1196" i="2"/>
  <c r="I1195" i="2"/>
  <c r="I1194" i="2"/>
  <c r="I737" i="2"/>
  <c r="I725" i="2"/>
  <c r="I726" i="2" s="1"/>
  <c r="I713" i="2"/>
  <c r="I712" i="2"/>
  <c r="I704" i="2"/>
  <c r="I703" i="2"/>
  <c r="I699" i="2"/>
  <c r="I700" i="2" s="1"/>
  <c r="I687" i="2"/>
  <c r="I686" i="2"/>
  <c r="I678" i="2"/>
  <c r="I679" i="2" s="1"/>
  <c r="I662" i="2"/>
  <c r="I661" i="2"/>
  <c r="I653" i="2"/>
  <c r="I654" i="2" s="1"/>
  <c r="I637" i="2"/>
  <c r="I636" i="2"/>
  <c r="I628" i="2"/>
  <c r="I627" i="2"/>
  <c r="I626" i="2"/>
  <c r="I610" i="2"/>
  <c r="I609" i="2"/>
  <c r="I608" i="2"/>
  <c r="I596" i="2"/>
  <c r="I595" i="2"/>
  <c r="I583" i="2"/>
  <c r="I582" i="2"/>
  <c r="I581" i="2"/>
  <c r="I569" i="2"/>
  <c r="I568" i="2"/>
  <c r="I556" i="2"/>
  <c r="I555" i="2"/>
  <c r="I554" i="2"/>
  <c r="I546" i="2"/>
  <c r="I545" i="2"/>
  <c r="I541" i="2"/>
  <c r="I542" i="2" s="1"/>
  <c r="I125" i="2"/>
  <c r="I117" i="2"/>
  <c r="F106" i="10"/>
  <c r="F107" i="10" s="1"/>
  <c r="F87" i="10"/>
  <c r="D40" i="13"/>
  <c r="D32" i="13"/>
  <c r="D24" i="13"/>
  <c r="D10" i="13"/>
  <c r="D34" i="12"/>
  <c r="D27" i="12"/>
  <c r="D20" i="12"/>
  <c r="D9" i="12"/>
  <c r="D15" i="12" s="1"/>
  <c r="I1241" i="2" l="1"/>
  <c r="I1297" i="2"/>
  <c r="I1264" i="2"/>
  <c r="I714" i="2"/>
  <c r="I705" i="2"/>
  <c r="I629" i="2"/>
  <c r="I597" i="2"/>
  <c r="I570" i="2"/>
  <c r="I547" i="2"/>
  <c r="I102" i="2"/>
  <c r="I103" i="2" s="1"/>
  <c r="I1410" i="2"/>
  <c r="I1401" i="2"/>
  <c r="I1374" i="2"/>
  <c r="I1383" i="2"/>
  <c r="I1357" i="2"/>
  <c r="I1358" i="2" s="1"/>
  <c r="I1359" i="2" s="1"/>
  <c r="I1191" i="2"/>
  <c r="I1193" i="2"/>
  <c r="I1331" i="2"/>
  <c r="I66" i="2"/>
  <c r="I75" i="2"/>
  <c r="I1190" i="2"/>
  <c r="I1192" i="2"/>
  <c r="I1278" i="2"/>
  <c r="I1279" i="2" s="1"/>
  <c r="I1280" i="2" s="1"/>
  <c r="I1306" i="2"/>
  <c r="I1251" i="2"/>
  <c r="I1207" i="2"/>
  <c r="I738" i="2"/>
  <c r="I739" i="2" s="1"/>
  <c r="I740" i="2" s="1"/>
  <c r="I688" i="2"/>
  <c r="I689" i="2" s="1"/>
  <c r="I690" i="2" s="1"/>
  <c r="I663" i="2"/>
  <c r="I664" i="2" s="1"/>
  <c r="I665" i="2" s="1"/>
  <c r="I638" i="2"/>
  <c r="I611" i="2"/>
  <c r="I584" i="2"/>
  <c r="I557" i="2"/>
  <c r="I126" i="2"/>
  <c r="I118" i="2"/>
  <c r="D18" i="13"/>
  <c r="D14" i="13"/>
  <c r="D46" i="13" s="1"/>
  <c r="D12" i="12"/>
  <c r="D39" i="12" s="1"/>
  <c r="G113" i="2" l="1"/>
  <c r="I113" i="2" s="1"/>
  <c r="I114" i="2" s="1"/>
  <c r="I127" i="2" s="1"/>
  <c r="I128" i="2" s="1"/>
  <c r="D47" i="13"/>
  <c r="I1307" i="2"/>
  <c r="I1308" i="2" s="1"/>
  <c r="I1252" i="2"/>
  <c r="I1253" i="2" s="1"/>
  <c r="I1197" i="2"/>
  <c r="I1208" i="2" s="1"/>
  <c r="I1209" i="2" s="1"/>
  <c r="I612" i="2"/>
  <c r="I613" i="2" s="1"/>
  <c r="I715" i="2"/>
  <c r="I716" i="2" s="1"/>
  <c r="I639" i="2"/>
  <c r="I640" i="2" s="1"/>
  <c r="I585" i="2"/>
  <c r="I586" i="2" s="1"/>
  <c r="I558" i="2"/>
  <c r="I559" i="2" s="1"/>
  <c r="H69" i="2"/>
  <c r="I69" i="2" s="1"/>
  <c r="I70" i="2" s="1"/>
  <c r="I76" i="2" s="1"/>
  <c r="I77" i="2" s="1"/>
  <c r="I1411" i="2"/>
  <c r="I1412" i="2" s="1"/>
  <c r="H1027" i="2" s="1"/>
  <c r="I1384" i="2"/>
  <c r="I1385" i="2" s="1"/>
  <c r="H971" i="2" s="1"/>
  <c r="H877" i="2"/>
  <c r="I1332" i="2"/>
  <c r="I1333" i="2" s="1"/>
  <c r="D50" i="13"/>
  <c r="D42" i="12"/>
  <c r="D38" i="12"/>
  <c r="H24" i="10" s="1"/>
  <c r="D51" i="13" l="1"/>
  <c r="H1140" i="2"/>
  <c r="H998" i="2"/>
  <c r="H758" i="2"/>
  <c r="D41" i="12"/>
  <c r="H933" i="2" l="1"/>
  <c r="H753" i="2"/>
  <c r="H1148" i="2" l="1"/>
  <c r="H1147" i="2"/>
  <c r="H1034" i="2"/>
  <c r="I1034" i="2" s="1"/>
  <c r="H1005" i="2"/>
  <c r="H1035" i="2"/>
  <c r="I1035" i="2" s="1"/>
  <c r="H1006" i="2"/>
  <c r="D1071" i="2"/>
  <c r="I1148" i="2" l="1"/>
  <c r="I1147" i="2"/>
  <c r="I1006" i="2"/>
  <c r="I1005" i="2"/>
  <c r="H795" i="2" l="1"/>
  <c r="I795" i="2" s="1"/>
  <c r="D930" i="2" l="1"/>
  <c r="H931" i="2"/>
  <c r="H932" i="2"/>
  <c r="D1093" i="2"/>
  <c r="D1092" i="2"/>
  <c r="D1091" i="2"/>
  <c r="H1093" i="2"/>
  <c r="H1092" i="2"/>
  <c r="H1091" i="2"/>
  <c r="H1090" i="2"/>
  <c r="H1089" i="2"/>
  <c r="D1090" i="2"/>
  <c r="D1089" i="2"/>
  <c r="D1081" i="2"/>
  <c r="D1080" i="2"/>
  <c r="D1079" i="2"/>
  <c r="D1078" i="2"/>
  <c r="H1081" i="2"/>
  <c r="H1080" i="2"/>
  <c r="H1079" i="2"/>
  <c r="H1078" i="2"/>
  <c r="H1077" i="2"/>
  <c r="D1077" i="2"/>
  <c r="H1076" i="2"/>
  <c r="D1076" i="2"/>
  <c r="D1075" i="2"/>
  <c r="H1075" i="2"/>
  <c r="G1071" i="2"/>
  <c r="H976" i="2" l="1"/>
  <c r="H975" i="2"/>
  <c r="H964" i="2"/>
  <c r="H963" i="2"/>
  <c r="H962" i="2"/>
  <c r="H961" i="2"/>
  <c r="H945" i="2" l="1"/>
  <c r="H944" i="2"/>
  <c r="H936" i="2"/>
  <c r="H935" i="2"/>
  <c r="H934" i="2"/>
  <c r="I976" i="2" l="1"/>
  <c r="I975" i="2"/>
  <c r="I971" i="2"/>
  <c r="D970" i="2"/>
  <c r="I964" i="2"/>
  <c r="I963" i="2"/>
  <c r="I962" i="2"/>
  <c r="I961" i="2"/>
  <c r="I945" i="2"/>
  <c r="I944" i="2"/>
  <c r="I936" i="2"/>
  <c r="I935" i="2"/>
  <c r="I934" i="2"/>
  <c r="I933" i="2"/>
  <c r="I932" i="2"/>
  <c r="I931" i="2"/>
  <c r="I930" i="2"/>
  <c r="I965" i="2" l="1"/>
  <c r="I946" i="2"/>
  <c r="I937" i="2"/>
  <c r="I977" i="2"/>
  <c r="I1093" i="2"/>
  <c r="I1092" i="2"/>
  <c r="I1091" i="2"/>
  <c r="I1090" i="2"/>
  <c r="I1089" i="2"/>
  <c r="I1081" i="2"/>
  <c r="I1080" i="2"/>
  <c r="I1079" i="2"/>
  <c r="I1078" i="2"/>
  <c r="I1077" i="2"/>
  <c r="I1076" i="2"/>
  <c r="I1071" i="2"/>
  <c r="I1072" i="2" s="1"/>
  <c r="H855" i="2"/>
  <c r="I855" i="2" s="1"/>
  <c r="I856" i="2" s="1"/>
  <c r="I947" i="2" l="1"/>
  <c r="I948" i="2" s="1"/>
  <c r="I1075" i="2"/>
  <c r="I1082" i="2" s="1"/>
  <c r="I1094" i="2"/>
  <c r="I857" i="2"/>
  <c r="I858" i="2" s="1"/>
  <c r="I1095" i="2" l="1"/>
  <c r="I1096" i="2" s="1"/>
  <c r="H831" i="2" l="1"/>
  <c r="I831" i="2" s="1"/>
  <c r="I832" i="2" l="1"/>
  <c r="I833" i="2" s="1"/>
  <c r="I834" i="2" s="1"/>
  <c r="H970" i="2" s="1"/>
  <c r="I970" i="2" s="1"/>
  <c r="H314" i="2"/>
  <c r="I314" i="2" s="1"/>
  <c r="H306" i="2"/>
  <c r="I306" i="2" s="1"/>
  <c r="H305" i="2"/>
  <c r="I305" i="2" s="1"/>
  <c r="G301" i="2"/>
  <c r="I301" i="2" s="1"/>
  <c r="I302" i="2" s="1"/>
  <c r="H1119" i="2"/>
  <c r="I1119" i="2" s="1"/>
  <c r="H1118" i="2"/>
  <c r="I1118" i="2" s="1"/>
  <c r="H1117" i="2"/>
  <c r="I1117" i="2" s="1"/>
  <c r="H1109" i="2"/>
  <c r="I1109" i="2" s="1"/>
  <c r="I1110" i="2" s="1"/>
  <c r="I1174" i="2"/>
  <c r="H1173" i="2"/>
  <c r="I1173" i="2" s="1"/>
  <c r="H1165" i="2"/>
  <c r="I1165" i="2" s="1"/>
  <c r="H1164" i="2"/>
  <c r="I1164" i="2" s="1"/>
  <c r="H1059" i="2"/>
  <c r="H1058" i="2"/>
  <c r="I1058" i="2" s="1"/>
  <c r="H882" i="2"/>
  <c r="H881" i="2"/>
  <c r="H873" i="2"/>
  <c r="H872" i="2"/>
  <c r="H871" i="2"/>
  <c r="H177" i="2"/>
  <c r="H233" i="2"/>
  <c r="H232" i="2"/>
  <c r="H231" i="2"/>
  <c r="H222" i="2"/>
  <c r="H223" i="2"/>
  <c r="H221" i="2"/>
  <c r="G217" i="2"/>
  <c r="G216" i="2"/>
  <c r="H340" i="2"/>
  <c r="H339" i="2"/>
  <c r="H331" i="2"/>
  <c r="H330" i="2"/>
  <c r="G326" i="2"/>
  <c r="H763" i="2"/>
  <c r="H762" i="2"/>
  <c r="H754" i="2"/>
  <c r="H393" i="2"/>
  <c r="H392" i="2"/>
  <c r="H384" i="2"/>
  <c r="H383" i="2"/>
  <c r="H382" i="2"/>
  <c r="H366" i="2"/>
  <c r="H365" i="2"/>
  <c r="H357" i="2"/>
  <c r="H356" i="2"/>
  <c r="G352" i="2"/>
  <c r="H915" i="2"/>
  <c r="H914" i="2"/>
  <c r="H906" i="2"/>
  <c r="H905" i="2"/>
  <c r="H904" i="2"/>
  <c r="H903" i="2"/>
  <c r="H902" i="2"/>
  <c r="H901" i="2"/>
  <c r="H900" i="2"/>
  <c r="H899" i="2"/>
  <c r="H1146" i="2"/>
  <c r="H1145" i="2"/>
  <c r="H1136" i="2"/>
  <c r="H1135" i="2"/>
  <c r="G1131" i="2"/>
  <c r="H1033" i="2"/>
  <c r="H1032" i="2"/>
  <c r="H1023" i="2"/>
  <c r="H1022" i="2"/>
  <c r="H1021" i="2"/>
  <c r="G1017" i="2"/>
  <c r="H1004" i="2"/>
  <c r="H1003" i="2"/>
  <c r="I307" i="2" l="1"/>
  <c r="I315" i="2"/>
  <c r="I1120" i="2"/>
  <c r="I1166" i="2"/>
  <c r="I1175" i="2"/>
  <c r="I316" i="2" l="1"/>
  <c r="I317" i="2" s="1"/>
  <c r="I1176" i="2"/>
  <c r="I1177" i="2" s="1"/>
  <c r="H969" i="2" s="1"/>
  <c r="I969" i="2" s="1"/>
  <c r="H1028" i="2" l="1"/>
  <c r="H999" i="2"/>
  <c r="H1141" i="2"/>
  <c r="H1113" i="2"/>
  <c r="I1113" i="2" s="1"/>
  <c r="I1114" i="2" s="1"/>
  <c r="I1121" i="2" s="1"/>
  <c r="I1122" i="2" s="1"/>
  <c r="H994" i="2" l="1"/>
  <c r="H993" i="2"/>
  <c r="H992" i="2"/>
  <c r="G988" i="2"/>
  <c r="H289" i="2"/>
  <c r="H288" i="2"/>
  <c r="H280" i="2"/>
  <c r="H279" i="2"/>
  <c r="H528" i="2"/>
  <c r="H202" i="2" l="1"/>
  <c r="G189" i="2"/>
  <c r="G140" i="2"/>
  <c r="G33" i="2" l="1"/>
  <c r="G7" i="2"/>
  <c r="G6" i="2"/>
  <c r="D18" i="11" l="1"/>
  <c r="H18" i="11" s="1"/>
  <c r="H28" i="11"/>
  <c r="E24" i="11"/>
  <c r="H20" i="11" s="1"/>
  <c r="H22" i="11"/>
  <c r="E14" i="11"/>
  <c r="H14" i="11" l="1"/>
  <c r="C36" i="11" l="1"/>
  <c r="D54" i="13" l="1"/>
  <c r="D55" i="13"/>
  <c r="D44" i="12"/>
  <c r="C104" i="2"/>
  <c r="I104" i="2" s="1"/>
  <c r="I105" i="2" s="1"/>
  <c r="C1360" i="2"/>
  <c r="I1360" i="2" s="1"/>
  <c r="I1361" i="2" s="1"/>
  <c r="C1210" i="2"/>
  <c r="I1210" i="2" s="1"/>
  <c r="I1211" i="2" s="1"/>
  <c r="H82" i="10" s="1"/>
  <c r="C1097" i="2"/>
  <c r="I1097" i="2" s="1"/>
  <c r="I1098" i="2" s="1"/>
  <c r="C980" i="2"/>
  <c r="C859" i="2"/>
  <c r="I859" i="2" s="1"/>
  <c r="I860" i="2" s="1"/>
  <c r="C741" i="2"/>
  <c r="I741" i="2" s="1"/>
  <c r="I742" i="2" s="1"/>
  <c r="H57" i="10" s="1"/>
  <c r="C560" i="2"/>
  <c r="I560" i="2" s="1"/>
  <c r="I561" i="2" s="1"/>
  <c r="H45" i="10" s="1"/>
  <c r="C449" i="2"/>
  <c r="C344" i="2"/>
  <c r="C266" i="2"/>
  <c r="C129" i="2"/>
  <c r="I129" i="2" s="1"/>
  <c r="I130" i="2" s="1"/>
  <c r="C78" i="2"/>
  <c r="I78" i="2" s="1"/>
  <c r="I79" i="2" s="1"/>
  <c r="H23" i="10" s="1"/>
  <c r="C1010" i="2"/>
  <c r="C666" i="2"/>
  <c r="I666" i="2" s="1"/>
  <c r="I667" i="2" s="1"/>
  <c r="H52" i="10" s="1"/>
  <c r="C370" i="2"/>
  <c r="C157" i="2"/>
  <c r="C1413" i="2"/>
  <c r="I1413" i="2" s="1"/>
  <c r="I1414" i="2" s="1"/>
  <c r="C1309" i="2"/>
  <c r="I1309" i="2" s="1"/>
  <c r="I1310" i="2" s="1"/>
  <c r="H112" i="10" s="1"/>
  <c r="C1178" i="2"/>
  <c r="I1178" i="2" s="1"/>
  <c r="I1179" i="2" s="1"/>
  <c r="C1063" i="2"/>
  <c r="C949" i="2"/>
  <c r="I949" i="2" s="1"/>
  <c r="I950" i="2" s="1"/>
  <c r="C835" i="2"/>
  <c r="I835" i="2" s="1"/>
  <c r="I836" i="2" s="1"/>
  <c r="C717" i="2"/>
  <c r="I717" i="2" s="1"/>
  <c r="I718" i="2" s="1"/>
  <c r="H56" i="10" s="1"/>
  <c r="C641" i="2"/>
  <c r="I641" i="2" s="1"/>
  <c r="I642" i="2" s="1"/>
  <c r="H49" i="10" s="1"/>
  <c r="C533" i="2"/>
  <c r="C424" i="2"/>
  <c r="C318" i="2"/>
  <c r="I318" i="2" s="1"/>
  <c r="I319" i="2" s="1"/>
  <c r="C208" i="2"/>
  <c r="C50" i="2"/>
  <c r="C1123" i="2"/>
  <c r="I1123" i="2" s="1"/>
  <c r="I1124" i="2" s="1"/>
  <c r="C767" i="2"/>
  <c r="C587" i="2"/>
  <c r="I587" i="2" s="1"/>
  <c r="I588" i="2" s="1"/>
  <c r="H46" i="10" s="1"/>
  <c r="C237" i="2"/>
  <c r="C1386" i="2"/>
  <c r="I1386" i="2" s="1"/>
  <c r="I1387" i="2" s="1"/>
  <c r="C1334" i="2"/>
  <c r="I1334" i="2" s="1"/>
  <c r="I1335" i="2" s="1"/>
  <c r="E6" i="5"/>
  <c r="C1281" i="2"/>
  <c r="I1281" i="2" s="1"/>
  <c r="I1282" i="2" s="1"/>
  <c r="H99" i="10" s="1"/>
  <c r="C1152" i="2"/>
  <c r="C1039" i="2"/>
  <c r="C919" i="2"/>
  <c r="C811" i="2"/>
  <c r="C691" i="2"/>
  <c r="I691" i="2" s="1"/>
  <c r="I692" i="2" s="1"/>
  <c r="H53" i="10" s="1"/>
  <c r="C614" i="2"/>
  <c r="I614" i="2" s="1"/>
  <c r="I615" i="2" s="1"/>
  <c r="H47" i="10" s="1"/>
  <c r="C501" i="2"/>
  <c r="C397" i="2"/>
  <c r="C293" i="2"/>
  <c r="C181" i="2"/>
  <c r="C24" i="2"/>
  <c r="C1254" i="2"/>
  <c r="I1254" i="2" s="1"/>
  <c r="I1255" i="2" s="1"/>
  <c r="H98" i="10" s="1"/>
  <c r="C886" i="2"/>
  <c r="C475" i="2"/>
  <c r="D45" i="12"/>
  <c r="I1059" i="2"/>
  <c r="I882" i="2"/>
  <c r="I881" i="2"/>
  <c r="I873" i="2"/>
  <c r="I872" i="2"/>
  <c r="I871" i="2"/>
  <c r="I867" i="2"/>
  <c r="I868" i="2" s="1"/>
  <c r="I177" i="2"/>
  <c r="I178" i="2" s="1"/>
  <c r="I233" i="2"/>
  <c r="I232" i="2"/>
  <c r="I231" i="2"/>
  <c r="I223" i="2"/>
  <c r="I222" i="2"/>
  <c r="I221" i="2"/>
  <c r="I217" i="2"/>
  <c r="I216" i="2"/>
  <c r="I340" i="2"/>
  <c r="I339" i="2"/>
  <c r="I331" i="2"/>
  <c r="I330" i="2"/>
  <c r="I326" i="2"/>
  <c r="I327" i="2" s="1"/>
  <c r="H90" i="10" l="1"/>
  <c r="H104" i="10"/>
  <c r="H72" i="10"/>
  <c r="H33" i="10"/>
  <c r="H51" i="10"/>
  <c r="I132" i="2"/>
  <c r="H25" i="10" s="1"/>
  <c r="H78" i="10"/>
  <c r="H111" i="10"/>
  <c r="H77" i="10"/>
  <c r="H96" i="10"/>
  <c r="I341" i="2"/>
  <c r="I874" i="2"/>
  <c r="I224" i="2"/>
  <c r="I218" i="2"/>
  <c r="I1060" i="2"/>
  <c r="I332" i="2"/>
  <c r="I179" i="2"/>
  <c r="I883" i="2"/>
  <c r="I234" i="2"/>
  <c r="H84" i="10" l="1"/>
  <c r="H106" i="10"/>
  <c r="H86" i="10"/>
  <c r="H107" i="10"/>
  <c r="H87" i="10"/>
  <c r="I180" i="2"/>
  <c r="I181" i="2" s="1"/>
  <c r="I342" i="2"/>
  <c r="I343" i="2" s="1"/>
  <c r="I344" i="2" s="1"/>
  <c r="I345" i="2" s="1"/>
  <c r="I1061" i="2"/>
  <c r="I235" i="2"/>
  <c r="I236" i="2" s="1"/>
  <c r="I763" i="2"/>
  <c r="I762" i="2"/>
  <c r="I758" i="2"/>
  <c r="I759" i="2" s="1"/>
  <c r="I754" i="2"/>
  <c r="I753" i="2"/>
  <c r="I393" i="2"/>
  <c r="I392" i="2"/>
  <c r="I384" i="2"/>
  <c r="I383" i="2"/>
  <c r="I382" i="2"/>
  <c r="I366" i="2"/>
  <c r="I365" i="2"/>
  <c r="I357" i="2"/>
  <c r="I356" i="2"/>
  <c r="I352" i="2"/>
  <c r="I353" i="2" s="1"/>
  <c r="I1146" i="2"/>
  <c r="I1145" i="2"/>
  <c r="I1141" i="2"/>
  <c r="I1140" i="2"/>
  <c r="I1136" i="2"/>
  <c r="I1135" i="2"/>
  <c r="I1131" i="2"/>
  <c r="I1132" i="2" s="1"/>
  <c r="I1004" i="2"/>
  <c r="I1003" i="2"/>
  <c r="I999" i="2"/>
  <c r="I998" i="2"/>
  <c r="I994" i="2"/>
  <c r="I993" i="2"/>
  <c r="I992" i="2"/>
  <c r="I988" i="2"/>
  <c r="I989" i="2" s="1"/>
  <c r="I915" i="2"/>
  <c r="I914" i="2"/>
  <c r="I906" i="2"/>
  <c r="I905" i="2"/>
  <c r="I904" i="2"/>
  <c r="I903" i="2"/>
  <c r="I902" i="2"/>
  <c r="I901" i="2"/>
  <c r="I900" i="2"/>
  <c r="I899" i="2"/>
  <c r="I898" i="2"/>
  <c r="I1033" i="2"/>
  <c r="I1032" i="2"/>
  <c r="I1028" i="2"/>
  <c r="D1027" i="2"/>
  <c r="I1027" i="2" s="1"/>
  <c r="I1023" i="2"/>
  <c r="I1022" i="2"/>
  <c r="I1021" i="2"/>
  <c r="I1017" i="2"/>
  <c r="I1018" i="2" s="1"/>
  <c r="H54" i="10" l="1"/>
  <c r="I877" i="2"/>
  <c r="I878" i="2" s="1"/>
  <c r="I884" i="2" s="1"/>
  <c r="I885" i="2" s="1"/>
  <c r="I886" i="2" s="1"/>
  <c r="I182" i="2"/>
  <c r="H83" i="10" s="1"/>
  <c r="I1062" i="2"/>
  <c r="I1063" i="2" s="1"/>
  <c r="I1000" i="2"/>
  <c r="I755" i="2"/>
  <c r="I237" i="2"/>
  <c r="I238" i="2" s="1"/>
  <c r="H30" i="10" s="1"/>
  <c r="I1029" i="2"/>
  <c r="I1142" i="2"/>
  <c r="I385" i="2"/>
  <c r="I394" i="2"/>
  <c r="I367" i="2"/>
  <c r="I907" i="2"/>
  <c r="I1024" i="2"/>
  <c r="I995" i="2"/>
  <c r="I1137" i="2"/>
  <c r="I358" i="2"/>
  <c r="I764" i="2"/>
  <c r="I1149" i="2"/>
  <c r="I1007" i="2"/>
  <c r="I916" i="2"/>
  <c r="I1036" i="2"/>
  <c r="H44" i="10" l="1"/>
  <c r="I887" i="2"/>
  <c r="I917" i="2"/>
  <c r="I918" i="2" s="1"/>
  <c r="I765" i="2"/>
  <c r="I766" i="2" s="1"/>
  <c r="I1064" i="2"/>
  <c r="H95" i="10" s="1"/>
  <c r="I1150" i="2"/>
  <c r="I1151" i="2" s="1"/>
  <c r="I1152" i="2" s="1"/>
  <c r="I395" i="2"/>
  <c r="I396" i="2" s="1"/>
  <c r="I368" i="2"/>
  <c r="I369" i="2" s="1"/>
  <c r="I1037" i="2"/>
  <c r="I1038" i="2" s="1"/>
  <c r="I1039" i="2" s="1"/>
  <c r="I1040" i="2" s="1"/>
  <c r="I1008" i="2"/>
  <c r="I1009" i="2" s="1"/>
  <c r="H88" i="10" l="1"/>
  <c r="H100" i="10"/>
  <c r="H93" i="10"/>
  <c r="H109" i="10"/>
  <c r="H76" i="10"/>
  <c r="I767" i="2"/>
  <c r="I768" i="2" s="1"/>
  <c r="I919" i="2"/>
  <c r="I920" i="2" s="1"/>
  <c r="I397" i="2"/>
  <c r="I398" i="2" s="1"/>
  <c r="I1153" i="2"/>
  <c r="I1010" i="2"/>
  <c r="I1011" i="2" s="1"/>
  <c r="I370" i="2"/>
  <c r="I371" i="2" s="1"/>
  <c r="H34" i="10"/>
  <c r="H103" i="10" l="1"/>
  <c r="H89" i="10"/>
  <c r="H92" i="10"/>
  <c r="H108" i="10"/>
  <c r="H97" i="10"/>
  <c r="H81" i="10"/>
  <c r="H79" i="10"/>
  <c r="H110" i="10"/>
  <c r="H35" i="10"/>
  <c r="H55" i="10"/>
  <c r="H36" i="10"/>
  <c r="H48" i="10"/>
  <c r="I289" i="2"/>
  <c r="I288" i="2"/>
  <c r="I280" i="2"/>
  <c r="I279" i="2"/>
  <c r="I290" i="2" l="1"/>
  <c r="H251" i="2" l="1"/>
  <c r="H194" i="2"/>
  <c r="H144" i="2"/>
  <c r="C1" i="2" l="1"/>
  <c r="E71" i="5"/>
  <c r="H278" i="2"/>
  <c r="I278" i="2" s="1"/>
  <c r="I281" i="2" s="1"/>
  <c r="I291" i="2" s="1"/>
  <c r="I292" i="2" s="1"/>
  <c r="I293" i="2" l="1"/>
  <c r="I294" i="2" s="1"/>
  <c r="H65" i="10"/>
  <c r="H66" i="10"/>
  <c r="H70" i="10"/>
  <c r="H71" i="10"/>
  <c r="H74" i="10"/>
  <c r="H75" i="10"/>
  <c r="H32" i="10" l="1"/>
  <c r="H50" i="10"/>
  <c r="H67" i="10"/>
  <c r="H68" i="10"/>
  <c r="H63" i="10"/>
  <c r="H28" i="10"/>
  <c r="C240" i="2"/>
  <c r="C184" i="2"/>
  <c r="H152" i="2"/>
  <c r="I152" i="2" s="1"/>
  <c r="H262" i="2"/>
  <c r="I262" i="2" s="1"/>
  <c r="H781" i="2"/>
  <c r="I781" i="2" s="1"/>
  <c r="H790" i="2"/>
  <c r="I790" i="2" s="1"/>
  <c r="H796" i="2"/>
  <c r="I796" i="2" s="1"/>
  <c r="H787" i="2"/>
  <c r="I787" i="2" s="1"/>
  <c r="G32" i="2"/>
  <c r="I32" i="2" s="1"/>
  <c r="H520" i="2"/>
  <c r="I520" i="2" s="1"/>
  <c r="H411" i="2"/>
  <c r="I411" i="2" s="1"/>
  <c r="H791" i="2"/>
  <c r="I791" i="2" s="1"/>
  <c r="H788" i="2"/>
  <c r="I788" i="2" s="1"/>
  <c r="H784" i="2"/>
  <c r="I784" i="2" s="1"/>
  <c r="H514" i="2"/>
  <c r="I514" i="2" s="1"/>
  <c r="H516" i="2"/>
  <c r="I516" i="2" s="1"/>
  <c r="H519" i="2"/>
  <c r="I519" i="2" s="1"/>
  <c r="H807" i="2"/>
  <c r="I807" i="2" s="1"/>
  <c r="H419" i="2"/>
  <c r="I419" i="2" s="1"/>
  <c r="H444" i="2"/>
  <c r="I444" i="2" s="1"/>
  <c r="I144" i="2"/>
  <c r="I145" i="2" s="1"/>
  <c r="H793" i="2"/>
  <c r="I793" i="2" s="1"/>
  <c r="I194" i="2"/>
  <c r="I251" i="2"/>
  <c r="H462" i="2"/>
  <c r="I462" i="2" s="1"/>
  <c r="I440" i="2"/>
  <c r="I441" i="2" s="1"/>
  <c r="H792" i="2"/>
  <c r="I792" i="2" s="1"/>
  <c r="H492" i="2"/>
  <c r="H261" i="2"/>
  <c r="I261" i="2" s="1"/>
  <c r="H513" i="2"/>
  <c r="I513" i="2" s="1"/>
  <c r="H461" i="2"/>
  <c r="I461" i="2" s="1"/>
  <c r="H471" i="2"/>
  <c r="I471" i="2" s="1"/>
  <c r="H203" i="2"/>
  <c r="I203" i="2" s="1"/>
  <c r="H789" i="2"/>
  <c r="I789" i="2" s="1"/>
  <c r="H250" i="2"/>
  <c r="I250" i="2" s="1"/>
  <c r="H470" i="2"/>
  <c r="I470" i="2" s="1"/>
  <c r="H806" i="2"/>
  <c r="I806" i="2" s="1"/>
  <c r="H252" i="2"/>
  <c r="I252" i="2" s="1"/>
  <c r="I6" i="2"/>
  <c r="H260" i="2"/>
  <c r="I260" i="2" s="1"/>
  <c r="H515" i="2"/>
  <c r="I515" i="2" s="1"/>
  <c r="H409" i="2"/>
  <c r="I409" i="2" s="1"/>
  <c r="H794" i="2"/>
  <c r="I794" i="2" s="1"/>
  <c r="H410" i="2"/>
  <c r="I410" i="2" s="1"/>
  <c r="H45" i="2"/>
  <c r="I45" i="2" s="1"/>
  <c r="I47" i="2" s="1"/>
  <c r="H153" i="2"/>
  <c r="I153" i="2" s="1"/>
  <c r="H19" i="2"/>
  <c r="I19" i="2" s="1"/>
  <c r="I21" i="2" s="1"/>
  <c r="H529" i="2"/>
  <c r="I529" i="2" s="1"/>
  <c r="H805" i="2"/>
  <c r="I805" i="2" s="1"/>
  <c r="H785" i="2"/>
  <c r="I785" i="2" s="1"/>
  <c r="I140" i="2"/>
  <c r="I7" i="2"/>
  <c r="I33" i="2"/>
  <c r="H779" i="2"/>
  <c r="I779" i="2" s="1"/>
  <c r="H797" i="2"/>
  <c r="I797" i="2" s="1"/>
  <c r="H518" i="2"/>
  <c r="I518" i="2" s="1"/>
  <c r="I189" i="2"/>
  <c r="I190" i="2" s="1"/>
  <c r="H783" i="2"/>
  <c r="I783" i="2" s="1"/>
  <c r="H517" i="2"/>
  <c r="I517" i="2" s="1"/>
  <c r="I528" i="2"/>
  <c r="G509" i="2"/>
  <c r="I509" i="2" s="1"/>
  <c r="I510" i="2" s="1"/>
  <c r="H780" i="2"/>
  <c r="I780" i="2" s="1"/>
  <c r="G432" i="2"/>
  <c r="I432" i="2" s="1"/>
  <c r="I433" i="2" s="1"/>
  <c r="G457" i="2"/>
  <c r="I457" i="2" s="1"/>
  <c r="I458" i="2" s="1"/>
  <c r="H193" i="2"/>
  <c r="I193" i="2" s="1"/>
  <c r="H782" i="2"/>
  <c r="I782" i="2" s="1"/>
  <c r="H786" i="2"/>
  <c r="I786" i="2" s="1"/>
  <c r="G245" i="2"/>
  <c r="I245" i="2" s="1"/>
  <c r="G405" i="2"/>
  <c r="I405" i="2" s="1"/>
  <c r="I406" i="2" s="1"/>
  <c r="H204" i="2"/>
  <c r="I204" i="2" s="1"/>
  <c r="I202" i="2"/>
  <c r="H445" i="2"/>
  <c r="I445" i="2" s="1"/>
  <c r="H420" i="2"/>
  <c r="I420" i="2" s="1"/>
  <c r="I492" i="2" l="1"/>
  <c r="I493" i="2" s="1"/>
  <c r="I499" i="2" s="1"/>
  <c r="I500" i="2" s="1"/>
  <c r="H85" i="10"/>
  <c r="H69" i="10"/>
  <c r="I195" i="2"/>
  <c r="I463" i="2"/>
  <c r="G246" i="2"/>
  <c r="I246" i="2" s="1"/>
  <c r="I247" i="2" s="1"/>
  <c r="I34" i="2"/>
  <c r="I48" i="2" s="1"/>
  <c r="I49" i="2" s="1"/>
  <c r="G139" i="2"/>
  <c r="I139" i="2" s="1"/>
  <c r="I141" i="2" s="1"/>
  <c r="I808" i="2"/>
  <c r="I446" i="2"/>
  <c r="I447" i="2" s="1"/>
  <c r="I448" i="2" s="1"/>
  <c r="I530" i="2"/>
  <c r="I472" i="2"/>
  <c r="I253" i="2"/>
  <c r="I412" i="2"/>
  <c r="I8" i="2"/>
  <c r="I22" i="2" s="1"/>
  <c r="I23" i="2" s="1"/>
  <c r="I798" i="2"/>
  <c r="I205" i="2"/>
  <c r="I421" i="2"/>
  <c r="I154" i="2"/>
  <c r="I521" i="2"/>
  <c r="I263" i="2"/>
  <c r="I206" i="2" l="1"/>
  <c r="I207" i="2" s="1"/>
  <c r="I473" i="2"/>
  <c r="I474" i="2" s="1"/>
  <c r="I449" i="2"/>
  <c r="I450" i="2" s="1"/>
  <c r="I24" i="2"/>
  <c r="I25" i="2" s="1"/>
  <c r="I50" i="2"/>
  <c r="I51" i="2" s="1"/>
  <c r="H22" i="10" s="1"/>
  <c r="I501" i="2"/>
  <c r="I502" i="2" s="1"/>
  <c r="I264" i="2"/>
  <c r="I265" i="2" s="1"/>
  <c r="I155" i="2"/>
  <c r="I156" i="2" s="1"/>
  <c r="I422" i="2"/>
  <c r="I423" i="2" s="1"/>
  <c r="I809" i="2"/>
  <c r="I810" i="2" s="1"/>
  <c r="I531" i="2"/>
  <c r="I532" i="2" s="1"/>
  <c r="H38" i="10" l="1"/>
  <c r="H59" i="10"/>
  <c r="H40" i="10"/>
  <c r="H60" i="10"/>
  <c r="H21" i="10"/>
  <c r="H20" i="10" s="1"/>
  <c r="H968" i="2"/>
  <c r="I968" i="2" s="1"/>
  <c r="I972" i="2" s="1"/>
  <c r="I978" i="2" s="1"/>
  <c r="I979" i="2" s="1"/>
  <c r="I475" i="2"/>
  <c r="I476" i="2" s="1"/>
  <c r="H39" i="10" s="1"/>
  <c r="I208" i="2"/>
  <c r="I209" i="2" s="1"/>
  <c r="H29" i="10" s="1"/>
  <c r="I157" i="2"/>
  <c r="I158" i="2" s="1"/>
  <c r="I811" i="2"/>
  <c r="I812" i="2" s="1"/>
  <c r="I424" i="2"/>
  <c r="I425" i="2" s="1"/>
  <c r="I266" i="2"/>
  <c r="I267" i="2" s="1"/>
  <c r="H31" i="10" s="1"/>
  <c r="I533" i="2"/>
  <c r="I534" i="2" s="1"/>
  <c r="H61" i="10" s="1"/>
  <c r="H37" i="10" l="1"/>
  <c r="H58" i="10"/>
  <c r="H27" i="10"/>
  <c r="H43" i="10"/>
  <c r="I980" i="2"/>
  <c r="I981" i="2" s="1"/>
  <c r="H64" i="10"/>
  <c r="H42" i="10" l="1"/>
  <c r="H41" i="10"/>
  <c r="H26" i="10" s="1"/>
  <c r="H73" i="10"/>
  <c r="H62" i="10" s="1"/>
  <c r="H105" i="10"/>
  <c r="H91" i="10"/>
  <c r="H80" i="10" s="1"/>
  <c r="J16" i="10" l="1"/>
  <c r="G14" i="10"/>
  <c r="F102" i="10" l="1"/>
  <c r="H102" i="10" s="1"/>
  <c r="H101" i="10"/>
  <c r="H94" i="10" l="1"/>
  <c r="G15" i="10" l="1"/>
  <c r="G16" i="10" s="1"/>
  <c r="K16" i="10"/>
</calcChain>
</file>

<file path=xl/sharedStrings.xml><?xml version="1.0" encoding="utf-8"?>
<sst xmlns="http://schemas.openxmlformats.org/spreadsheetml/2006/main" count="3877" uniqueCount="657">
  <si>
    <t xml:space="preserve">Obra:  </t>
  </si>
  <si>
    <t>PLANILHA ORÇAMENTÁRIA</t>
  </si>
  <si>
    <t>ITEM</t>
  </si>
  <si>
    <t>CÓDIGO</t>
  </si>
  <si>
    <t>DESCRIÇÃO DOS SERVIÇOS</t>
  </si>
  <si>
    <t>UNID.</t>
  </si>
  <si>
    <t>QUANT.</t>
  </si>
  <si>
    <t>PREÇO (R$)</t>
  </si>
  <si>
    <t>Serviços Preliminares</t>
  </si>
  <si>
    <t>1.1</t>
  </si>
  <si>
    <t>Mobilização de Equipamentos, Materiais e Pessoal.</t>
  </si>
  <si>
    <t>unid.</t>
  </si>
  <si>
    <t>1.2</t>
  </si>
  <si>
    <t>mês</t>
  </si>
  <si>
    <t>2.1</t>
  </si>
  <si>
    <t>2.2</t>
  </si>
  <si>
    <t>2.3</t>
  </si>
  <si>
    <t>2.4</t>
  </si>
  <si>
    <t>Perfuração de poço com diâmetro mínimo de 8" (solo decomposto).</t>
  </si>
  <si>
    <t>m</t>
  </si>
  <si>
    <t>2.5</t>
  </si>
  <si>
    <t>Perfuração de poço com diâmetro mínimo de 6" (rocha cristalina).</t>
  </si>
  <si>
    <t>2.6</t>
  </si>
  <si>
    <t>m³</t>
  </si>
  <si>
    <t>2.9</t>
  </si>
  <si>
    <t>3.1</t>
  </si>
  <si>
    <t>3.2</t>
  </si>
  <si>
    <t>3.3</t>
  </si>
  <si>
    <t>3.4</t>
  </si>
  <si>
    <t>3.5</t>
  </si>
  <si>
    <t xml:space="preserve"> COMPOSIÇÃO DE PREÇO UNITÁRIO</t>
  </si>
  <si>
    <t xml:space="preserve">UNIDADE: </t>
  </si>
  <si>
    <t>EQUIPAMENTO</t>
  </si>
  <si>
    <t>DISCRIMINAÇÃO</t>
  </si>
  <si>
    <t>UNID</t>
  </si>
  <si>
    <t>PROD</t>
  </si>
  <si>
    <t>IMPROD</t>
  </si>
  <si>
    <t>P.UNIT. PROD</t>
  </si>
  <si>
    <t>P.UNIT. IMPR</t>
  </si>
  <si>
    <t>P.TOTAL</t>
  </si>
  <si>
    <t>Caminhão truck p/ 13 toneladas</t>
  </si>
  <si>
    <t>h</t>
  </si>
  <si>
    <t>Pick-up leve, gasolina / 700 Kg</t>
  </si>
  <si>
    <t>SUB-TOTAL</t>
  </si>
  <si>
    <t>MATERIAL</t>
  </si>
  <si>
    <t>P.UNIT.</t>
  </si>
  <si>
    <t>SERVIÇOS - COMPOSIÇÕES AUXILIARES</t>
  </si>
  <si>
    <t>MÃO DE OBRA</t>
  </si>
  <si>
    <t>Servente</t>
  </si>
  <si>
    <t>PRODUÇÃO DA EQUIPE</t>
  </si>
  <si>
    <t xml:space="preserve">CUSTO </t>
  </si>
  <si>
    <t>TOTAL DO SERVIÇO - R$</t>
  </si>
  <si>
    <t>m²</t>
  </si>
  <si>
    <t>kg</t>
  </si>
  <si>
    <t>Carpinteiro</t>
  </si>
  <si>
    <t>Gasolina</t>
  </si>
  <si>
    <t>l</t>
  </si>
  <si>
    <t>Geólogo</t>
  </si>
  <si>
    <t>Perfuratriz</t>
  </si>
  <si>
    <t>Lubrificante</t>
  </si>
  <si>
    <t>Óleo diesel</t>
  </si>
  <si>
    <t>Encarregado</t>
  </si>
  <si>
    <t>Motorista</t>
  </si>
  <si>
    <t>Compressor</t>
  </si>
  <si>
    <t>Óleo Lubrificante</t>
  </si>
  <si>
    <t>Graxa grafitada</t>
  </si>
  <si>
    <t>Operador de perfuratriz</t>
  </si>
  <si>
    <t>Óleo Lubrificante.</t>
  </si>
  <si>
    <t>Operador de Compressor.</t>
  </si>
  <si>
    <t>Análise físico-químico e bacteriológica da água.</t>
  </si>
  <si>
    <t>Encanador</t>
  </si>
  <si>
    <t>Betoneira com capacidade de 400l. Motor Diesel de 7 HP.</t>
  </si>
  <si>
    <t>Registro pvc esfera soldável 2"</t>
  </si>
  <si>
    <t>Curva galvanizada  2".</t>
  </si>
  <si>
    <t>Luva ferro galv. 2"</t>
  </si>
  <si>
    <t>Fita isolante alto-fusão</t>
  </si>
  <si>
    <t>Fita veda rosca</t>
  </si>
  <si>
    <t>eletroduto de PVC rigido de 3/4".</t>
  </si>
  <si>
    <t>Curva de PVC de 90" de 3/4".</t>
  </si>
  <si>
    <t xml:space="preserve">Curva pvc de 180º </t>
  </si>
  <si>
    <t>Valvula de retenção vertical de 2" em broze com rosca.</t>
  </si>
  <si>
    <t>Haste de Aterramento com conector</t>
  </si>
  <si>
    <t>Eletricista</t>
  </si>
  <si>
    <t>Pedreiro</t>
  </si>
  <si>
    <t>Torneira plastica de 1/2".</t>
  </si>
  <si>
    <t>Desmoldante</t>
  </si>
  <si>
    <t>L</t>
  </si>
  <si>
    <t>Kg</t>
  </si>
  <si>
    <t>Areia Lavada</t>
  </si>
  <si>
    <t>Brita 1</t>
  </si>
  <si>
    <t>Brita 2</t>
  </si>
  <si>
    <t>Forma plana em tábua em madeira de mista.</t>
  </si>
  <si>
    <t>Cabo de alumínio de 4 AWG com alma de aço.</t>
  </si>
  <si>
    <t>Poste de concreto Duplo T, Tipo B, 500kg, h=9,0m.</t>
  </si>
  <si>
    <t>Isolador de pino de porcelana.</t>
  </si>
  <si>
    <t>Parafuso sextavado 5/8 x 10" completo.</t>
  </si>
  <si>
    <t>Alça pré-formada de distribuição</t>
  </si>
  <si>
    <t>Engenheiro elétrico júnior</t>
  </si>
  <si>
    <t>Cadista.</t>
  </si>
  <si>
    <t>Topografo.</t>
  </si>
  <si>
    <t>Auxiliar de topografia.</t>
  </si>
  <si>
    <t xml:space="preserve"> </t>
  </si>
  <si>
    <t>BDI =</t>
  </si>
  <si>
    <t>%</t>
  </si>
  <si>
    <t>COMPONENTE GERAL</t>
  </si>
  <si>
    <t>Indíce de Leis Sociais</t>
  </si>
  <si>
    <t>DESCRIÇÃO</t>
  </si>
  <si>
    <t>VR.UNIT.</t>
  </si>
  <si>
    <t>FORNECEDOR</t>
  </si>
  <si>
    <t>SINAPI</t>
  </si>
  <si>
    <t>Motorista - veículo pesado</t>
  </si>
  <si>
    <t>Óleo diesel comum</t>
  </si>
  <si>
    <t>Prego 18x30</t>
  </si>
  <si>
    <t xml:space="preserve">m </t>
  </si>
  <si>
    <t>Adesivo p tubo PVC pote de 850g</t>
  </si>
  <si>
    <t>Areia Grossa</t>
  </si>
  <si>
    <t>Fita isolante Auto-Fusão 3M</t>
  </si>
  <si>
    <t>Fita veda rosca Rolos 18mm x 10m</t>
  </si>
  <si>
    <t>0034</t>
  </si>
  <si>
    <t>Aço CA-50  3/8" ( 9,52mm ).</t>
  </si>
  <si>
    <t>Pedra britada nº2</t>
  </si>
  <si>
    <t>Operador de Compressor</t>
  </si>
  <si>
    <t>00001143</t>
  </si>
  <si>
    <t xml:space="preserve">Perfuratriz Pneumática </t>
  </si>
  <si>
    <t>Perfuração de poço com perfuratriz</t>
  </si>
  <si>
    <t>Compressor de ar rebocavél carga livre efetiva 180pcm</t>
  </si>
  <si>
    <t>COTAÇÃO</t>
  </si>
  <si>
    <t>Cabo cobre isolante anti-chama 4mm</t>
  </si>
  <si>
    <t xml:space="preserve">Curva pvc eletroduto de 180º </t>
  </si>
  <si>
    <t>CPRH</t>
  </si>
  <si>
    <t>Curva galvanizada macho 2"</t>
  </si>
  <si>
    <t>Graxa</t>
  </si>
  <si>
    <t>Válvula de retenção vertical de 2" em broze com rosca.</t>
  </si>
  <si>
    <t>2.10</t>
  </si>
  <si>
    <t>OBRA: Perfuração e Instalação de Poços Tubulares.</t>
  </si>
  <si>
    <t xml:space="preserve">BDI          </t>
  </si>
  <si>
    <t>Prego de aço 18 x 30</t>
  </si>
  <si>
    <t>Desmoldante para forma de madeira</t>
  </si>
  <si>
    <t>Sabão neutro</t>
  </si>
  <si>
    <t>Local:</t>
  </si>
  <si>
    <t>Tubo PVC soldável para agua 32mm</t>
  </si>
  <si>
    <t>Sedimentar</t>
  </si>
  <si>
    <t>Cristalino</t>
  </si>
  <si>
    <t>un</t>
  </si>
  <si>
    <t>Locação de equipamento para perfuração (Método Geofísico).</t>
  </si>
  <si>
    <t>Óleo Lubrificantes para motores e equipamentos</t>
  </si>
  <si>
    <t>Tubo de 6" de PVC geo-mecânico (STD).</t>
  </si>
  <si>
    <t>CAP fêmea de 6".</t>
  </si>
  <si>
    <t>Anel de Borracha para tubo 6"</t>
  </si>
  <si>
    <t>Fornecimento e instalação de Cap fêmea de ponta de tubo de 6", para impedir contaminação do poço, inclusive anel de vedação e borracha.</t>
  </si>
  <si>
    <t>2.11</t>
  </si>
  <si>
    <t>2.12</t>
  </si>
  <si>
    <t>2.13</t>
  </si>
  <si>
    <t>Quadro de comando com chave de partida direta para moteres 1,5CV com fusivel DZ de 20A e acessorios.</t>
  </si>
  <si>
    <t>Luva pvc com para eletroduto</t>
  </si>
  <si>
    <t>Joelho pvc com rosca  2"</t>
  </si>
  <si>
    <t>Luva pvc com rosca para agua fria predial 2".</t>
  </si>
  <si>
    <t>Bomba Submersa para Poço Profundo Elétrica Potencia de 1,5CV.</t>
  </si>
  <si>
    <t>Ajudante</t>
  </si>
  <si>
    <t>Haste de Aterramento</t>
  </si>
  <si>
    <t>Pintor</t>
  </si>
  <si>
    <t>Barra ferro retangular chata qualquer bitola com espessura de 3/16".</t>
  </si>
  <si>
    <t>Barra ferro retangular chata 1.1/2" X 1/2" - (3,79kg/m).</t>
  </si>
  <si>
    <t>Cadeado aço grafitado oxidado envernizado 45mm.</t>
  </si>
  <si>
    <t>Tela arame galvanizado fio 8 BWG (4,19mm) malha 2" (5X5cm) quadrada ou losango com altura igual a 1,80m.</t>
  </si>
  <si>
    <t>Outorga de uso de recursos hídricos obtido no CPRH-PE.</t>
  </si>
  <si>
    <t>Eletroduto PVC com rosca 3/4"</t>
  </si>
  <si>
    <t>Armação secundária, 1 estribo, com haste de diâmetro de 16mm por 150 mm de comprimento</t>
  </si>
  <si>
    <t>2.14</t>
  </si>
  <si>
    <t>Pedra britada  nº1</t>
  </si>
  <si>
    <t xml:space="preserve">Caixa para medição de energia completo monofásico, inclusive haste de aterramento, condutores, conectores, caixa para disjuntor, bucha, arruela e tubo, padrão CELPE.  </t>
  </si>
  <si>
    <t>Montagem, instalação e desinstalação de sonda.</t>
  </si>
  <si>
    <t>SERVIÇO : Montagem, instalação e desinstalação de sonda.</t>
  </si>
  <si>
    <t>Caminhão trucado c/ carroceria de madeira fixa Cap. 10 a 12T, inclusive manutenção e operação.</t>
  </si>
  <si>
    <t xml:space="preserve">
</t>
  </si>
  <si>
    <t>Arame galvanizado fio 16 bwg - 4 x 4 23,50 kg Rolo 500m.</t>
  </si>
  <si>
    <t>Tabua de madeira mista de 30 x 2,5cm.</t>
  </si>
  <si>
    <t>Geólogo (engenheiro pleno)</t>
  </si>
  <si>
    <t>Gasolina Comum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</si>
  <si>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</si>
  <si>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</si>
  <si>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</si>
  <si>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</si>
  <si>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</si>
  <si>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</si>
  <si>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</si>
  <si>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</si>
  <si>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</si>
  <si>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</si>
  <si>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</si>
  <si>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2.7</t>
  </si>
  <si>
    <t>2.8</t>
  </si>
  <si>
    <t>Cabo cobre isolante 4mm anti-chama.</t>
  </si>
  <si>
    <t>Hidrômetro 7,0 m³</t>
  </si>
  <si>
    <t>Adaptador PVC roscável c/flanges e anes de vedação p/ caixa d'água 1"</t>
  </si>
  <si>
    <t>Poços Cristalinos - Montagem e Instalação com bomba submersa.</t>
  </si>
  <si>
    <t>Tubo de PVC EDUTOR AZUL de 2" roscavel conexões e acessorios.</t>
  </si>
  <si>
    <t>horista</t>
  </si>
  <si>
    <t>mensalista</t>
  </si>
  <si>
    <t>Obtenção junto aos órgãos competente da Outorga de funcionamento e uso de recursos hídricos - CPRH/PE.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</si>
  <si>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</si>
  <si>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 xml:space="preserve">Realização de Análise Físico-Química e bacteriológica da água em conformidade com a NR 518, incluindo a coleta, taxas e transporte. </t>
  </si>
  <si>
    <t>Adaptador pvc soldável com bolsa e rosca para registro 2''.</t>
  </si>
  <si>
    <t>Valor Perfuração</t>
  </si>
  <si>
    <t>Valor Instalação</t>
  </si>
  <si>
    <t>Total de poços a perfurar</t>
  </si>
  <si>
    <t>Total de poços a instalar</t>
  </si>
  <si>
    <t>Bomba</t>
  </si>
  <si>
    <t>Cata-vento</t>
  </si>
  <si>
    <t>Valor Total das Obras</t>
  </si>
  <si>
    <t>ORSE</t>
  </si>
  <si>
    <t>05021</t>
  </si>
  <si>
    <t>05022</t>
  </si>
  <si>
    <t>Análise bacteriológica de água</t>
  </si>
  <si>
    <t>Análise físico-química de água</t>
  </si>
  <si>
    <t>Adaptador pvc soldável com bolsa e rosca para registro 2''</t>
  </si>
  <si>
    <t>Caixa de água de fibra com capacidade de armazenamento 5m³.</t>
  </si>
  <si>
    <t>Fornecimento, montagem e conservação de placa de identificação de obra padrão  (3m x 2m).</t>
  </si>
  <si>
    <t>Óleo lubrificante</t>
  </si>
  <si>
    <t>Caixa de água de 5m³.</t>
  </si>
  <si>
    <t>Fornecimento e instalação de Revestimento do Poço em Tubo PVC Geomecânico STD em DN de 6" com luvas e rosca.</t>
  </si>
  <si>
    <t>ACO CA-60 - 5,0MM</t>
  </si>
  <si>
    <t>ACO CA-60 - 4,2MM</t>
  </si>
  <si>
    <t>TELA ACO SOLDADA NERVURADA CA-60, Q-138, (2,20KG/M2), DIÂMETRO DO FIO =4,2MM, LARGURA=2,45 X 120 METROS DE COMPRIMENTO, ESPAÇAMENTO DA MALHA = 10 X 10 CM</t>
  </si>
  <si>
    <t>m2</t>
  </si>
  <si>
    <t>m3</t>
  </si>
  <si>
    <t>Pintura de superfície com latex.</t>
  </si>
  <si>
    <t>ADAPTADOR PVC ROSCAVEL C/ FLANGES E ANEL DE VEDACAO P/ CAIXA D' AGUA 1"</t>
  </si>
  <si>
    <t>ADAPTADOR PVC ROSCAVEL C/ FLANGES E ANEL DE VEDACAO P/ CAIXA D' AGUA 3/4"</t>
  </si>
  <si>
    <t>ADAPTADOR PVC SOLDAVEL C/ FLANGES E ANEL DE VEDACAO P/ CAIXA D' AGUA 50MM X 11/2"</t>
  </si>
  <si>
    <t>REGISTRO PVC ESFERA BORB C/ROSCA REF 3/4"</t>
  </si>
  <si>
    <t>TE PVC C/ROSCA 90G P/ AGUA FRIA PREDIAL 1"</t>
  </si>
  <si>
    <t>TE PVC SOLD 90G C/ BUCHA LATAO NA BOLSA CENTRAL 32MM X 3/4"</t>
  </si>
  <si>
    <t>Tubo de PVC soldavel de 32mm</t>
  </si>
  <si>
    <t>ACO CA-50 1/2" (12,70 MM)</t>
  </si>
  <si>
    <t>ACO CA-50 1/4" (6,35 MM)</t>
  </si>
  <si>
    <t>Lubrificante.</t>
  </si>
  <si>
    <t>Anel de Borracha de 6".</t>
  </si>
  <si>
    <t>Pasta lubrificante</t>
  </si>
  <si>
    <t>Tubo de PVC azul, diâmetro de 50mm.</t>
  </si>
  <si>
    <t>Transporte de Tubo PVC DN 50mm.</t>
  </si>
  <si>
    <t xml:space="preserve">BDI        </t>
  </si>
  <si>
    <t xml:space="preserve">BDI         </t>
  </si>
  <si>
    <t>UNIDADE</t>
  </si>
  <si>
    <t>Tubo de PVC soldavel marom, diâmetro de 32mm.</t>
  </si>
  <si>
    <t>Cola de PVC</t>
  </si>
  <si>
    <t>Transporte de Tubo PVC DN 32mm.</t>
  </si>
  <si>
    <t>Armação secundaria, 1 estribo, com haste de diametro de 16mm por 150 mm de comprimento</t>
  </si>
  <si>
    <t xml:space="preserve">Alça pré-formada de linha </t>
  </si>
  <si>
    <t>Eletricista montador.</t>
  </si>
  <si>
    <t>Servente.</t>
  </si>
  <si>
    <t>SERVIÇO: Abrigo de proteção em concreto armado para quadro de comando de bomba.</t>
  </si>
  <si>
    <t>Abrigo de proteção em concreto armado para quadro de comando de bomba.</t>
  </si>
  <si>
    <t>composição</t>
  </si>
  <si>
    <t>Desmobilização de Equipamentos, Materiais e Pessoal.</t>
  </si>
  <si>
    <t>TOTAL COM BDI</t>
  </si>
  <si>
    <t>DETALHAMENTO DO BDI - SERVIÇOS</t>
  </si>
  <si>
    <t>Item</t>
  </si>
  <si>
    <t>Descrição dos Serviços</t>
  </si>
  <si>
    <t>VARIÁVEIS CORRELATAS DE INTERESSE</t>
  </si>
  <si>
    <t>PV</t>
  </si>
  <si>
    <t>CD</t>
  </si>
  <si>
    <t>ADMINISTRAÇÃO CENTRAL</t>
  </si>
  <si>
    <t>a =</t>
  </si>
  <si>
    <t>Administração Central</t>
  </si>
  <si>
    <t>ESCRITÓRIO CENTRAL</t>
  </si>
  <si>
    <t>VIAGENS</t>
  </si>
  <si>
    <t>IMPOSTOS E TAXAS</t>
  </si>
  <si>
    <t>i =</t>
  </si>
  <si>
    <t>Impostos</t>
  </si>
  <si>
    <t>ISS</t>
  </si>
  <si>
    <t>PIS</t>
  </si>
  <si>
    <t>r =</t>
  </si>
  <si>
    <t>Taxa de Risco</t>
  </si>
  <si>
    <t>Cofins</t>
  </si>
  <si>
    <t>f =</t>
  </si>
  <si>
    <t>Despesas Financeiras</t>
  </si>
  <si>
    <t>TAXA DE RISCO</t>
  </si>
  <si>
    <t>Seguros</t>
  </si>
  <si>
    <t>Riscos</t>
  </si>
  <si>
    <t>Garantias</t>
  </si>
  <si>
    <t>l =</t>
  </si>
  <si>
    <t>Lucro</t>
  </si>
  <si>
    <t>DESPESAS FINANCEIRAS</t>
  </si>
  <si>
    <t>LUCRO</t>
  </si>
  <si>
    <t>BDI (%)</t>
  </si>
  <si>
    <t>calculado</t>
  </si>
  <si>
    <t>adotado</t>
  </si>
  <si>
    <t>CPRB</t>
  </si>
  <si>
    <t>UNITÁRIO C/BDI</t>
  </si>
  <si>
    <t>3.17</t>
  </si>
  <si>
    <t>Elaboração de projeto de rede elétrica de baixa tensão, incluído aprovação junto a concessionária.</t>
  </si>
  <si>
    <t>Caminhão truck p/ 13 toneladas (muck)</t>
  </si>
  <si>
    <t>Talha manual para 2 ton</t>
  </si>
  <si>
    <t>CURVA PVC 90G P/ ELETRODUTO ROSCAVEL 3/4"</t>
  </si>
  <si>
    <t>estava 326,35</t>
  </si>
  <si>
    <t>Concreto fck=25mpa, virado em betoneira, sem lancamento</t>
  </si>
  <si>
    <t>Alça pré-formada de linha</t>
  </si>
  <si>
    <t>Auxiliar de eletricista</t>
  </si>
  <si>
    <t>SERVIÇO AUXILIAR: Pintura de superfície com latex.</t>
  </si>
  <si>
    <t>Lixa para parede ou madeira.</t>
  </si>
  <si>
    <t>Tinta latex PVA.</t>
  </si>
  <si>
    <t>TOTAL - R$</t>
  </si>
  <si>
    <t xml:space="preserve">BDI               </t>
  </si>
  <si>
    <t xml:space="preserve">Caixa para medição de energia completo monofásico, inclusive haste de aterramento, condutores, conectores, eletroduto, caixa para disjuntor, bucha, arruela e tubo, padrão CELPE. </t>
  </si>
  <si>
    <t>Argamassa preparada com cimento e areia na proporção de 1:3.</t>
  </si>
  <si>
    <t xml:space="preserve">Ajudante </t>
  </si>
  <si>
    <t>Fornecimento e montagem de quadro de medição no padrão CELPE para 3 ou 4 fios, inclusive haste de aterramento, condutores, conectores, eletroduto, disjuntor, caixa para disjuntor, bucha, arruela e tubo.</t>
  </si>
  <si>
    <t>Areia Lavavel.</t>
  </si>
  <si>
    <t>Aterro manual de valas de fundação com até 0,40 m de profundidade, com avaliação visual da compactação (reservatório ao bebedouro).</t>
  </si>
  <si>
    <t>Aterro manual de valas de fundação com até 0,40 m de profundidade, com avaliação visual da compactação (poço ao reservatório).</t>
  </si>
  <si>
    <t>Limpeza do terreno - Raspagem e limpeza manual do terreno com destocamento de arvore até 15cm</t>
  </si>
  <si>
    <t>Locação, acompanhamento da perfuração, teste de vazão e da instalação do poço, por profissional habilitado.</t>
  </si>
  <si>
    <t xml:space="preserve">Realização de desenvolvimento e estimulação do poço, realizado mediante a utilização de compressor de ar pelo método de fluxo e refluxo, incluindo operação e a instalação de compressor de ar, em conformidade com a NBR12244. </t>
  </si>
  <si>
    <t>Realização de desinfecção do poço, incluindo material de limpeza, instalação e desinstalação de compressor, combustível e operador.</t>
  </si>
  <si>
    <t>Realização de teste de vazão e de bombeamento do poço, incluindo operação e instalação de motobomba submersa e grupo gerador eletrico, em conformidade com a NBR 12244.</t>
  </si>
  <si>
    <t>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</si>
  <si>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Fornecimento e assentamento de tubos e conexões em PVC tipo Edutor, azul, Diâmetro Nominal de 50 mm (interligação do poço a caixa do reservatório).</t>
  </si>
  <si>
    <t>Fornecimento e assentamento de tubos e conexões em PVC, marrom, diâmetros de 32mm, soldável.</t>
  </si>
  <si>
    <t>Fornecimento e instalação de caixa d'água de fibra de 5m³, sobre base de concreto armado, incluído barrilete, tubulação de dreno, lavagem e ladrão.</t>
  </si>
  <si>
    <t>Execução de bebedouro em concreto armado, incluindo a instalação hidráulica.</t>
  </si>
  <si>
    <t>Execução de base de sustentação do reservatório em concreto armado, diâmetro de 2,06 m e altura de 1,10 m, conforme projeto.</t>
  </si>
  <si>
    <t>SERVIÇO: Mobilização de Equipamentos, Materiais e Pessoal.</t>
  </si>
  <si>
    <t>SERVIÇO : Desmobilização de Equipamentos, Materiais e Pessoal.</t>
  </si>
  <si>
    <t>SERVIÇO : Locação, acompanhamento da perfuração, teste de vazão e da instalação do poço, por profissional habilitado.</t>
  </si>
  <si>
    <r>
      <rPr>
        <b/>
        <sz val="10"/>
        <rFont val="Times New Roman"/>
        <family val="1"/>
      </rPr>
      <t>SERVIÇO :</t>
    </r>
    <r>
      <rPr>
        <sz val="10"/>
        <rFont val="Times New Roman"/>
        <family val="1"/>
      </rPr>
      <t xml:space="preserve"> Limpeza do terreno - Raspagem e limpeza manual do terreno com destocamento de arvore até 15cm.</t>
    </r>
  </si>
  <si>
    <t>SERVIÇO : Perfuração de poço com diâmetro mínimo de 8" (solo decomposto).</t>
  </si>
  <si>
    <t>SERVIÇO : Perfuração de poço com diâmetro mínimo de 6" (rocha cristalina).</t>
  </si>
  <si>
    <t>SERVIÇO : Fornecimento e instalação de Revestimento do Poço em Tubo PVC Geomecânico STD em DN de 6" com luvas e rosca.</t>
  </si>
  <si>
    <t xml:space="preserve">SERVIÇO: Realização de limpeza do poço, realizado mediante a utilização de compressor de ar pelo método de fluxo e refluxo, incluindo operação e a instalação de compressor de ar, em conformidade com a NBR 12244. </t>
  </si>
  <si>
    <t xml:space="preserve">SERVIÇO : Realização de desenvolvimento e estimulação do poço, realizado mediante a utilização de compressor de ar pelo método de fluxo e refluxo, incluindo operação e a instalação de compressor de ar, em conformidade com a NBR12244. </t>
  </si>
  <si>
    <t>SERVIÇO: Fornecimento e instalação de Cap fêmea de ponta de tubo de 6", para impedir contaminação do poço, inclusive anel de vedação e borracha.</t>
  </si>
  <si>
    <t>SERVIÇO: Realização de desinfecção do poço, incluindo material de limpeza, instalação e desinstalação de compressor, combustível e operador.</t>
  </si>
  <si>
    <t>SERVIÇO: Realização de teste de vazão e de bombeamento do poço, incluindo operação e instalação de motobomba submersa e grupo gerador eletrico, em conformidade com a NBR 12244.</t>
  </si>
  <si>
    <t>SERVIÇO : Obtenção junto aos órgãos competente da Outorga de funcionamento e uso de recursos hídricos - CPRH/PE.</t>
  </si>
  <si>
    <t>SERVIÇO :Construção de laje de proteção sanitária em concreto armado para qualquer tipo de estrutura, FCK = 15 Mpa,  virado em betoneira na obra, incluindo aplicação e adensamento, forma, escoramento e ferragens, nas dimensões-1,0m x 1,0m x 0,15m, com declividade de 2% em relação ao centro do poço para as bordas, em conformidade com a NBR 12244.</t>
  </si>
  <si>
    <t>SERVIÇO : Aterro manual de valas de fundação com até 0,40 m de profundidade, com avaliação visual da compactação</t>
  </si>
  <si>
    <t>SERVIÇO : Fornecimento e assentamento de tubos e conexões em PVC, marrom, diâmetros de 32mm, soldável.</t>
  </si>
  <si>
    <t>SERVIÇO: Fornecimento e instalação de caixa d'água de fibra de 5m³, sobre base de concreto armado, incluído barrilete, tubulação de dreno, lavagem e ladrão.</t>
  </si>
  <si>
    <t xml:space="preserve">SERVIÇO: Fornecimento e montagem de cerca de proteção construída com mourões de concreto armado  (H=2,5 m), com ponta virada e com 11 fios de arame farpado, incluindo chumbamento e arame de fixação. </t>
  </si>
  <si>
    <t>Mourão de concreto para escora 10 x 10 cm, tipo esticador, fabricado em concreto armado e vibrado, L = 2,80 +/- 0,06m - 4102</t>
  </si>
  <si>
    <t>Arame farpado 16 bwg 4 x 4", 23,50 kg/rolo 500 m - 0340</t>
  </si>
  <si>
    <t>Areia</t>
  </si>
  <si>
    <t>Cimento.</t>
  </si>
  <si>
    <t>Brita 1.</t>
  </si>
  <si>
    <t>SERVIÇO: Fornecimento, montagem e instalação de portão de ferro tubular, tela em aço galvanizado, dobradiças e fechadura para passagem de pedestre, medindo 1,80m x 1,10m, incluindo mourão de sustentação.</t>
  </si>
  <si>
    <t>Concreto armado aparente pronto Fck 15 Mpa, virado em Betoneira, na obra, incluindo aplicação e adensamento, inclusive forma, escoramento e ferragem.</t>
  </si>
  <si>
    <t>Escavação manual.</t>
  </si>
  <si>
    <t>Pintura de superfície com tinta grafite.</t>
  </si>
  <si>
    <t>Arame galvanizado fio 16 BWG - 1,65m (0,01666 kg/m) - 344</t>
  </si>
  <si>
    <t xml:space="preserve">Fornecimento e montagem de cerca de proteção construída com mourões de concreto armado  (H=2,5 m), com ponta virada e com 11 fios de arame farpado, incluindo chumbamento e arame de fixação. </t>
  </si>
  <si>
    <t>Fornecimento, montagem e instalação de portão de ferro tubular, tela em aço galvanizado, dobradiças e fechadura para passagem de pedestre, medindo 1,80m x 1,10m, incluindo mourão de sustentação.</t>
  </si>
  <si>
    <t>SERVIÇO : Elaboração de projeto de rede elétrica de baixa tensão, incluído aprovação junto a concessionária.</t>
  </si>
  <si>
    <t>Mourão de concreto tipo intermediário, ponta virada em 45º, seção T, com 11 furos, fabricado em concreto armado vibrado, L = 2,80 +/- 0,06m - 4114</t>
  </si>
  <si>
    <t>Execução de rede elétrica de baixa tensão, com cabo de alumínio de 25 mm² (3+1).</t>
  </si>
  <si>
    <t>SERVIÇO : Execução de rede elétrica de baixa tensão, com cabo de alumínio de 25 mm² (3+1).</t>
  </si>
  <si>
    <t>SERVIÇO: Execução de bebedouro em concreto armado, incluindo a instalação hidráulica.</t>
  </si>
  <si>
    <t>Armador</t>
  </si>
  <si>
    <t>1.3</t>
  </si>
  <si>
    <t>2.15</t>
  </si>
  <si>
    <t>Cimentação anelar do poço, com argamassa de cimento e areia produzida no traço 1:3.</t>
  </si>
  <si>
    <t>CODEVASF</t>
  </si>
  <si>
    <t>Perfuração e Instalação Poços Tubulares, no Estado de Pernambuco.</t>
  </si>
  <si>
    <t>Caminhonete utilitária cabine dupla - CD SR 3.0 diesel 4x4 163 CV</t>
  </si>
  <si>
    <t>A</t>
  </si>
  <si>
    <t>Depreciação mensal do equipamento</t>
  </si>
  <si>
    <t>A1</t>
  </si>
  <si>
    <t xml:space="preserve">Preço de Aquisição </t>
  </si>
  <si>
    <t>A2</t>
  </si>
  <si>
    <t>Tempo previsto de vida útil (meses)</t>
  </si>
  <si>
    <t>A3</t>
  </si>
  <si>
    <t>Previsão de recup. Na venda do bem usado</t>
  </si>
  <si>
    <t>A4</t>
  </si>
  <si>
    <t>Custo mensal [A1-(A3xA1)]/A2</t>
  </si>
  <si>
    <t>B</t>
  </si>
  <si>
    <t>Juros pelo Capital empregado</t>
  </si>
  <si>
    <t>B1</t>
  </si>
  <si>
    <t xml:space="preserve">Taxa mensal de Juros </t>
  </si>
  <si>
    <t>B2</t>
  </si>
  <si>
    <t>Juros s/depreciação/aluguel (B1xA4)</t>
  </si>
  <si>
    <t>C</t>
  </si>
  <si>
    <t xml:space="preserve">Conservação e manutenção </t>
  </si>
  <si>
    <t>C1</t>
  </si>
  <si>
    <t>Taxa de gastos s/a deprec. Inc. seguros (%)</t>
  </si>
  <si>
    <t>C2</t>
  </si>
  <si>
    <t>Incidência mensal (C1xA4)</t>
  </si>
  <si>
    <t>D</t>
  </si>
  <si>
    <t>Combustível</t>
  </si>
  <si>
    <t>D1</t>
  </si>
  <si>
    <t>Média mensal de quilômetro por veículo</t>
  </si>
  <si>
    <t>D2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</si>
  <si>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</si>
  <si>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</si>
  <si>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</si>
  <si>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</si>
  <si>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</si>
  <si>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</si>
  <si>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</si>
  <si>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</si>
  <si>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 xml:space="preserve">Quilometragem do Contrato 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</si>
  <si>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</si>
  <si>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</si>
  <si>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</si>
  <si>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</si>
  <si>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</si>
  <si>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</si>
  <si>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</si>
  <si>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</si>
  <si>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</si>
  <si>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</si>
  <si>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</si>
  <si>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</si>
  <si>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</si>
  <si>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</si>
  <si>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</si>
  <si>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</si>
  <si>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</si>
  <si>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</si>
  <si>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</si>
  <si>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</si>
  <si>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</si>
  <si>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</si>
  <si>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</si>
  <si>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</si>
  <si>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</si>
  <si>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</si>
  <si>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</si>
  <si>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</si>
  <si>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</si>
  <si>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</si>
  <si>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</si>
  <si>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</si>
  <si>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</si>
  <si>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 xml:space="preserve">Preço cobrado pela empresa </t>
  </si>
  <si>
    <t>J1</t>
  </si>
  <si>
    <t>J2</t>
  </si>
  <si>
    <t>Veículo comercial leve 1.6 flex</t>
  </si>
  <si>
    <t>1.4</t>
  </si>
  <si>
    <t>1.5</t>
  </si>
  <si>
    <t>Fornecimento de Veículo 4x4 à fiscalização com seguro, taxas de licenciamento, revisão periódica, manutenção, combustível e pneus.</t>
  </si>
  <si>
    <t>Administração local da obra.</t>
  </si>
  <si>
    <t>Poços Cristalinos profundidade média 60m</t>
  </si>
  <si>
    <t>Poços Sedimentares profundidade média 180m</t>
  </si>
  <si>
    <t>Limpeza do terreno - Raspagem e limpeza manual do terreno com destocamento de arvore até 15cm.</t>
  </si>
  <si>
    <t>Perfuração de Poço em rocha sedimentar com diâmetro de 16".</t>
  </si>
  <si>
    <t>Perfuração de Poço em rocha sedimentar com diâmetro de 12 1/4".</t>
  </si>
  <si>
    <t>Fornecimento e instalação de Revestimento do Poço em Tubo PVC Geomecânico STD em DN de 6" com luvas e rosca (Para poços de até no máximo 150m de profundidade).</t>
  </si>
  <si>
    <t>Fornecimento e aplicação de nata de cimento para cimentação anelar e isolamento de aquíferos e proteção sanitária em conformidade com a NBR 12244.</t>
  </si>
  <si>
    <t>Fornecimento e instalação de Filtro em Tubo de PVC Geomecânico REF. em DN de 6" com luva e rosca com aberturas de 0,5mm. (Para poços de 150m até no máximo 300m de profundidade).</t>
  </si>
  <si>
    <t xml:space="preserve">Fornecimento e instalação de Pré-filtro preenchido com material quartzoso previamente lavado, peneirado e selecionado com granulometria variável de 2 - 4 mm em conformidade com NBR 12244. </t>
  </si>
  <si>
    <t>Realização de teste de vazão e de bombeamento do poço, incluindo operação e Instalação motor-bomba submersa e grupo gerador elétrico, em conformidade com a NBR 12244.</t>
  </si>
  <si>
    <t>Realização de Perfilagem geofísica do poço em conformidade com a NBR 12244.</t>
  </si>
  <si>
    <t>3.18</t>
  </si>
  <si>
    <t>3.19</t>
  </si>
  <si>
    <t>3.20</t>
  </si>
  <si>
    <t>Construção de laje de proteção sanitária em concreto armado para qualquer tipo de estrutura, inclusive forma e ferragens, nas dimensões-1,0m x 1,0m x 0,15m, com declividade de 2% em relação ao centro do poço para as bordas em conformidade com a NBR 12244.</t>
  </si>
  <si>
    <t>Poços Cristalinos - Montagem e Instalação com cata-vento.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</si>
  <si>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</si>
  <si>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</si>
  <si>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</si>
  <si>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</si>
  <si>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</si>
  <si>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</si>
  <si>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</si>
  <si>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</si>
  <si>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</si>
  <si>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</si>
  <si>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</si>
  <si>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</si>
  <si>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</si>
  <si>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</si>
  <si>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Poços Sedimentares - Montagem e Instalação.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</si>
  <si>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</si>
  <si>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</si>
  <si>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</si>
  <si>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</si>
  <si>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</si>
  <si>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</si>
  <si>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</si>
  <si>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</si>
  <si>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</si>
  <si>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</si>
  <si>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</si>
  <si>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</si>
  <si>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</si>
  <si>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</si>
  <si>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</si>
  <si>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</si>
  <si>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</si>
  <si>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Fornecimento e montagem de quadro de medição no padrão CELPE para 3 ou 4 fios, inclusive haste de aterramento, condutores, conectores, eletroduto, disjuntor, caixa para disjuntor, bucha e arruela.</t>
  </si>
  <si>
    <t>Montagem de sistema de aterramento com haste de aterramento tipo Copperwelder, conector e cabo de cobre nu com bitola de 25 mm² para proteção de sistema elétrico em conformidade com a NBR 5410.</t>
  </si>
  <si>
    <t>codigo</t>
  </si>
  <si>
    <t>Execução de rede elétrica de baixa tensão, com capacidade para suportar a carga do equipamento instalado.</t>
  </si>
  <si>
    <t>SERVIÇO: Fornecimento e instalação de Filtro em Tubo de PVC Geomecanico REF. em DN de 6" com luva e rosca com aberturas de 0,5mm. (Para poços de 150m até no maximo 300m de profundidade).</t>
  </si>
  <si>
    <t>Filtro em Tubo de PVC Geomecanico REF. em DN de 6".</t>
  </si>
  <si>
    <t xml:space="preserve">SERVIÇO: Fornecimento e instalação de Pré-filtro preenchido com material quartzoso previamente lavado, peneirado e selecionado com granulometria variável de 2 - 4 mm em conformidade com NBR 12244. </t>
  </si>
  <si>
    <t xml:space="preserve">Areia para leito filtrante, granulometria de 1,68mm a 0,42mm. </t>
  </si>
  <si>
    <t>SERVIÇO: Realização de teste de vazão e de bombeamento do poço, incluindo operação e Instalação motor-bomba submersa e grupo gerador eletrico, em conformidade com a NBR 12244.</t>
  </si>
  <si>
    <t>SERVIÇO: Realização de Perfilagem geofísica do poço em conformidade com a NBR 12244.</t>
  </si>
  <si>
    <t>Sensor sonoro</t>
  </si>
  <si>
    <t>Fornecimento e assentamento de tubos e conexões em PVC tipo Edutor, azul, Diâmetro Nominal de 50 mm (interligação do poço à caixa do reservatório).</t>
  </si>
  <si>
    <t>SERVIÇO : Fornecimento e assentamento de tubos e conexões em PVC tipo Edutor, azul, Diâmetro Nominal de 50 mm (interligação do poço à caixa do reservatório).</t>
  </si>
  <si>
    <t>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</si>
  <si>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SERVIÇO: Fornecimento, montagem e instalação de poço profundo tubular com diâmetro de 6", incluindo conjunto motor-bomba submersa e peças, diâmetro da tubulação de recalque de até 2", profundidade da bomba entre 40 m e 56 m, inclusive rede elétrica do quadro de comando à bomba.</t>
  </si>
  <si>
    <t>Tubulação de ferro galvanizado de 1 1/4" com conexões e acessórios</t>
  </si>
  <si>
    <t>Catavento com torre triangular com 10m de altura, maquina, banhad a óleo com 4 engrenagens, 2 condutores e 2 conduzidos, bomba de 3 com 50cm de altura, valvula de esfera emborrachada e junção de poliuretano injetado, incluindo freio manual e automatico.</t>
  </si>
  <si>
    <t>Auxiliar Prático</t>
  </si>
  <si>
    <t xml:space="preserve">Adaptador </t>
  </si>
  <si>
    <t>Joelho pvc com rosca 2"</t>
  </si>
  <si>
    <t>Luva ferro galvanizado 2"</t>
  </si>
  <si>
    <t>Luva pvc com rosca para eletroduto</t>
  </si>
  <si>
    <t>Eletroduto de PVC rigido de 3/4".</t>
  </si>
  <si>
    <t>Talha manual para 1,5 tonelada</t>
  </si>
  <si>
    <t xml:space="preserve">Curva PVC de 180º </t>
  </si>
  <si>
    <t>Bomba Submersa para Poço Profundo Elétrica Potencia de 3CV.</t>
  </si>
  <si>
    <t>Quadro de comando com chave de partida direta para moteres 3CV com fusivel DZ de 20A e acessorios.</t>
  </si>
  <si>
    <t>Tubo de PVC EDUTOR AZUL de 2" roscavel conexções e acessorios.</t>
  </si>
  <si>
    <t>Estação total - TOPCON GTS-212, leitura angular 1 SEG., precisão 6,0 segundos, acompanha 2,0  prismas</t>
  </si>
  <si>
    <t>Nível wild NA-2, precisão mais ou menos 0,70 mm ou similar.</t>
  </si>
  <si>
    <t>Nivelador</t>
  </si>
  <si>
    <t>Topografo</t>
  </si>
  <si>
    <t>Haste de aterramento com 3,0m DN= 5/8, em aço revestida com baixa camada de cobre.</t>
  </si>
  <si>
    <t>Cabo cobre nu, bitola 25 mm².</t>
  </si>
  <si>
    <t>Cartucho de solda exotérmica nº 90.</t>
  </si>
  <si>
    <t>Prego 18x30.</t>
  </si>
  <si>
    <t>SERVIÇO: Fornecimento, montagem e conservação de placa de identificação de obra padrão  (3m x 2m).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</si>
  <si>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</si>
  <si>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</si>
  <si>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</si>
  <si>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</si>
  <si>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</si>
  <si>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</si>
  <si>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</si>
  <si>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</si>
  <si>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</si>
  <si>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</si>
  <si>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</si>
  <si>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</si>
  <si>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</si>
  <si>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</si>
  <si>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</si>
  <si>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</si>
  <si>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</si>
  <si>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6.18</t>
  </si>
  <si>
    <t>Salário  /  1,8975%</t>
  </si>
  <si>
    <t>Bomba submersa 4" para poço profundo Elétrica Monofásica 1,5CV, saída de 1/ 1/2 marca dancor ou similar.</t>
  </si>
  <si>
    <t>Pasta Lubrificante 400g</t>
  </si>
  <si>
    <t>Veículo comercial leve Cap. Carga até 700kg, Flex</t>
  </si>
  <si>
    <t>Arame galvanizado fio 16 BWG - 1,65m (0,01666 kg/m)</t>
  </si>
  <si>
    <t>Mourão de concreto para escora 10 x 10 cm, tipo esticador, fabricado em concreto armado e vibrado, L = 2,80 +/- 0,06m</t>
  </si>
  <si>
    <t>Mourão de concreto tipo intermediário, ponta virada em 45º, seção T, com furos, fabricado em concreto armado vibrado, L = 2,80 +/- 0,06m</t>
  </si>
  <si>
    <t xml:space="preserve">Data: Agosto/2015 </t>
  </si>
  <si>
    <t>Caminhão toco motor 170 cv</t>
  </si>
  <si>
    <t>Motorista de Caminhão - Piso Mensal</t>
  </si>
  <si>
    <t>Lixa para ferro</t>
  </si>
  <si>
    <t>Tinta grafite esmalte protetora de superfície metálica</t>
  </si>
  <si>
    <t>Areia Média</t>
  </si>
  <si>
    <t xml:space="preserve">Cimento </t>
  </si>
  <si>
    <t>Pedra Britada nº 2</t>
  </si>
  <si>
    <t>Pedra Britada nº 1</t>
  </si>
  <si>
    <t>Operador de betoneira</t>
  </si>
  <si>
    <t>Betoneira 580 l com carregador</t>
  </si>
  <si>
    <t>Operador de Betoneira</t>
  </si>
  <si>
    <t xml:space="preserve">SERVIÇO: Realização de análise físico-química e bacteriológica da água em conformidade com a NR 518, incluindo a coleta, taxas e transporte. </t>
  </si>
  <si>
    <t>SERVIÇO AUXILIAR: Transporte de tubos de PVC 50mm.</t>
  </si>
  <si>
    <t>SERVIÇO AUXILIAR: Transporte de tubos de PVC 32mm.</t>
  </si>
  <si>
    <t>SERVIÇO AUXILIAR: Pintura de superfície com tinta grafite.</t>
  </si>
  <si>
    <t>SERVIÇO AUXILIAR: Concreto fck=25mpa, virado em betoneira, sem lancamento</t>
  </si>
  <si>
    <t>SERVIÇO: Execução de base de sustentação do reservatório em concreto armado, diâmetro de 2,06m e altura de 1,10m, conforme projeto.</t>
  </si>
  <si>
    <t>Locação de rede de adutora para interligação do poço ao reservatório e deste ao bebedouro.</t>
  </si>
  <si>
    <t>SERVIÇO : Locação de rede de adutora para interligação do poço ao reservatorio e deste ao bebedouro.</t>
  </si>
  <si>
    <t>Fornecimento e instalação de Cap PVC geomecânico REF. em DN 6" para vedação do fundo do filtro, inclusive anel de vedação e borracha.</t>
  </si>
  <si>
    <t>DATA:   Agosto/2015</t>
  </si>
  <si>
    <t>SERVIÇO : Administração local da obra</t>
  </si>
  <si>
    <t>CODEVASF - 1.4</t>
  </si>
  <si>
    <t>SERVIÇO: Argamassa de cimento e areia traço 1:3, preparo mecânico.</t>
  </si>
  <si>
    <t xml:space="preserve">Realização de análise físico-química e bacteriológica da água em conformidade com a NR 518, incluindo a coleta, taxas e transporte. </t>
  </si>
  <si>
    <t>SERVIÇO : Perfuração de Poço em rocha sedimentar com diâmetro de 16".</t>
  </si>
  <si>
    <t>SERVIÇO : Perfuração de Poço em rocha sedimentar com diâmetro 12 1/4".</t>
  </si>
  <si>
    <t>2.1/3.1</t>
  </si>
  <si>
    <t>2.10/3.6</t>
  </si>
  <si>
    <t>SERVIÇO: Fornecimento e instalação de Cap PVC geomecânico REF. em DN 6" para vedação do fundo do filtro, inclusive anel de vedação e borracha.</t>
  </si>
  <si>
    <t>2.6/3.8</t>
  </si>
  <si>
    <t>SERVIÇO: Fornecimento e montagem de quadro de medição no padrão CELPE para 3 ou 4 fios, inclusive haste de aterramento, condutores, conectores, eletroduto, disjuntor, caixa para disjuntor, bucha, arruela e tubo.</t>
  </si>
  <si>
    <t>4.11.1/4.12.1/4.13.1/4.17.1</t>
  </si>
  <si>
    <t>SERVIÇO : 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</si>
  <si>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2.2/3.2/4.3/5.3</t>
  </si>
  <si>
    <t>4.14/6.1</t>
  </si>
  <si>
    <t>4.15/6.2</t>
  </si>
  <si>
    <t>4.1/5.1/6.3</t>
  </si>
  <si>
    <t xml:space="preserve">Fornecimento, montagem e instalação de poço tubular com conjunto de motor-bomba submersa, monofásico, 220 volts, 60 Hz, com motor lubrificado e refrigerado a água, acoplado a bombeador multiestágio com válvula de retenção incorporada e reatores em bronze, diâmetro da tubulação 2", capaz de vencer uma altura manométrica mínima de 200 mca com vazão média de 15 m³/h, incluindo quadro de comando compatível com o modelo de bomba instalada e 250 m de cabo, flexível, trifásico, isolado, tensão de 600V/1000V em conformidade com a NBR 7288 e diâmetro compatível com a bomba. </t>
  </si>
  <si>
    <t xml:space="preserve">SERVIÇO: Fornecimento, montagem e instalação de poço tubular com conjunto de motor-bomba submersa, monofásico, 220 volts, 60 Hz, com motor lubrificado e refrigerado a água, acoplado a bombeador multiestágio com válvula de retenção incorporada e retores em bronze, diâmetro da tubulação 2", capaz de vencer uma altura manométrica mínima de 200 mca com vazão média de 15 m³/h, incluindo quadro de comando compativel com o modelo de bomba instalada e 250 m de cabo, flexivel, trifásico, isolado, tensão de 600V/1000V em conformidade com a NBR 7288 e diâmetro compatível com a bomba. </t>
  </si>
  <si>
    <t>4.8/5.8/6.6</t>
  </si>
  <si>
    <t>4.4/4.6/5.4/5.6/6.7/6.12</t>
  </si>
  <si>
    <t>4.5/4.7/5.5/5.7/6.8/6.13</t>
  </si>
  <si>
    <t>4.9/5.9/6.9</t>
  </si>
  <si>
    <t>4.10/5.10/6.10</t>
  </si>
  <si>
    <t>4.11/5.11/6.11</t>
  </si>
  <si>
    <t>4.12/5.12/6.14</t>
  </si>
  <si>
    <t>4.13/5.13/6.15</t>
  </si>
  <si>
    <t>4.17/6.16</t>
  </si>
  <si>
    <t>4.16/6.17</t>
  </si>
  <si>
    <t>SERVIÇO: Montagem de sistema de aterramento com haste de aterrameto tipo Copperwelder, conetor e cabo de cobre nu com bitola de 25 mm² para proteção de sistema eletrico em conformidade com a NBR 5410.</t>
  </si>
  <si>
    <t>4.1.1/5.1.1/6.3.1</t>
  </si>
  <si>
    <t>4.8.1/5.8.1/6.6.1</t>
  </si>
  <si>
    <t>4.11.1/5.11.1/6.11.1</t>
  </si>
  <si>
    <t>4.12.1/4.13.1/4.17.1/5.12.1/5.13.1/6.14.1/6.15.1/6.16.1</t>
  </si>
  <si>
    <t xml:space="preserve">Pick-up leve, flex / 700 Kg </t>
  </si>
  <si>
    <t>Peca de madeira de lei *2,5 x 7,5* cm (1" x 3"), não aparelhada, (p/telhado)</t>
  </si>
  <si>
    <t>Peca de madeira nativa / regional 7,5 x 7,5cm (3x3) nao aparelhada (p/forma)</t>
  </si>
  <si>
    <t>Placa de obra (para construcao civil) em chapa galvanizada *nº 22*, de *2,0 x 1,125* m</t>
  </si>
  <si>
    <t>Concreto nao estrutural, consumo 150kg/m3, preparo com betoneira, sem lancamento</t>
  </si>
  <si>
    <t>1.3.1</t>
  </si>
  <si>
    <t>SERVIÇO AUXILIAR: Concreto nao estrutural, consumo 150kg/m3, preparo com betoneira, sem lancamento</t>
  </si>
  <si>
    <t>Betoneira 320 l, diesel, potencia de 5,5 hp, sem carregador mecanico (locacao)</t>
  </si>
  <si>
    <t>Cimento</t>
  </si>
  <si>
    <t>Limpeza do terreno - Raspagem e limpeza manual do terreno com destocamento de arvore até 15cm (área de bebedouro e do reservatório).</t>
  </si>
  <si>
    <t>Tubo de 6" de PVC geomecânico</t>
  </si>
  <si>
    <t>Cimento Portland CPII-32</t>
  </si>
  <si>
    <t>Cimento Portland CP II - 32.</t>
  </si>
  <si>
    <t>Cap fêmea de 6".</t>
  </si>
  <si>
    <t>Veículo leve</t>
  </si>
  <si>
    <t>Cimento Portland comum CP II - 32.</t>
  </si>
  <si>
    <t>Armação de aço CA 50 - forn. e inst.</t>
  </si>
  <si>
    <t>Tubo de 6" de PVC geo-mecânico reforçado</t>
  </si>
  <si>
    <t>Catavento com torre triangular com 10m de altura, máquina, banhada a óleo com 4 engrenagens, 2 condutores e 2 conduzidos, bomba de 3 com 50cm de altura, valvula de esfera emborrachada e junção de poliuretano injetado, incluindo freio manual e automatico.</t>
  </si>
  <si>
    <t>Cap PVC geomecânico REF. DN 6".</t>
  </si>
  <si>
    <t>Talha manual para 2 ton.</t>
  </si>
  <si>
    <t>EPIs</t>
  </si>
  <si>
    <t>Total Mês</t>
  </si>
  <si>
    <t>nº Meses</t>
  </si>
  <si>
    <t>Quadro de comando com chave de partida direta para motores 1,5CV com fusivel DZ de 20A e acessorios, inclusive voltimetro, amperimetro, sensores de nível, rele falta de fase.</t>
  </si>
  <si>
    <t>Estação total - TOPCON GTS-212, leitura angular 1 SEG., precisão 6,0 segundos, acompanha 2,0  prismas.</t>
  </si>
  <si>
    <t xml:space="preserve">CODEVASF </t>
  </si>
  <si>
    <t>Auxiliar de topografia</t>
  </si>
  <si>
    <t xml:space="preserve">Cabo cobre nu, bitola 25 mm² </t>
  </si>
  <si>
    <t>I7377</t>
  </si>
  <si>
    <t>SEINFRA/CE</t>
  </si>
  <si>
    <t xml:space="preserve"> Data Base Utilizada para Insumos: SINAPI Julho/2015 Desonerado; ORSE Maio/2015; SEINFRA Tabela 023.1; Cotações</t>
  </si>
  <si>
    <t>Data Base Utilizada para Insumos: SINAPI Julho/2015 Desonerado; ORSE Maio/2015; SEINFRA Tabela 023.1; Cotações</t>
  </si>
  <si>
    <t>Escavação manual de vala de fundação em material de 1 e 2ª categoria, com dimensões de 0,40 m x 0,30 m, profundidade até 0,40 m, incluindo regularização manual do fundo da vala (reservatório ao bebedouro).</t>
  </si>
  <si>
    <t>SERVIÇO :Escavação manual de vala de fundação em material de 1 e 2ª categoria, com dimensões de 0,40 m x 0,30 m, profundidade até 0,40 m, incluindo regularização manual do fundo da vala.</t>
  </si>
  <si>
    <t xml:space="preserve">Escavação manual de vala de fundação para instalação de tubulação de adutora em material de 1ª e 2ª categoria, com dimensões de 0,40 m x 0,30 m, profundidade até 0,40 m,  incluindo regularização manual do fundo da vala (poço ao reservatório).  </t>
  </si>
  <si>
    <t>Hidrômetro</t>
  </si>
  <si>
    <t>Quadro de comando com chave de partida direta para moteres 3CV com fusivel DZ de 20A e acessorios, inclusive voltimetro, amperimetro, sensores de nível, rele falta de fase.</t>
  </si>
  <si>
    <t>Bomba Submersa para Poço Profundo Elétrica Monofásica 3CV.</t>
  </si>
  <si>
    <t>2.7/3.9</t>
  </si>
  <si>
    <t>2.8/3.12</t>
  </si>
  <si>
    <t>2.9/3.13</t>
  </si>
  <si>
    <t>2.11/3.16</t>
  </si>
  <si>
    <t>2.12/3.17</t>
  </si>
  <si>
    <t>2.14/3.18</t>
  </si>
  <si>
    <t>2.15/3.19</t>
  </si>
  <si>
    <t>BDI =  ((1+AC+S+R+G)(1+DF)(1+L)/(1-I))-1</t>
  </si>
  <si>
    <t>Acórdão nº 2369/2011</t>
  </si>
  <si>
    <t xml:space="preserve"> Perfuração de Poços Tubulares - LOTE III</t>
  </si>
  <si>
    <t>Comunidades dispersas situadas na zona rural do município de Bodocó  (02 poços sedimentares e 02 poços cristalinos),  área de atuação da 3ª Superintendência Regional da CODEVASF - LOTE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</si>
</sst>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(* #,##0.00_);_(* \(#,##0.00\);_(* &quot;-&quot;??_);_(@_)"/>
    <numFmt numFmtId="165" formatCode="_(* #,##0.00_);_(* \(#,##0.00\);_(* \-??_);_(@_)"/>
    <numFmt numFmtId="166" formatCode="#,##0.000"/>
    <numFmt numFmtId="167" formatCode="mmm\-yy"/>
    <numFmt numFmtId="168" formatCode="0.0"/>
    <numFmt numFmtId="169" formatCode="0.000"/>
    <numFmt numFmtId="170" formatCode="_(&quot;R$ &quot;* #,##0_);_(&quot;R$ &quot;* \(#,##0\);_(&quot;R$ &quot;* \-_);_(@_)"/>
    <numFmt numFmtId="171" formatCode="#,##0.000000"/>
    <numFmt numFmtId="172" formatCode="_(&quot;R$ &quot;* #,##0.00_);_(&quot;R$ &quot;* \(#,##0.00\);_(&quot;R$ &quot;* \-??_);_(@_)"/>
    <numFmt numFmtId="173" formatCode="#,##0.00000"/>
    <numFmt numFmtId="174" formatCode="_-* #,##0.00_-;\-* #,##0.00_-;_-* \-??_-;_-@_-"/>
    <numFmt numFmtId="175" formatCode="#,##0.0000"/>
    <numFmt numFmtId="176" formatCode="#,##0.00000000"/>
    <numFmt numFmtId="177" formatCode="&quot;R$ &quot;#,##0.00"/>
    <numFmt numFmtId="178" formatCode="0.00000"/>
    <numFmt numFmtId="179" formatCode="0.0000"/>
    <numFmt numFmtId="180" formatCode="#,##0.00\ ;&quot; (&quot;#,##0.00\);&quot; -&quot;#\ ;@\ "/>
    <numFmt numFmtId="181" formatCode="0.0000000"/>
  </numFmts>
  <fonts count="42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b/>
      <sz val="10"/>
      <name val="Arial"/>
      <family val="2"/>
    </font>
    <font>
      <b/>
      <sz val="8"/>
      <name val="Times New Roman"/>
      <family val="1"/>
    </font>
    <font>
      <sz val="10"/>
      <color indexed="12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b/>
      <sz val="12"/>
      <color indexed="8"/>
      <name val="Times New Roman"/>
      <family val="1"/>
    </font>
    <font>
      <b/>
      <sz val="12"/>
      <name val="Arial"/>
      <family val="2"/>
    </font>
    <font>
      <b/>
      <sz val="9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2"/>
      <name val="Arial"/>
      <family val="2"/>
    </font>
    <font>
      <b/>
      <sz val="12"/>
      <color indexed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ahoma"/>
      <family val="2"/>
    </font>
  </fonts>
  <fills count="4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00B0F0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44"/>
      </patternFill>
    </fill>
    <fill>
      <patternFill patternType="solid">
        <fgColor indexed="47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31"/>
      </patternFill>
    </fill>
  </fills>
  <borders count="1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</borders>
  <cellStyleXfs count="7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70" fontId="29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71" fontId="29" fillId="0" borderId="0" applyFill="0" applyBorder="0" applyAlignment="0" applyProtection="0"/>
    <xf numFmtId="0" fontId="30" fillId="0" borderId="0"/>
    <xf numFmtId="3" fontId="29" fillId="0" borderId="0"/>
    <xf numFmtId="0" fontId="8" fillId="3" borderId="0" applyNumberFormat="0" applyBorder="0" applyAlignment="0" applyProtection="0"/>
    <xf numFmtId="0" fontId="31" fillId="0" borderId="0"/>
    <xf numFmtId="172" fontId="29" fillId="0" borderId="0" applyFill="0" applyBorder="0" applyAlignment="0" applyProtection="0"/>
    <xf numFmtId="0" fontId="9" fillId="22" borderId="0" applyNumberFormat="0" applyBorder="0" applyAlignment="0" applyProtection="0"/>
    <xf numFmtId="0" fontId="29" fillId="0" borderId="0"/>
    <xf numFmtId="0" fontId="29" fillId="0" borderId="0"/>
    <xf numFmtId="3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29" fillId="0" borderId="0"/>
    <xf numFmtId="3" fontId="29" fillId="0" borderId="0"/>
    <xf numFmtId="0" fontId="29" fillId="23" borderId="4" applyNumberFormat="0" applyAlignment="0" applyProtection="0"/>
    <xf numFmtId="9" fontId="29" fillId="0" borderId="0" applyFill="0" applyBorder="0" applyAlignment="0" applyProtection="0"/>
    <xf numFmtId="9" fontId="29" fillId="0" borderId="0" applyFill="0" applyBorder="0" applyAlignment="0" applyProtection="0"/>
    <xf numFmtId="0" fontId="10" fillId="16" borderId="5" applyNumberFormat="0" applyAlignment="0" applyProtection="0"/>
    <xf numFmtId="165" fontId="29" fillId="0" borderId="0" applyFill="0" applyBorder="0" applyAlignment="0" applyProtection="0"/>
    <xf numFmtId="169" fontId="29" fillId="0" borderId="0" applyFill="0" applyBorder="0" applyAlignment="0" applyProtection="0"/>
    <xf numFmtId="169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3" fontId="29" fillId="0" borderId="0" applyFill="0" applyBorder="0" applyAlignment="0" applyProtection="0"/>
    <xf numFmtId="174" fontId="29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4" fontId="29" fillId="0" borderId="0" applyFont="0" applyFill="0" applyBorder="0" applyAlignment="0" applyProtection="0"/>
    <xf numFmtId="0" fontId="29" fillId="0" borderId="0"/>
  </cellStyleXfs>
  <cellXfs count="883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2" fontId="18" fillId="24" borderId="0" xfId="0" applyNumberFormat="1" applyFont="1" applyFill="1" applyBorder="1"/>
    <xf numFmtId="4" fontId="23" fillId="0" borderId="0" xfId="0" applyNumberFormat="1" applyFont="1"/>
    <xf numFmtId="4" fontId="23" fillId="24" borderId="10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vertical="center" wrapText="1"/>
    </xf>
    <xf numFmtId="4" fontId="23" fillId="24" borderId="12" xfId="48" applyNumberFormat="1" applyFont="1" applyFill="1" applyBorder="1" applyAlignment="1">
      <alignment horizontal="center" vertical="center" wrapText="1"/>
    </xf>
    <xf numFmtId="4" fontId="23" fillId="24" borderId="13" xfId="48" applyNumberFormat="1" applyFont="1" applyFill="1" applyBorder="1" applyAlignment="1">
      <alignment horizontal="center" vertical="center" wrapText="1"/>
    </xf>
    <xf numFmtId="4" fontId="23" fillId="0" borderId="14" xfId="48" applyNumberFormat="1" applyFont="1" applyBorder="1" applyAlignment="1">
      <alignment horizontal="left" vertical="center"/>
    </xf>
    <xf numFmtId="4" fontId="23" fillId="24" borderId="14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wrapText="1"/>
    </xf>
    <xf numFmtId="4" fontId="23" fillId="0" borderId="12" xfId="48" applyNumberFormat="1" applyFont="1" applyFill="1" applyBorder="1" applyAlignment="1">
      <alignment horizontal="center" vertical="center"/>
    </xf>
    <xf numFmtId="4" fontId="23" fillId="0" borderId="12" xfId="48" applyNumberFormat="1" applyFont="1" applyFill="1" applyBorder="1" applyAlignment="1">
      <alignment horizontal="right" vertical="center"/>
    </xf>
    <xf numFmtId="4" fontId="25" fillId="0" borderId="0" xfId="0" applyNumberFormat="1" applyFont="1"/>
    <xf numFmtId="4" fontId="24" fillId="24" borderId="0" xfId="48" applyNumberFormat="1" applyFont="1" applyFill="1" applyBorder="1" applyAlignment="1">
      <alignment horizontal="left" vertical="center"/>
    </xf>
    <xf numFmtId="4" fontId="23" fillId="0" borderId="12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right"/>
    </xf>
    <xf numFmtId="4" fontId="23" fillId="24" borderId="12" xfId="33" applyNumberFormat="1" applyFont="1" applyFill="1" applyBorder="1" applyAlignment="1">
      <alignment horizontal="center" vertical="center"/>
    </xf>
    <xf numFmtId="4" fontId="23" fillId="0" borderId="12" xfId="33" applyNumberFormat="1" applyFont="1" applyFill="1" applyBorder="1" applyAlignment="1">
      <alignment horizontal="center" vertical="center"/>
    </xf>
    <xf numFmtId="4" fontId="23" fillId="0" borderId="15" xfId="48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/>
    </xf>
    <xf numFmtId="4" fontId="23" fillId="24" borderId="15" xfId="48" applyNumberFormat="1" applyFont="1" applyFill="1" applyBorder="1" applyAlignment="1">
      <alignment horizontal="center" vertical="center"/>
    </xf>
    <xf numFmtId="4" fontId="23" fillId="24" borderId="13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wrapText="1"/>
    </xf>
    <xf numFmtId="4" fontId="23" fillId="0" borderId="15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3" xfId="48" applyNumberFormat="1" applyFont="1" applyFill="1" applyBorder="1" applyAlignment="1">
      <alignment horizontal="center"/>
    </xf>
    <xf numFmtId="3" fontId="23" fillId="0" borderId="0" xfId="0" applyNumberFormat="1" applyFont="1"/>
    <xf numFmtId="0" fontId="23" fillId="0" borderId="0" xfId="0" applyFont="1"/>
    <xf numFmtId="3" fontId="23" fillId="0" borderId="23" xfId="0" applyNumberFormat="1" applyFont="1" applyFill="1" applyBorder="1" applyAlignment="1">
      <alignment horizontal="center" vertical="center"/>
    </xf>
    <xf numFmtId="167" fontId="23" fillId="0" borderId="23" xfId="0" applyNumberFormat="1" applyFont="1" applyFill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165" fontId="29" fillId="24" borderId="0" xfId="53" applyFill="1" applyBorder="1" applyAlignment="1">
      <alignment vertical="top" wrapText="1"/>
    </xf>
    <xf numFmtId="4" fontId="23" fillId="0" borderId="14" xfId="48" applyNumberFormat="1" applyFont="1" applyFill="1" applyBorder="1" applyAlignment="1">
      <alignment horizontal="justify" vertical="center" wrapText="1"/>
    </xf>
    <xf numFmtId="4" fontId="23" fillId="24" borderId="17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vertical="center"/>
    </xf>
    <xf numFmtId="4" fontId="24" fillId="24" borderId="0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center"/>
    </xf>
    <xf numFmtId="4" fontId="23" fillId="24" borderId="25" xfId="48" applyNumberFormat="1" applyFont="1" applyFill="1" applyBorder="1" applyAlignment="1">
      <alignment vertical="center"/>
    </xf>
    <xf numFmtId="4" fontId="23" fillId="24" borderId="26" xfId="48" applyNumberFormat="1" applyFont="1" applyFill="1" applyBorder="1" applyAlignment="1">
      <alignment vertical="center"/>
    </xf>
    <xf numFmtId="4" fontId="23" fillId="24" borderId="11" xfId="48" applyNumberFormat="1" applyFont="1" applyFill="1" applyBorder="1" applyAlignment="1">
      <alignment horizontal="right" vertical="center"/>
    </xf>
    <xf numFmtId="4" fontId="23" fillId="0" borderId="15" xfId="33" applyNumberFormat="1" applyFont="1" applyFill="1" applyBorder="1" applyAlignment="1">
      <alignment horizontal="center"/>
    </xf>
    <xf numFmtId="4" fontId="23" fillId="24" borderId="23" xfId="48" applyNumberFormat="1" applyFont="1" applyFill="1" applyBorder="1" applyAlignment="1">
      <alignment horizontal="center" vertical="center"/>
    </xf>
    <xf numFmtId="4" fontId="23" fillId="24" borderId="25" xfId="48" applyNumberFormat="1" applyFont="1" applyFill="1" applyBorder="1" applyAlignment="1">
      <alignment horizontal="left" vertical="center"/>
    </xf>
    <xf numFmtId="4" fontId="23" fillId="24" borderId="28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/>
    </xf>
    <xf numFmtId="4" fontId="23" fillId="0" borderId="23" xfId="33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center" vertical="center" wrapText="1"/>
    </xf>
    <xf numFmtId="165" fontId="29" fillId="24" borderId="0" xfId="53" applyFill="1" applyBorder="1" applyAlignment="1">
      <alignment vertical="center" wrapText="1"/>
    </xf>
    <xf numFmtId="165" fontId="26" fillId="24" borderId="0" xfId="53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4" fontId="25" fillId="0" borderId="0" xfId="0" applyNumberFormat="1" applyFont="1" applyAlignment="1">
      <alignment vertical="center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8" fillId="24" borderId="0" xfId="0" applyFont="1" applyFill="1" applyBorder="1" applyAlignment="1">
      <alignment vertical="center"/>
    </xf>
    <xf numFmtId="9" fontId="18" fillId="24" borderId="0" xfId="50" applyFont="1" applyFill="1" applyBorder="1" applyAlignment="1" applyProtection="1">
      <alignment vertical="center" wrapText="1"/>
    </xf>
    <xf numFmtId="4" fontId="18" fillId="24" borderId="0" xfId="0" applyNumberFormat="1" applyFont="1" applyFill="1" applyBorder="1" applyAlignment="1">
      <alignment vertical="center"/>
    </xf>
    <xf numFmtId="0" fontId="18" fillId="24" borderId="0" xfId="0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center" vertical="center" wrapText="1"/>
    </xf>
    <xf numFmtId="4" fontId="23" fillId="24" borderId="38" xfId="48" applyNumberFormat="1" applyFont="1" applyFill="1" applyBorder="1" applyAlignment="1">
      <alignment horizontal="center" vertical="center" wrapText="1"/>
    </xf>
    <xf numFmtId="4" fontId="23" fillId="0" borderId="41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 wrapText="1"/>
    </xf>
    <xf numFmtId="4" fontId="23" fillId="0" borderId="42" xfId="0" applyNumberFormat="1" applyFont="1" applyFill="1" applyBorder="1" applyAlignment="1">
      <alignment vertical="center" wrapText="1"/>
    </xf>
    <xf numFmtId="4" fontId="23" fillId="0" borderId="42" xfId="48" applyNumberFormat="1" applyFont="1" applyFill="1" applyBorder="1" applyAlignment="1">
      <alignment horizontal="left" vertical="center" wrapText="1"/>
    </xf>
    <xf numFmtId="4" fontId="25" fillId="0" borderId="0" xfId="0" applyNumberFormat="1" applyFont="1" applyFill="1" applyAlignment="1">
      <alignment vertical="center"/>
    </xf>
    <xf numFmtId="4" fontId="23" fillId="0" borderId="14" xfId="48" applyNumberFormat="1" applyFont="1" applyFill="1" applyBorder="1" applyAlignment="1">
      <alignment vertical="center" wrapText="1"/>
    </xf>
    <xf numFmtId="4" fontId="23" fillId="0" borderId="42" xfId="0" applyNumberFormat="1" applyFont="1" applyFill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justify" vertical="center" wrapText="1"/>
    </xf>
    <xf numFmtId="0" fontId="18" fillId="0" borderId="23" xfId="0" applyNumberFormat="1" applyFont="1" applyBorder="1" applyAlignment="1">
      <alignment horizontal="center" vertical="center"/>
    </xf>
    <xf numFmtId="4" fontId="23" fillId="0" borderId="26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top"/>
    </xf>
    <xf numFmtId="0" fontId="18" fillId="24" borderId="23" xfId="0" applyFont="1" applyFill="1" applyBorder="1" applyAlignment="1">
      <alignment horizontal="justify" vertical="center"/>
    </xf>
    <xf numFmtId="0" fontId="21" fillId="24" borderId="23" xfId="0" applyFont="1" applyFill="1" applyBorder="1" applyAlignment="1">
      <alignment horizontal="center" vertical="top"/>
    </xf>
    <xf numFmtId="0" fontId="19" fillId="25" borderId="23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top"/>
    </xf>
    <xf numFmtId="0" fontId="21" fillId="24" borderId="23" xfId="0" applyFont="1" applyFill="1" applyBorder="1" applyAlignment="1">
      <alignment horizontal="justify" vertical="top" wrapText="1"/>
    </xf>
    <xf numFmtId="0" fontId="22" fillId="0" borderId="23" xfId="0" applyFont="1" applyFill="1" applyBorder="1" applyAlignment="1">
      <alignment horizontal="justify" vertical="center"/>
    </xf>
    <xf numFmtId="0" fontId="18" fillId="0" borderId="23" xfId="0" applyFont="1" applyFill="1" applyBorder="1" applyAlignment="1">
      <alignment horizontal="justify" vertical="center"/>
    </xf>
    <xf numFmtId="0" fontId="18" fillId="0" borderId="23" xfId="0" applyNumberFormat="1" applyFont="1" applyBorder="1" applyAlignment="1">
      <alignment horizontal="justify" vertical="center" wrapText="1"/>
    </xf>
    <xf numFmtId="0" fontId="18" fillId="24" borderId="23" xfId="0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justify" vertical="center" wrapText="1"/>
    </xf>
    <xf numFmtId="4" fontId="23" fillId="0" borderId="10" xfId="48" applyNumberFormat="1" applyFont="1" applyFill="1" applyBorder="1" applyAlignment="1">
      <alignment horizontal="left" vertical="center"/>
    </xf>
    <xf numFmtId="4" fontId="27" fillId="4" borderId="31" xfId="0" applyNumberFormat="1" applyFont="1" applyFill="1" applyBorder="1" applyAlignment="1">
      <alignment horizontal="justify" vertical="center"/>
    </xf>
    <xf numFmtId="3" fontId="23" fillId="0" borderId="23" xfId="0" applyNumberFormat="1" applyFont="1" applyFill="1" applyBorder="1" applyAlignment="1">
      <alignment horizontal="justify" vertical="center" wrapText="1"/>
    </xf>
    <xf numFmtId="3" fontId="23" fillId="0" borderId="23" xfId="0" applyNumberFormat="1" applyFont="1" applyFill="1" applyBorder="1" applyAlignment="1">
      <alignment horizontal="justify" vertical="center"/>
    </xf>
    <xf numFmtId="4" fontId="23" fillId="0" borderId="23" xfId="48" applyNumberFormat="1" applyFont="1" applyFill="1" applyBorder="1" applyAlignment="1">
      <alignment horizontal="justify" vertical="center"/>
    </xf>
    <xf numFmtId="0" fontId="23" fillId="0" borderId="23" xfId="0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justify" vertical="center"/>
    </xf>
    <xf numFmtId="4" fontId="23" fillId="0" borderId="23" xfId="0" applyNumberFormat="1" applyFont="1" applyFill="1" applyBorder="1" applyAlignment="1">
      <alignment horizontal="justify" vertical="center" wrapText="1"/>
    </xf>
    <xf numFmtId="0" fontId="23" fillId="0" borderId="23" xfId="0" applyFont="1" applyBorder="1" applyAlignment="1">
      <alignment horizontal="justify" vertical="center"/>
    </xf>
    <xf numFmtId="4" fontId="23" fillId="0" borderId="23" xfId="0" applyNumberFormat="1" applyFont="1" applyBorder="1" applyAlignment="1">
      <alignment horizontal="justify" vertical="center" wrapText="1"/>
    </xf>
    <xf numFmtId="4" fontId="23" fillId="0" borderId="23" xfId="48" applyNumberFormat="1" applyFont="1" applyBorder="1" applyAlignment="1">
      <alignment horizontal="justify" vertical="center" wrapText="1"/>
    </xf>
    <xf numFmtId="0" fontId="23" fillId="0" borderId="42" xfId="0" applyFont="1" applyFill="1" applyBorder="1" applyAlignment="1">
      <alignment horizontal="justify" vertical="center"/>
    </xf>
    <xf numFmtId="3" fontId="23" fillId="0" borderId="15" xfId="0" applyNumberFormat="1" applyFont="1" applyFill="1" applyBorder="1" applyAlignment="1">
      <alignment horizontal="justify" vertical="center" wrapText="1"/>
    </xf>
    <xf numFmtId="3" fontId="23" fillId="0" borderId="27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/>
    <xf numFmtId="10" fontId="25" fillId="0" borderId="0" xfId="0" applyNumberFormat="1" applyFont="1" applyFill="1" applyBorder="1" applyAlignment="1">
      <alignment horizontal="center"/>
    </xf>
    <xf numFmtId="4" fontId="23" fillId="0" borderId="0" xfId="0" applyNumberFormat="1" applyFont="1" applyFill="1" applyBorder="1" applyAlignment="1" applyProtection="1">
      <alignment horizontal="right"/>
      <protection locked="0"/>
    </xf>
    <xf numFmtId="3" fontId="23" fillId="0" borderId="0" xfId="0" applyNumberFormat="1" applyFont="1" applyFill="1" applyBorder="1"/>
    <xf numFmtId="3" fontId="23" fillId="0" borderId="0" xfId="0" applyNumberFormat="1" applyFont="1" applyBorder="1"/>
    <xf numFmtId="4" fontId="23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top" wrapText="1"/>
    </xf>
    <xf numFmtId="4" fontId="23" fillId="0" borderId="11" xfId="48" applyNumberFormat="1" applyFont="1" applyFill="1" applyBorder="1" applyAlignment="1">
      <alignment wrapText="1"/>
    </xf>
    <xf numFmtId="0" fontId="18" fillId="26" borderId="23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top"/>
    </xf>
    <xf numFmtId="0" fontId="18" fillId="0" borderId="23" xfId="0" applyNumberFormat="1" applyFont="1" applyFill="1" applyBorder="1" applyAlignment="1">
      <alignment horizontal="justify" vertical="center" wrapText="1"/>
    </xf>
    <xf numFmtId="0" fontId="18" fillId="0" borderId="23" xfId="0" applyNumberFormat="1" applyFont="1" applyFill="1" applyBorder="1" applyAlignment="1">
      <alignment horizontal="center" vertical="center"/>
    </xf>
    <xf numFmtId="0" fontId="18" fillId="26" borderId="0" xfId="0" applyFont="1" applyFill="1" applyBorder="1" applyAlignment="1">
      <alignment vertical="top" wrapText="1"/>
    </xf>
    <xf numFmtId="165" fontId="26" fillId="26" borderId="0" xfId="53" applyFont="1" applyFill="1" applyBorder="1" applyAlignment="1">
      <alignment vertical="center" wrapText="1"/>
    </xf>
    <xf numFmtId="165" fontId="29" fillId="26" borderId="0" xfId="53" applyFill="1" applyBorder="1" applyAlignment="1">
      <alignment vertical="center" wrapText="1"/>
    </xf>
    <xf numFmtId="2" fontId="23" fillId="0" borderId="0" xfId="0" applyNumberFormat="1" applyFont="1" applyFill="1" applyAlignment="1">
      <alignment vertical="center"/>
    </xf>
    <xf numFmtId="49" fontId="19" fillId="24" borderId="23" xfId="0" applyNumberFormat="1" applyFont="1" applyFill="1" applyBorder="1" applyAlignment="1">
      <alignment horizontal="center" vertical="center"/>
    </xf>
    <xf numFmtId="2" fontId="23" fillId="0" borderId="0" xfId="0" applyNumberFormat="1" applyFont="1"/>
    <xf numFmtId="0" fontId="28" fillId="0" borderId="0" xfId="0" applyFont="1"/>
    <xf numFmtId="10" fontId="23" fillId="0" borderId="0" xfId="0" applyNumberFormat="1" applyFont="1"/>
    <xf numFmtId="2" fontId="23" fillId="0" borderId="0" xfId="0" applyNumberFormat="1" applyFont="1" applyAlignment="1">
      <alignment vertical="center"/>
    </xf>
    <xf numFmtId="165" fontId="23" fillId="0" borderId="0" xfId="53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2" fontId="35" fillId="0" borderId="0" xfId="0" applyNumberFormat="1" applyFont="1" applyFill="1" applyAlignment="1">
      <alignment vertical="center"/>
    </xf>
    <xf numFmtId="0" fontId="36" fillId="0" borderId="0" xfId="0" applyFont="1" applyAlignment="1">
      <alignment vertical="center"/>
    </xf>
    <xf numFmtId="2" fontId="23" fillId="0" borderId="0" xfId="0" applyNumberFormat="1" applyFont="1" applyFill="1" applyBorder="1" applyAlignment="1">
      <alignment vertical="center"/>
    </xf>
    <xf numFmtId="168" fontId="23" fillId="0" borderId="0" xfId="0" applyNumberFormat="1" applyFont="1" applyAlignment="1">
      <alignment vertical="center"/>
    </xf>
    <xf numFmtId="0" fontId="23" fillId="0" borderId="0" xfId="0" applyFont="1" applyBorder="1" applyAlignment="1">
      <alignment vertical="center"/>
    </xf>
    <xf numFmtId="2" fontId="23" fillId="0" borderId="0" xfId="0" applyNumberFormat="1" applyFont="1" applyBorder="1" applyAlignment="1">
      <alignment vertical="center"/>
    </xf>
    <xf numFmtId="3" fontId="23" fillId="0" borderId="31" xfId="0" applyNumberFormat="1" applyFont="1" applyFill="1" applyBorder="1" applyAlignment="1">
      <alignment horizontal="justify" vertical="center" wrapText="1"/>
    </xf>
    <xf numFmtId="3" fontId="23" fillId="0" borderId="0" xfId="0" applyNumberFormat="1" applyFont="1" applyFill="1" applyAlignment="1">
      <alignment horizontal="center"/>
    </xf>
    <xf numFmtId="3" fontId="23" fillId="0" borderId="0" xfId="0" applyNumberFormat="1" applyFont="1" applyAlignment="1">
      <alignment horizontal="justify"/>
    </xf>
    <xf numFmtId="3" fontId="23" fillId="0" borderId="0" xfId="0" applyNumberFormat="1" applyFont="1" applyAlignment="1">
      <alignment horizontal="center"/>
    </xf>
    <xf numFmtId="4" fontId="23" fillId="4" borderId="10" xfId="0" applyNumberFormat="1" applyFont="1" applyFill="1" applyBorder="1" applyAlignment="1">
      <alignment horizontal="center"/>
    </xf>
    <xf numFmtId="4" fontId="23" fillId="4" borderId="31" xfId="0" applyNumberFormat="1" applyFont="1" applyFill="1" applyBorder="1" applyAlignment="1">
      <alignment horizontal="center"/>
    </xf>
    <xf numFmtId="3" fontId="23" fillId="4" borderId="19" xfId="0" applyNumberFormat="1" applyFont="1" applyFill="1" applyBorder="1" applyAlignment="1">
      <alignment horizontal="center"/>
    </xf>
    <xf numFmtId="3" fontId="23" fillId="24" borderId="0" xfId="0" applyNumberFormat="1" applyFont="1" applyFill="1" applyAlignment="1">
      <alignment horizontal="justify"/>
    </xf>
    <xf numFmtId="3" fontId="23" fillId="24" borderId="0" xfId="0" applyNumberFormat="1" applyFont="1" applyFill="1" applyAlignment="1">
      <alignment horizontal="center"/>
    </xf>
    <xf numFmtId="0" fontId="23" fillId="0" borderId="30" xfId="0" applyFont="1" applyBorder="1" applyAlignment="1">
      <alignment vertical="center"/>
    </xf>
    <xf numFmtId="0" fontId="23" fillId="0" borderId="30" xfId="0" applyFont="1" applyFill="1" applyBorder="1" applyAlignment="1">
      <alignment vertical="center"/>
    </xf>
    <xf numFmtId="0" fontId="23" fillId="0" borderId="53" xfId="0" applyFont="1" applyBorder="1" applyAlignment="1">
      <alignment vertic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justify"/>
    </xf>
    <xf numFmtId="0" fontId="18" fillId="24" borderId="0" xfId="0" applyFont="1" applyFill="1" applyBorder="1" applyAlignment="1"/>
    <xf numFmtId="3" fontId="34" fillId="4" borderId="54" xfId="0" applyNumberFormat="1" applyFont="1" applyFill="1" applyBorder="1" applyAlignment="1">
      <alignment horizontal="center"/>
    </xf>
    <xf numFmtId="3" fontId="34" fillId="4" borderId="55" xfId="0" applyNumberFormat="1" applyFont="1" applyFill="1" applyBorder="1" applyAlignment="1">
      <alignment horizontal="center"/>
    </xf>
    <xf numFmtId="3" fontId="34" fillId="4" borderId="56" xfId="0" applyNumberFormat="1" applyFont="1" applyFill="1" applyBorder="1" applyAlignment="1">
      <alignment horizontal="justify"/>
    </xf>
    <xf numFmtId="3" fontId="34" fillId="4" borderId="23" xfId="0" applyNumberFormat="1" applyFont="1" applyFill="1" applyBorder="1" applyAlignment="1">
      <alignment horizontal="center"/>
    </xf>
    <xf numFmtId="2" fontId="23" fillId="0" borderId="0" xfId="0" applyNumberFormat="1" applyFont="1" applyFill="1" applyAlignment="1">
      <alignment horizontal="center"/>
    </xf>
    <xf numFmtId="2" fontId="23" fillId="4" borderId="31" xfId="0" applyNumberFormat="1" applyFont="1" applyFill="1" applyBorder="1" applyAlignment="1" applyProtection="1">
      <alignment horizontal="center"/>
      <protection locked="0"/>
    </xf>
    <xf numFmtId="2" fontId="34" fillId="4" borderId="55" xfId="0" applyNumberFormat="1" applyFont="1" applyFill="1" applyBorder="1" applyAlignment="1">
      <alignment horizontal="center"/>
    </xf>
    <xf numFmtId="0" fontId="23" fillId="0" borderId="0" xfId="0" applyNumberFormat="1" applyFont="1"/>
    <xf numFmtId="0" fontId="19" fillId="27" borderId="23" xfId="0" applyFont="1" applyFill="1" applyBorder="1" applyAlignment="1">
      <alignment horizontal="center" vertical="center" wrapText="1"/>
    </xf>
    <xf numFmtId="0" fontId="19" fillId="25" borderId="23" xfId="0" applyFont="1" applyFill="1" applyBorder="1" applyAlignment="1">
      <alignment horizontal="center" vertical="top"/>
    </xf>
    <xf numFmtId="0" fontId="19" fillId="0" borderId="23" xfId="0" applyFont="1" applyBorder="1" applyAlignment="1">
      <alignment horizontal="center" vertical="center" wrapText="1"/>
    </xf>
    <xf numFmtId="0" fontId="23" fillId="28" borderId="30" xfId="0" applyFont="1" applyFill="1" applyBorder="1" applyAlignment="1">
      <alignment vertical="center"/>
    </xf>
    <xf numFmtId="2" fontId="23" fillId="28" borderId="0" xfId="0" applyNumberFormat="1" applyFont="1" applyFill="1" applyAlignment="1">
      <alignment vertical="center"/>
    </xf>
    <xf numFmtId="0" fontId="23" fillId="28" borderId="0" xfId="0" applyFont="1" applyFill="1" applyAlignment="1">
      <alignment vertical="center"/>
    </xf>
    <xf numFmtId="0" fontId="28" fillId="28" borderId="0" xfId="0" applyFont="1" applyFill="1" applyAlignment="1">
      <alignment vertical="center"/>
    </xf>
    <xf numFmtId="0" fontId="25" fillId="28" borderId="0" xfId="0" applyFont="1" applyFill="1" applyAlignment="1">
      <alignment vertical="center"/>
    </xf>
    <xf numFmtId="0" fontId="28" fillId="28" borderId="0" xfId="0" applyFont="1" applyFill="1" applyBorder="1" applyAlignment="1">
      <alignment horizontal="center" vertical="center"/>
    </xf>
    <xf numFmtId="0" fontId="23" fillId="28" borderId="0" xfId="0" applyFont="1" applyFill="1" applyAlignment="1">
      <alignment horizontal="center" vertical="center"/>
    </xf>
    <xf numFmtId="14" fontId="23" fillId="28" borderId="0" xfId="0" applyNumberFormat="1" applyFont="1" applyFill="1" applyAlignment="1">
      <alignment vertical="center"/>
    </xf>
    <xf numFmtId="3" fontId="23" fillId="29" borderId="23" xfId="0" applyNumberFormat="1" applyFont="1" applyFill="1" applyBorder="1" applyAlignment="1">
      <alignment horizontal="justify" vertical="center"/>
    </xf>
    <xf numFmtId="3" fontId="23" fillId="29" borderId="23" xfId="0" applyNumberFormat="1" applyFont="1" applyFill="1" applyBorder="1" applyAlignment="1">
      <alignment horizontal="center" vertical="center"/>
    </xf>
    <xf numFmtId="1" fontId="23" fillId="29" borderId="23" xfId="0" applyNumberFormat="1" applyFont="1" applyFill="1" applyBorder="1" applyAlignment="1">
      <alignment horizontal="center" vertical="center"/>
    </xf>
    <xf numFmtId="2" fontId="23" fillId="28" borderId="0" xfId="0" applyNumberFormat="1" applyFont="1" applyFill="1" applyBorder="1" applyAlignment="1">
      <alignment vertical="center"/>
    </xf>
    <xf numFmtId="0" fontId="23" fillId="28" borderId="0" xfId="0" applyFont="1" applyFill="1" applyBorder="1" applyAlignment="1">
      <alignment vertical="center"/>
    </xf>
    <xf numFmtId="0" fontId="23" fillId="28" borderId="53" xfId="0" applyFont="1" applyFill="1" applyBorder="1" applyAlignment="1">
      <alignment vertical="center"/>
    </xf>
    <xf numFmtId="0" fontId="23" fillId="29" borderId="23" xfId="0" applyFont="1" applyFill="1" applyBorder="1" applyAlignment="1">
      <alignment horizontal="center" vertical="center"/>
    </xf>
    <xf numFmtId="4" fontId="23" fillId="29" borderId="23" xfId="48" applyNumberFormat="1" applyFont="1" applyFill="1" applyBorder="1" applyAlignment="1">
      <alignment horizontal="justify" vertical="center" wrapText="1"/>
    </xf>
    <xf numFmtId="167" fontId="23" fillId="29" borderId="23" xfId="0" applyNumberFormat="1" applyFont="1" applyFill="1" applyBorder="1" applyAlignment="1">
      <alignment horizontal="center" vertical="center"/>
    </xf>
    <xf numFmtId="0" fontId="23" fillId="29" borderId="23" xfId="0" applyFont="1" applyFill="1" applyBorder="1" applyAlignment="1">
      <alignment horizontal="justify" vertical="center" wrapText="1"/>
    </xf>
    <xf numFmtId="4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quotePrefix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vertical="center"/>
    </xf>
    <xf numFmtId="4" fontId="23" fillId="0" borderId="50" xfId="48" applyNumberFormat="1" applyFont="1" applyFill="1" applyBorder="1" applyAlignment="1">
      <alignment horizontal="justify" vertical="center" wrapText="1"/>
    </xf>
    <xf numFmtId="4" fontId="23" fillId="0" borderId="46" xfId="48" applyNumberFormat="1" applyFont="1" applyFill="1" applyBorder="1" applyAlignment="1">
      <alignment horizontal="center" vertical="center"/>
    </xf>
    <xf numFmtId="4" fontId="23" fillId="0" borderId="23" xfId="48" applyNumberFormat="1" applyFont="1" applyFill="1" applyBorder="1" applyAlignment="1">
      <alignment horizontal="center" vertical="center" wrapText="1"/>
    </xf>
    <xf numFmtId="4" fontId="23" fillId="0" borderId="26" xfId="48" applyNumberFormat="1" applyFont="1" applyFill="1" applyBorder="1" applyAlignment="1">
      <alignment horizontal="right" vertical="center"/>
    </xf>
    <xf numFmtId="4" fontId="23" fillId="0" borderId="38" xfId="48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3" fillId="0" borderId="36" xfId="48" applyNumberFormat="1" applyFont="1" applyFill="1" applyBorder="1" applyAlignment="1">
      <alignment horizontal="center" vertical="center"/>
    </xf>
    <xf numFmtId="4" fontId="23" fillId="0" borderId="38" xfId="48" applyNumberFormat="1" applyFont="1" applyFill="1" applyBorder="1" applyAlignment="1">
      <alignment horizontal="center" vertical="center" wrapText="1"/>
    </xf>
    <xf numFmtId="4" fontId="23" fillId="0" borderId="38" xfId="48" applyNumberFormat="1" applyFont="1" applyFill="1" applyBorder="1" applyAlignment="1">
      <alignment horizontal="center"/>
    </xf>
    <xf numFmtId="3" fontId="23" fillId="0" borderId="39" xfId="0" applyNumberFormat="1" applyFont="1" applyFill="1" applyBorder="1" applyAlignment="1">
      <alignment horizontal="left" vertical="center" wrapText="1"/>
    </xf>
    <xf numFmtId="3" fontId="23" fillId="0" borderId="26" xfId="0" applyNumberFormat="1" applyFont="1" applyFill="1" applyBorder="1" applyAlignment="1">
      <alignment horizontal="left" vertical="center" wrapText="1"/>
    </xf>
    <xf numFmtId="3" fontId="23" fillId="0" borderId="12" xfId="0" applyNumberFormat="1" applyFont="1" applyFill="1" applyBorder="1" applyAlignment="1">
      <alignment horizontal="center" vertical="center"/>
    </xf>
    <xf numFmtId="175" fontId="23" fillId="0" borderId="12" xfId="0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left" vertical="center"/>
    </xf>
    <xf numFmtId="4" fontId="23" fillId="0" borderId="17" xfId="48" applyNumberFormat="1" applyFont="1" applyFill="1" applyBorder="1" applyAlignment="1">
      <alignment horizontal="center" vertical="center"/>
    </xf>
    <xf numFmtId="4" fontId="23" fillId="0" borderId="13" xfId="48" applyNumberFormat="1" applyFont="1" applyFill="1" applyBorder="1" applyAlignment="1">
      <alignment horizontal="center" vertical="center" wrapText="1"/>
    </xf>
    <xf numFmtId="4" fontId="23" fillId="0" borderId="14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4" fontId="23" fillId="24" borderId="17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center" wrapText="1"/>
    </xf>
    <xf numFmtId="4" fontId="23" fillId="24" borderId="12" xfId="33" applyNumberFormat="1" applyFont="1" applyFill="1" applyBorder="1" applyAlignment="1">
      <alignment horizontal="center" wrapText="1"/>
    </xf>
    <xf numFmtId="4" fontId="23" fillId="24" borderId="12" xfId="48" applyNumberFormat="1" applyFont="1" applyFill="1" applyBorder="1" applyAlignment="1">
      <alignment horizontal="right" wrapText="1"/>
    </xf>
    <xf numFmtId="4" fontId="23" fillId="24" borderId="12" xfId="48" applyNumberFormat="1" applyFont="1" applyFill="1" applyBorder="1" applyAlignment="1">
      <alignment horizontal="center" wrapText="1"/>
    </xf>
    <xf numFmtId="4" fontId="23" fillId="24" borderId="13" xfId="48" applyNumberFormat="1" applyFont="1" applyFill="1" applyBorder="1" applyAlignment="1">
      <alignment horizontal="center" wrapText="1"/>
    </xf>
    <xf numFmtId="4" fontId="23" fillId="32" borderId="64" xfId="48" applyNumberFormat="1" applyFont="1" applyFill="1" applyBorder="1" applyAlignment="1">
      <alignment horizontal="left" vertical="center"/>
    </xf>
    <xf numFmtId="4" fontId="23" fillId="32" borderId="99" xfId="48" applyNumberFormat="1" applyFont="1" applyFill="1" applyBorder="1" applyAlignment="1">
      <alignment horizontal="center" vertical="center"/>
    </xf>
    <xf numFmtId="4" fontId="23" fillId="32" borderId="98" xfId="48" applyNumberFormat="1" applyFont="1" applyFill="1" applyBorder="1" applyAlignment="1">
      <alignment horizontal="center" vertical="center" wrapText="1"/>
    </xf>
    <xf numFmtId="4" fontId="23" fillId="24" borderId="12" xfId="40" applyNumberFormat="1" applyFont="1" applyFill="1" applyBorder="1" applyAlignment="1">
      <alignment horizontal="center" vertical="center"/>
    </xf>
    <xf numFmtId="4" fontId="23" fillId="32" borderId="23" xfId="48" applyNumberFormat="1" applyFont="1" applyFill="1" applyBorder="1" applyAlignment="1">
      <alignment horizontal="center" vertical="center" wrapText="1"/>
    </xf>
    <xf numFmtId="4" fontId="23" fillId="32" borderId="41" xfId="48" applyNumberFormat="1" applyFont="1" applyFill="1" applyBorder="1" applyAlignment="1">
      <alignment horizontal="center" vertical="center" wrapText="1"/>
    </xf>
    <xf numFmtId="4" fontId="23" fillId="0" borderId="49" xfId="48" applyNumberFormat="1" applyFont="1" applyFill="1" applyBorder="1" applyAlignment="1">
      <alignment horizontal="center" vertical="center"/>
    </xf>
    <xf numFmtId="176" fontId="23" fillId="0" borderId="49" xfId="40" applyNumberFormat="1" applyFont="1" applyFill="1" applyBorder="1" applyAlignment="1">
      <alignment horizontal="center" vertical="center"/>
    </xf>
    <xf numFmtId="2" fontId="23" fillId="0" borderId="39" xfId="0" applyNumberFormat="1" applyFont="1" applyFill="1" applyBorder="1" applyAlignment="1">
      <alignment horizontal="right" vertical="center"/>
    </xf>
    <xf numFmtId="0" fontId="32" fillId="25" borderId="23" xfId="0" applyFont="1" applyFill="1" applyBorder="1" applyAlignment="1">
      <alignment vertical="center"/>
    </xf>
    <xf numFmtId="0" fontId="19" fillId="0" borderId="23" xfId="0" applyFont="1" applyFill="1" applyBorder="1" applyAlignment="1">
      <alignment horizontal="center" vertical="center" wrapText="1"/>
    </xf>
    <xf numFmtId="0" fontId="19" fillId="27" borderId="23" xfId="0" applyFont="1" applyFill="1" applyBorder="1" applyAlignment="1">
      <alignment horizontal="left" vertical="center" wrapText="1"/>
    </xf>
    <xf numFmtId="0" fontId="32" fillId="25" borderId="23" xfId="0" applyFont="1" applyFill="1" applyBorder="1" applyAlignment="1">
      <alignment horizontal="left" vertical="center"/>
    </xf>
    <xf numFmtId="0" fontId="19" fillId="24" borderId="23" xfId="0" applyFont="1" applyFill="1" applyBorder="1" applyAlignment="1">
      <alignment horizontal="center" vertical="center" wrapText="1"/>
    </xf>
    <xf numFmtId="0" fontId="37" fillId="0" borderId="0" xfId="0" applyFont="1"/>
    <xf numFmtId="0" fontId="33" fillId="0" borderId="0" xfId="0" applyFont="1" applyFill="1" applyBorder="1" applyAlignment="1"/>
    <xf numFmtId="0" fontId="37" fillId="0" borderId="0" xfId="0" applyFont="1" applyFill="1" applyBorder="1"/>
    <xf numFmtId="0" fontId="33" fillId="0" borderId="0" xfId="0" applyFont="1" applyBorder="1" applyAlignment="1">
      <alignment horizontal="center"/>
    </xf>
    <xf numFmtId="177" fontId="37" fillId="0" borderId="0" xfId="0" applyNumberFormat="1" applyFont="1"/>
    <xf numFmtId="0" fontId="37" fillId="35" borderId="115" xfId="0" applyFont="1" applyFill="1" applyBorder="1" applyAlignment="1">
      <alignment horizontal="center"/>
    </xf>
    <xf numFmtId="0" fontId="37" fillId="35" borderId="116" xfId="0" applyFont="1" applyFill="1" applyBorder="1" applyAlignment="1">
      <alignment horizontal="center"/>
    </xf>
    <xf numFmtId="0" fontId="33" fillId="35" borderId="117" xfId="0" applyFont="1" applyFill="1" applyBorder="1" applyAlignment="1">
      <alignment horizontal="center"/>
    </xf>
    <xf numFmtId="0" fontId="33" fillId="35" borderId="118" xfId="0" applyFont="1" applyFill="1" applyBorder="1" applyAlignment="1">
      <alignment horizontal="center"/>
    </xf>
    <xf numFmtId="0" fontId="33" fillId="0" borderId="16" xfId="0" applyFont="1" applyBorder="1" applyAlignment="1"/>
    <xf numFmtId="0" fontId="33" fillId="0" borderId="0" xfId="0" applyFont="1" applyBorder="1" applyAlignment="1"/>
    <xf numFmtId="0" fontId="33" fillId="0" borderId="85" xfId="0" applyFont="1" applyBorder="1" applyAlignment="1">
      <alignment horizontal="center" vertical="center"/>
    </xf>
    <xf numFmtId="0" fontId="37" fillId="0" borderId="119" xfId="0" applyFont="1" applyBorder="1" applyAlignment="1">
      <alignment horizontal="center" vertical="center"/>
    </xf>
    <xf numFmtId="0" fontId="33" fillId="0" borderId="119" xfId="0" applyFont="1" applyFill="1" applyBorder="1" applyAlignment="1">
      <alignment horizontal="center"/>
    </xf>
    <xf numFmtId="0" fontId="33" fillId="0" borderId="120" xfId="0" applyFont="1" applyFill="1" applyBorder="1" applyAlignment="1">
      <alignment horizontal="center"/>
    </xf>
    <xf numFmtId="0" fontId="33" fillId="0" borderId="0" xfId="0" applyFont="1" applyAlignment="1"/>
    <xf numFmtId="0" fontId="33" fillId="0" borderId="85" xfId="0" applyFont="1" applyBorder="1" applyAlignment="1">
      <alignment horizontal="center"/>
    </xf>
    <xf numFmtId="0" fontId="33" fillId="0" borderId="119" xfId="0" applyFont="1" applyBorder="1"/>
    <xf numFmtId="2" fontId="33" fillId="0" borderId="119" xfId="0" applyNumberFormat="1" applyFont="1" applyBorder="1" applyAlignment="1">
      <alignment horizontal="right"/>
    </xf>
    <xf numFmtId="0" fontId="33" fillId="0" borderId="12" xfId="0" applyFont="1" applyBorder="1" applyAlignment="1">
      <alignment horizontal="right" vertical="center"/>
    </xf>
    <xf numFmtId="10" fontId="33" fillId="0" borderId="12" xfId="0" applyNumberFormat="1" applyFont="1" applyBorder="1" applyAlignment="1"/>
    <xf numFmtId="0" fontId="37" fillId="0" borderId="85" xfId="0" applyFont="1" applyBorder="1" applyAlignment="1">
      <alignment horizontal="center"/>
    </xf>
    <xf numFmtId="0" fontId="0" fillId="0" borderId="119" xfId="39" applyFont="1" applyBorder="1"/>
    <xf numFmtId="2" fontId="37" fillId="0" borderId="120" xfId="0" applyNumberFormat="1" applyFont="1" applyBorder="1"/>
    <xf numFmtId="0" fontId="33" fillId="0" borderId="0" xfId="0" applyFont="1" applyBorder="1" applyAlignment="1">
      <alignment horizontal="right" vertical="center"/>
    </xf>
    <xf numFmtId="10" fontId="33" fillId="0" borderId="0" xfId="0" applyNumberFormat="1" applyFont="1" applyBorder="1" applyAlignment="1"/>
    <xf numFmtId="0" fontId="37" fillId="0" borderId="119" xfId="0" applyFont="1" applyBorder="1"/>
    <xf numFmtId="2" fontId="37" fillId="0" borderId="119" xfId="0" applyNumberFormat="1" applyFont="1" applyBorder="1"/>
    <xf numFmtId="2" fontId="33" fillId="0" borderId="120" xfId="0" applyNumberFormat="1" applyFont="1" applyBorder="1"/>
    <xf numFmtId="0" fontId="37" fillId="0" borderId="0" xfId="0" applyFont="1" applyAlignment="1"/>
    <xf numFmtId="0" fontId="37" fillId="0" borderId="119" xfId="0" applyFont="1" applyBorder="1" applyAlignment="1">
      <alignment horizontal="left"/>
    </xf>
    <xf numFmtId="0" fontId="37" fillId="0" borderId="85" xfId="0" applyFont="1" applyBorder="1" applyAlignment="1">
      <alignment horizontal="right"/>
    </xf>
    <xf numFmtId="172" fontId="37" fillId="0" borderId="0" xfId="0" applyNumberFormat="1" applyFont="1"/>
    <xf numFmtId="2" fontId="0" fillId="0" borderId="0" xfId="0" applyNumberFormat="1"/>
    <xf numFmtId="0" fontId="33" fillId="0" borderId="12" xfId="0" applyFont="1" applyBorder="1"/>
    <xf numFmtId="4" fontId="37" fillId="0" borderId="12" xfId="0" applyNumberFormat="1" applyFont="1" applyBorder="1"/>
    <xf numFmtId="0" fontId="37" fillId="0" borderId="12" xfId="0" applyFont="1" applyBorder="1" applyAlignment="1">
      <alignment horizontal="center"/>
    </xf>
    <xf numFmtId="4" fontId="37" fillId="37" borderId="12" xfId="0" applyNumberFormat="1" applyFont="1" applyFill="1" applyBorder="1"/>
    <xf numFmtId="0" fontId="38" fillId="0" borderId="0" xfId="0" applyFont="1" applyFill="1" applyBorder="1" applyAlignment="1"/>
    <xf numFmtId="0" fontId="37" fillId="0" borderId="85" xfId="0" applyFont="1" applyBorder="1" applyAlignment="1">
      <alignment horizontal="center" vertical="center"/>
    </xf>
    <xf numFmtId="0" fontId="38" fillId="0" borderId="0" xfId="0" applyFont="1" applyBorder="1" applyAlignment="1">
      <alignment vertical="center" wrapText="1"/>
    </xf>
    <xf numFmtId="0" fontId="18" fillId="24" borderId="0" xfId="0" applyFont="1" applyFill="1" applyAlignment="1">
      <alignment horizontal="center"/>
    </xf>
    <xf numFmtId="0" fontId="21" fillId="24" borderId="0" xfId="0" applyFont="1" applyFill="1" applyBorder="1" applyAlignment="1">
      <alignment horizontal="center" vertical="top" wrapText="1"/>
    </xf>
    <xf numFmtId="4" fontId="23" fillId="0" borderId="29" xfId="48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 wrapText="1"/>
    </xf>
    <xf numFmtId="0" fontId="23" fillId="0" borderId="23" xfId="0" applyFont="1" applyBorder="1" applyAlignment="1">
      <alignment horizontal="center"/>
    </xf>
    <xf numFmtId="3" fontId="23" fillId="24" borderId="23" xfId="0" applyNumberFormat="1" applyFont="1" applyFill="1" applyBorder="1" applyAlignment="1">
      <alignment horizontal="left" vertical="center"/>
    </xf>
    <xf numFmtId="0" fontId="23" fillId="0" borderId="23" xfId="0" applyFont="1" applyBorder="1" applyAlignment="1">
      <alignment horizontal="justify"/>
    </xf>
    <xf numFmtId="0" fontId="23" fillId="0" borderId="34" xfId="0" applyFont="1" applyBorder="1" applyAlignment="1">
      <alignment horizontal="center"/>
    </xf>
    <xf numFmtId="3" fontId="23" fillId="24" borderId="35" xfId="0" applyNumberFormat="1" applyFont="1" applyFill="1" applyBorder="1" applyAlignment="1">
      <alignment horizontal="left" vertical="center" wrapText="1"/>
    </xf>
    <xf numFmtId="0" fontId="23" fillId="0" borderId="34" xfId="0" applyFont="1" applyFill="1" applyBorder="1" applyAlignment="1">
      <alignment horizontal="center" vertical="center"/>
    </xf>
    <xf numFmtId="3" fontId="23" fillId="24" borderId="26" xfId="0" applyNumberFormat="1" applyFont="1" applyFill="1" applyBorder="1" applyAlignment="1">
      <alignment horizontal="left" vertical="center"/>
    </xf>
    <xf numFmtId="3" fontId="23" fillId="24" borderId="23" xfId="0" applyNumberFormat="1" applyFont="1" applyFill="1" applyBorder="1" applyAlignment="1">
      <alignment horizontal="left" vertical="center" wrapText="1"/>
    </xf>
    <xf numFmtId="0" fontId="23" fillId="0" borderId="34" xfId="0" applyFont="1" applyBorder="1" applyAlignment="1">
      <alignment horizontal="center" vertical="center"/>
    </xf>
    <xf numFmtId="0" fontId="21" fillId="38" borderId="23" xfId="0" applyFont="1" applyFill="1" applyBorder="1" applyAlignment="1">
      <alignment horizontal="center" vertical="top"/>
    </xf>
    <xf numFmtId="3" fontId="23" fillId="0" borderId="10" xfId="0" applyNumberFormat="1" applyFont="1" applyFill="1" applyBorder="1" applyAlignment="1">
      <alignment horizontal="left" vertical="center"/>
    </xf>
    <xf numFmtId="3" fontId="23" fillId="0" borderId="51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 wrapText="1"/>
    </xf>
    <xf numFmtId="178" fontId="23" fillId="0" borderId="12" xfId="0" applyNumberFormat="1" applyFont="1" applyFill="1" applyBorder="1" applyAlignment="1">
      <alignment horizontal="center" vertical="center" wrapText="1"/>
    </xf>
    <xf numFmtId="178" fontId="23" fillId="0" borderId="20" xfId="0" applyNumberFormat="1" applyFont="1" applyFill="1" applyBorder="1" applyAlignment="1">
      <alignment horizontal="center"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3" fontId="23" fillId="0" borderId="38" xfId="0" applyNumberFormat="1" applyFont="1" applyFill="1" applyBorder="1" applyAlignment="1">
      <alignment horizontal="center" vertical="center" wrapText="1"/>
    </xf>
    <xf numFmtId="179" fontId="23" fillId="0" borderId="31" xfId="0" applyNumberFormat="1" applyFont="1" applyFill="1" applyBorder="1" applyAlignment="1">
      <alignment horizontal="center" vertical="center"/>
    </xf>
    <xf numFmtId="179" fontId="23" fillId="0" borderId="23" xfId="0" applyNumberFormat="1" applyFont="1" applyFill="1" applyBorder="1" applyAlignment="1">
      <alignment horizontal="center" vertical="center"/>
    </xf>
    <xf numFmtId="178" fontId="23" fillId="0" borderId="23" xfId="0" applyNumberFormat="1" applyFont="1" applyFill="1" applyBorder="1" applyAlignment="1">
      <alignment horizontal="center" vertical="center"/>
    </xf>
    <xf numFmtId="4" fontId="23" fillId="0" borderId="12" xfId="0" applyNumberFormat="1" applyFont="1" applyFill="1" applyBorder="1" applyAlignment="1">
      <alignment horizontal="center" vertical="center"/>
    </xf>
    <xf numFmtId="2" fontId="23" fillId="0" borderId="12" xfId="0" applyNumberFormat="1" applyFont="1" applyFill="1" applyBorder="1" applyAlignment="1">
      <alignment horizontal="center" vertical="center"/>
    </xf>
    <xf numFmtId="4" fontId="23" fillId="0" borderId="43" xfId="0" applyNumberFormat="1" applyFont="1" applyFill="1" applyBorder="1" applyAlignment="1">
      <alignment horizontal="center" vertical="center"/>
    </xf>
    <xf numFmtId="3" fontId="23" fillId="0" borderId="124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center" vertical="center"/>
    </xf>
    <xf numFmtId="178" fontId="23" fillId="0" borderId="20" xfId="0" applyNumberFormat="1" applyFont="1" applyFill="1" applyBorder="1" applyAlignment="1">
      <alignment horizontal="right" vertical="center"/>
    </xf>
    <xf numFmtId="3" fontId="23" fillId="0" borderId="38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 vertical="center" wrapText="1"/>
    </xf>
    <xf numFmtId="179" fontId="23" fillId="0" borderId="12" xfId="0" applyNumberFormat="1" applyFont="1" applyFill="1" applyBorder="1" applyAlignment="1">
      <alignment horizontal="center" vertical="center"/>
    </xf>
    <xf numFmtId="178" fontId="23" fillId="0" borderId="12" xfId="0" applyNumberFormat="1" applyFont="1" applyFill="1" applyBorder="1" applyAlignment="1">
      <alignment horizontal="right" vertical="center"/>
    </xf>
    <xf numFmtId="4" fontId="23" fillId="0" borderId="38" xfId="0" applyNumberFormat="1" applyFont="1" applyFill="1" applyBorder="1" applyAlignment="1">
      <alignment horizontal="center" vertical="center"/>
    </xf>
    <xf numFmtId="3" fontId="23" fillId="0" borderId="31" xfId="0" applyNumberFormat="1" applyFont="1" applyFill="1" applyBorder="1" applyAlignment="1">
      <alignment horizontal="left" vertical="center" wrapText="1"/>
    </xf>
    <xf numFmtId="179" fontId="23" fillId="0" borderId="27" xfId="0" applyNumberFormat="1" applyFont="1" applyFill="1" applyBorder="1" applyAlignment="1">
      <alignment horizontal="center" vertical="center"/>
    </xf>
    <xf numFmtId="178" fontId="23" fillId="0" borderId="27" xfId="0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center" vertical="center"/>
    </xf>
    <xf numFmtId="4" fontId="23" fillId="0" borderId="27" xfId="0" applyNumberFormat="1" applyFont="1" applyFill="1" applyBorder="1" applyAlignment="1">
      <alignment horizontal="center" vertical="center"/>
    </xf>
    <xf numFmtId="3" fontId="23" fillId="0" borderId="37" xfId="0" applyNumberFormat="1" applyFont="1" applyFill="1" applyBorder="1" applyAlignment="1">
      <alignment horizontal="center" vertical="center"/>
    </xf>
    <xf numFmtId="178" fontId="23" fillId="0" borderId="12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left"/>
    </xf>
    <xf numFmtId="3" fontId="23" fillId="0" borderId="12" xfId="0" applyNumberFormat="1" applyFont="1" applyFill="1" applyBorder="1" applyAlignment="1">
      <alignment horizontal="center"/>
    </xf>
    <xf numFmtId="179" fontId="23" fillId="0" borderId="12" xfId="0" applyNumberFormat="1" applyFont="1" applyFill="1" applyBorder="1" applyAlignment="1">
      <alignment horizontal="center"/>
    </xf>
    <xf numFmtId="3" fontId="23" fillId="0" borderId="47" xfId="0" applyNumberFormat="1" applyFont="1" applyFill="1" applyBorder="1" applyAlignment="1">
      <alignment horizontal="right" vertical="center"/>
    </xf>
    <xf numFmtId="2" fontId="23" fillId="0" borderId="37" xfId="0" applyNumberFormat="1" applyFont="1" applyFill="1" applyBorder="1" applyAlignment="1">
      <alignment horizontal="right" vertical="center"/>
    </xf>
    <xf numFmtId="4" fontId="23" fillId="0" borderId="0" xfId="48" applyNumberFormat="1" applyFont="1" applyFill="1" applyBorder="1" applyAlignment="1">
      <alignment horizontal="center" vertical="center"/>
    </xf>
    <xf numFmtId="3" fontId="23" fillId="0" borderId="12" xfId="0" applyNumberFormat="1" applyFont="1" applyFill="1" applyBorder="1" applyAlignment="1">
      <alignment horizontal="left" vertical="center"/>
    </xf>
    <xf numFmtId="3" fontId="23" fillId="0" borderId="12" xfId="0" applyNumberFormat="1" applyFont="1" applyFill="1" applyBorder="1" applyAlignment="1">
      <alignment horizontal="justify" vertical="center" wrapText="1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12" xfId="48" applyNumberFormat="1" applyFont="1" applyFill="1" applyBorder="1" applyAlignment="1">
      <alignment horizontal="left" vertical="center"/>
    </xf>
    <xf numFmtId="4" fontId="23" fillId="0" borderId="20" xfId="48" applyNumberFormat="1" applyFont="1" applyFill="1" applyBorder="1" applyAlignment="1">
      <alignment horizontal="center" vertical="center"/>
    </xf>
    <xf numFmtId="0" fontId="18" fillId="0" borderId="23" xfId="0" applyNumberFormat="1" applyFont="1" applyBorder="1" applyAlignment="1">
      <alignment horizontal="justify" vertical="center"/>
    </xf>
    <xf numFmtId="4" fontId="23" fillId="0" borderId="23" xfId="0" applyNumberFormat="1" applyFont="1" applyBorder="1" applyAlignment="1">
      <alignment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12" xfId="0" applyFont="1" applyFill="1" applyBorder="1" applyAlignment="1">
      <alignment horizontal="right" vertical="center"/>
    </xf>
    <xf numFmtId="10" fontId="33" fillId="0" borderId="12" xfId="0" applyNumberFormat="1" applyFont="1" applyFill="1" applyBorder="1" applyAlignment="1"/>
    <xf numFmtId="0" fontId="37" fillId="0" borderId="0" xfId="0" applyFont="1" applyFill="1"/>
    <xf numFmtId="2" fontId="33" fillId="0" borderId="120" xfId="0" applyNumberFormat="1" applyFont="1" applyFill="1" applyBorder="1" applyAlignment="1">
      <alignment horizontal="right"/>
    </xf>
    <xf numFmtId="2" fontId="37" fillId="0" borderId="120" xfId="0" applyNumberFormat="1" applyFont="1" applyFill="1" applyBorder="1"/>
    <xf numFmtId="2" fontId="33" fillId="0" borderId="120" xfId="0" applyNumberFormat="1" applyFont="1" applyFill="1" applyBorder="1"/>
    <xf numFmtId="2" fontId="33" fillId="0" borderId="119" xfId="0" applyNumberFormat="1" applyFont="1" applyFill="1" applyBorder="1"/>
    <xf numFmtId="2" fontId="37" fillId="0" borderId="119" xfId="0" applyNumberFormat="1" applyFont="1" applyFill="1" applyBorder="1"/>
    <xf numFmtId="2" fontId="37" fillId="0" borderId="119" xfId="0" applyNumberFormat="1" applyFont="1" applyFill="1" applyBorder="1" applyAlignment="1">
      <alignment horizontal="right"/>
    </xf>
    <xf numFmtId="2" fontId="33" fillId="0" borderId="0" xfId="0" applyNumberFormat="1" applyFont="1" applyFill="1" applyBorder="1"/>
    <xf numFmtId="4" fontId="23" fillId="0" borderId="21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/>
    </xf>
    <xf numFmtId="4" fontId="23" fillId="0" borderId="12" xfId="48" applyNumberFormat="1" applyFont="1" applyFill="1" applyBorder="1" applyAlignment="1">
      <alignment horizontal="center" vertical="center" wrapText="1"/>
    </xf>
    <xf numFmtId="4" fontId="23" fillId="0" borderId="11" xfId="48" applyNumberFormat="1" applyFont="1" applyFill="1" applyBorder="1" applyAlignment="1">
      <alignment horizontal="left"/>
    </xf>
    <xf numFmtId="4" fontId="23" fillId="0" borderId="14" xfId="48" applyNumberFormat="1" applyFont="1" applyFill="1" applyBorder="1" applyAlignment="1">
      <alignment horizontal="center" vertical="center"/>
    </xf>
    <xf numFmtId="4" fontId="23" fillId="0" borderId="11" xfId="48" applyNumberFormat="1" applyFont="1" applyFill="1" applyBorder="1" applyAlignment="1">
      <alignment horizontal="center" vertical="center"/>
    </xf>
    <xf numFmtId="4" fontId="23" fillId="0" borderId="16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left" vertical="center"/>
    </xf>
    <xf numFmtId="4" fontId="23" fillId="0" borderId="25" xfId="48" applyNumberFormat="1" applyFont="1" applyFill="1" applyBorder="1" applyAlignment="1">
      <alignment vertical="center"/>
    </xf>
    <xf numFmtId="4" fontId="23" fillId="0" borderId="26" xfId="48" applyNumberFormat="1" applyFont="1" applyFill="1" applyBorder="1" applyAlignment="1">
      <alignment vertical="center"/>
    </xf>
    <xf numFmtId="4" fontId="23" fillId="0" borderId="28" xfId="48" applyNumberFormat="1" applyFont="1" applyFill="1" applyBorder="1" applyAlignment="1">
      <alignment horizontal="right" vertical="center"/>
    </xf>
    <xf numFmtId="4" fontId="23" fillId="0" borderId="12" xfId="33" applyNumberFormat="1" applyFont="1" applyFill="1" applyBorder="1" applyAlignment="1">
      <alignment horizontal="center"/>
    </xf>
    <xf numFmtId="4" fontId="23" fillId="0" borderId="20" xfId="33" applyNumberFormat="1" applyFont="1" applyFill="1" applyBorder="1" applyAlignment="1">
      <alignment horizontal="center"/>
    </xf>
    <xf numFmtId="4" fontId="23" fillId="0" borderId="11" xfId="48" applyNumberFormat="1" applyFont="1" applyFill="1" applyBorder="1" applyAlignment="1">
      <alignment horizontal="center" vertical="center" wrapText="1"/>
    </xf>
    <xf numFmtId="4" fontId="23" fillId="0" borderId="12" xfId="33" applyNumberFormat="1" applyFont="1" applyFill="1" applyBorder="1" applyAlignment="1">
      <alignment horizontal="center" vertical="center" wrapText="1"/>
    </xf>
    <xf numFmtId="4" fontId="23" fillId="0" borderId="18" xfId="48" applyNumberFormat="1" applyFont="1" applyFill="1" applyBorder="1" applyAlignment="1">
      <alignment horizontal="center" vertical="center"/>
    </xf>
    <xf numFmtId="4" fontId="23" fillId="0" borderId="20" xfId="33" applyNumberFormat="1" applyFont="1" applyFill="1" applyBorder="1" applyAlignment="1">
      <alignment horizontal="center" vertical="center"/>
    </xf>
    <xf numFmtId="4" fontId="23" fillId="0" borderId="18" xfId="48" applyNumberFormat="1" applyFont="1" applyFill="1" applyBorder="1" applyAlignment="1">
      <alignment horizontal="center"/>
    </xf>
    <xf numFmtId="4" fontId="23" fillId="0" borderId="20" xfId="48" applyNumberFormat="1" applyFont="1" applyFill="1" applyBorder="1" applyAlignment="1">
      <alignment horizontal="center"/>
    </xf>
    <xf numFmtId="4" fontId="23" fillId="0" borderId="21" xfId="48" applyNumberFormat="1" applyFont="1" applyFill="1" applyBorder="1" applyAlignment="1">
      <alignment horizontal="center"/>
    </xf>
    <xf numFmtId="4" fontId="23" fillId="0" borderId="0" xfId="0" applyNumberFormat="1" applyFont="1" applyFill="1"/>
    <xf numFmtId="4" fontId="23" fillId="0" borderId="20" xfId="48" applyNumberFormat="1" applyFont="1" applyFill="1" applyBorder="1" applyAlignment="1">
      <alignment horizontal="right" vertical="center"/>
    </xf>
    <xf numFmtId="4" fontId="23" fillId="0" borderId="11" xfId="48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Alignment="1">
      <alignment horizontal="center"/>
    </xf>
    <xf numFmtId="4" fontId="23" fillId="0" borderId="34" xfId="48" applyNumberFormat="1" applyFont="1" applyFill="1" applyBorder="1" applyAlignment="1">
      <alignment horizontal="center" vertical="center"/>
    </xf>
    <xf numFmtId="4" fontId="23" fillId="0" borderId="35" xfId="48" applyNumberFormat="1" applyFont="1" applyFill="1" applyBorder="1" applyAlignment="1">
      <alignment horizontal="right"/>
    </xf>
    <xf numFmtId="4" fontId="23" fillId="0" borderId="26" xfId="48" applyNumberFormat="1" applyFont="1" applyFill="1" applyBorder="1" applyAlignment="1">
      <alignment horizontal="right"/>
    </xf>
    <xf numFmtId="4" fontId="23" fillId="0" borderId="28" xfId="48" applyNumberFormat="1" applyFont="1" applyFill="1" applyBorder="1" applyAlignment="1">
      <alignment horizontal="justify" vertical="center" wrapText="1"/>
    </xf>
    <xf numFmtId="4" fontId="23" fillId="0" borderId="23" xfId="48" applyNumberFormat="1" applyFont="1" applyFill="1" applyBorder="1" applyAlignment="1">
      <alignment horizontal="right"/>
    </xf>
    <xf numFmtId="4" fontId="23" fillId="0" borderId="33" xfId="48" applyNumberFormat="1" applyFont="1" applyFill="1" applyBorder="1" applyAlignment="1">
      <alignment horizontal="right"/>
    </xf>
    <xf numFmtId="4" fontId="23" fillId="0" borderId="39" xfId="48" applyNumberFormat="1" applyFont="1" applyFill="1" applyBorder="1" applyAlignment="1">
      <alignment horizontal="left" vertical="center" wrapText="1"/>
    </xf>
    <xf numFmtId="4" fontId="23" fillId="0" borderId="40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center" vertical="center"/>
    </xf>
    <xf numFmtId="4" fontId="23" fillId="0" borderId="42" xfId="48" applyNumberFormat="1" applyFont="1" applyFill="1" applyBorder="1" applyAlignment="1">
      <alignment horizontal="justify" vertical="center"/>
    </xf>
    <xf numFmtId="4" fontId="23" fillId="0" borderId="23" xfId="33" applyNumberFormat="1" applyFont="1" applyFill="1" applyBorder="1" applyAlignment="1">
      <alignment horizontal="center"/>
    </xf>
    <xf numFmtId="4" fontId="23" fillId="0" borderId="41" xfId="48" applyNumberFormat="1" applyFont="1" applyFill="1" applyBorder="1" applyAlignment="1">
      <alignment horizontal="center"/>
    </xf>
    <xf numFmtId="4" fontId="23" fillId="0" borderId="43" xfId="48" applyNumberFormat="1" applyFont="1" applyFill="1" applyBorder="1" applyAlignment="1">
      <alignment horizontal="center" vertical="center"/>
    </xf>
    <xf numFmtId="4" fontId="23" fillId="0" borderId="44" xfId="48" applyNumberFormat="1" applyFont="1" applyFill="1" applyBorder="1" applyAlignment="1">
      <alignment horizontal="center"/>
    </xf>
    <xf numFmtId="4" fontId="23" fillId="0" borderId="39" xfId="48" applyNumberFormat="1" applyFont="1" applyFill="1" applyBorder="1" applyAlignment="1">
      <alignment horizontal="left" vertical="center"/>
    </xf>
    <xf numFmtId="4" fontId="23" fillId="0" borderId="37" xfId="48" applyNumberFormat="1" applyFont="1" applyFill="1" applyBorder="1" applyAlignment="1">
      <alignment horizontal="left" vertical="center"/>
    </xf>
    <xf numFmtId="4" fontId="23" fillId="0" borderId="45" xfId="48" applyNumberFormat="1" applyFont="1" applyFill="1" applyBorder="1" applyAlignment="1">
      <alignment horizontal="right" vertical="center"/>
    </xf>
    <xf numFmtId="4" fontId="23" fillId="0" borderId="37" xfId="48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left" vertical="center"/>
    </xf>
    <xf numFmtId="3" fontId="23" fillId="0" borderId="25" xfId="0" applyNumberFormat="1" applyFont="1" applyFill="1" applyBorder="1" applyAlignment="1">
      <alignment horizontal="center" vertical="center"/>
    </xf>
    <xf numFmtId="4" fontId="23" fillId="0" borderId="23" xfId="0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center" vertical="center"/>
    </xf>
    <xf numFmtId="4" fontId="18" fillId="0" borderId="24" xfId="48" applyNumberFormat="1" applyFont="1" applyFill="1" applyBorder="1" applyAlignment="1">
      <alignment horizontal="center" vertical="center"/>
    </xf>
    <xf numFmtId="4" fontId="23" fillId="0" borderId="22" xfId="33" applyNumberFormat="1" applyFont="1" applyFill="1" applyBorder="1" applyAlignment="1">
      <alignment horizontal="left"/>
    </xf>
    <xf numFmtId="4" fontId="23" fillId="0" borderId="26" xfId="33" applyNumberFormat="1" applyFont="1" applyFill="1" applyBorder="1" applyAlignment="1">
      <alignment horizontal="center" vertical="center"/>
    </xf>
    <xf numFmtId="4" fontId="23" fillId="0" borderId="15" xfId="33" applyNumberFormat="1" applyFont="1" applyFill="1" applyBorder="1" applyAlignment="1">
      <alignment horizontal="right"/>
    </xf>
    <xf numFmtId="4" fontId="23" fillId="0" borderId="20" xfId="48" applyNumberFormat="1" applyFont="1" applyFill="1" applyBorder="1" applyAlignment="1">
      <alignment horizontal="right"/>
    </xf>
    <xf numFmtId="4" fontId="23" fillId="0" borderId="112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101" xfId="48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center" vertical="center"/>
    </xf>
    <xf numFmtId="4" fontId="23" fillId="0" borderId="20" xfId="40" applyNumberFormat="1" applyFont="1" applyFill="1" applyBorder="1" applyAlignment="1">
      <alignment horizontal="center" vertical="center"/>
    </xf>
    <xf numFmtId="4" fontId="23" fillId="0" borderId="76" xfId="48" applyNumberFormat="1" applyFont="1" applyFill="1" applyBorder="1" applyAlignment="1">
      <alignment horizontal="left" vertical="center"/>
    </xf>
    <xf numFmtId="4" fontId="23" fillId="0" borderId="23" xfId="40" applyNumberFormat="1" applyFont="1" applyFill="1" applyBorder="1" applyAlignment="1">
      <alignment horizontal="center" vertical="center"/>
    </xf>
    <xf numFmtId="4" fontId="23" fillId="0" borderId="12" xfId="40" applyNumberFormat="1" applyFont="1" applyFill="1" applyBorder="1" applyAlignment="1">
      <alignment horizontal="center" vertical="center"/>
    </xf>
    <xf numFmtId="4" fontId="23" fillId="0" borderId="0" xfId="40" applyNumberFormat="1" applyFont="1" applyFill="1" applyBorder="1" applyAlignment="1">
      <alignment horizontal="center" vertical="center"/>
    </xf>
    <xf numFmtId="175" fontId="23" fillId="0" borderId="23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left" vertical="center"/>
    </xf>
    <xf numFmtId="4" fontId="23" fillId="0" borderId="47" xfId="48" applyNumberFormat="1" applyFont="1" applyFill="1" applyBorder="1" applyAlignment="1">
      <alignment horizontal="right" vertical="center"/>
    </xf>
    <xf numFmtId="4" fontId="23" fillId="0" borderId="111" xfId="48" applyNumberFormat="1" applyFont="1" applyFill="1" applyBorder="1" applyAlignment="1">
      <alignment horizontal="center"/>
    </xf>
    <xf numFmtId="4" fontId="23" fillId="0" borderId="14" xfId="48" applyNumberFormat="1" applyFont="1" applyFill="1" applyBorder="1" applyAlignment="1">
      <alignment vertical="center"/>
    </xf>
    <xf numFmtId="4" fontId="23" fillId="0" borderId="14" xfId="48" applyNumberFormat="1" applyFont="1" applyFill="1" applyBorder="1" applyAlignment="1"/>
    <xf numFmtId="4" fontId="23" fillId="0" borderId="11" xfId="48" applyNumberFormat="1" applyFont="1" applyFill="1" applyBorder="1" applyAlignment="1">
      <alignment horizontal="center" wrapText="1"/>
    </xf>
    <xf numFmtId="4" fontId="23" fillId="0" borderId="12" xfId="33" applyNumberFormat="1" applyFont="1" applyFill="1" applyBorder="1" applyAlignment="1">
      <alignment horizontal="center" wrapText="1"/>
    </xf>
    <xf numFmtId="4" fontId="23" fillId="0" borderId="12" xfId="48" applyNumberFormat="1" applyFont="1" applyFill="1" applyBorder="1" applyAlignment="1">
      <alignment horizontal="right" wrapText="1"/>
    </xf>
    <xf numFmtId="4" fontId="23" fillId="0" borderId="12" xfId="48" applyNumberFormat="1" applyFont="1" applyFill="1" applyBorder="1" applyAlignment="1">
      <alignment horizontal="center" wrapText="1"/>
    </xf>
    <xf numFmtId="4" fontId="23" fillId="0" borderId="13" xfId="48" applyNumberFormat="1" applyFont="1" applyFill="1" applyBorder="1" applyAlignment="1">
      <alignment horizontal="center" wrapText="1"/>
    </xf>
    <xf numFmtId="4" fontId="23" fillId="0" borderId="11" xfId="48" applyNumberFormat="1" applyFont="1" applyFill="1" applyBorder="1" applyAlignment="1">
      <alignment vertical="center"/>
    </xf>
    <xf numFmtId="4" fontId="23" fillId="0" borderId="0" xfId="0" applyNumberFormat="1" applyFont="1" applyFill="1" applyAlignment="1">
      <alignment vertical="center"/>
    </xf>
    <xf numFmtId="4" fontId="23" fillId="0" borderId="14" xfId="0" applyNumberFormat="1" applyFont="1" applyFill="1" applyBorder="1" applyAlignment="1">
      <alignment vertical="center" wrapText="1"/>
    </xf>
    <xf numFmtId="4" fontId="23" fillId="0" borderId="14" xfId="0" applyNumberFormat="1" applyFont="1" applyFill="1" applyBorder="1" applyAlignment="1">
      <alignment wrapText="1"/>
    </xf>
    <xf numFmtId="4" fontId="23" fillId="0" borderId="14" xfId="33" applyNumberFormat="1" applyFont="1" applyFill="1" applyBorder="1" applyAlignment="1">
      <alignment horizontal="left"/>
    </xf>
    <xf numFmtId="0" fontId="19" fillId="24" borderId="23" xfId="0" applyFont="1" applyFill="1" applyBorder="1" applyAlignment="1">
      <alignment horizontal="center" vertical="center" wrapText="1"/>
    </xf>
    <xf numFmtId="3" fontId="23" fillId="0" borderId="12" xfId="0" applyNumberFormat="1" applyFont="1" applyFill="1" applyBorder="1" applyAlignment="1">
      <alignment horizontal="right" vertical="center"/>
    </xf>
    <xf numFmtId="4" fontId="23" fillId="0" borderId="14" xfId="48" applyNumberFormat="1" applyFont="1" applyFill="1" applyBorder="1" applyAlignment="1">
      <alignment horizontal="left" vertical="center"/>
    </xf>
    <xf numFmtId="4" fontId="23" fillId="24" borderId="15" xfId="33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2" xfId="48" applyNumberFormat="1" applyFont="1" applyFill="1" applyBorder="1" applyAlignment="1">
      <alignment horizontal="right" vertical="center"/>
    </xf>
    <xf numFmtId="4" fontId="23" fillId="24" borderId="14" xfId="48" applyNumberFormat="1" applyFont="1" applyFill="1" applyBorder="1" applyAlignment="1">
      <alignment horizontal="left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0" fontId="20" fillId="0" borderId="0" xfId="32" applyFont="1"/>
    <xf numFmtId="0" fontId="22" fillId="0" borderId="0" xfId="32" applyFont="1" applyAlignment="1">
      <alignment horizontal="center" vertical="center"/>
    </xf>
    <xf numFmtId="0" fontId="20" fillId="0" borderId="47" xfId="32" applyFont="1" applyBorder="1" applyAlignment="1">
      <alignment horizontal="center"/>
    </xf>
    <xf numFmtId="0" fontId="24" fillId="0" borderId="135" xfId="32" applyFont="1" applyBorder="1"/>
    <xf numFmtId="165" fontId="20" fillId="0" borderId="136" xfId="53" applyFont="1" applyFill="1" applyBorder="1" applyAlignment="1" applyProtection="1"/>
    <xf numFmtId="0" fontId="20" fillId="0" borderId="135" xfId="32" applyFont="1" applyBorder="1"/>
    <xf numFmtId="4" fontId="20" fillId="0" borderId="0" xfId="32" applyNumberFormat="1" applyFont="1"/>
    <xf numFmtId="9" fontId="20" fillId="0" borderId="136" xfId="53" applyNumberFormat="1" applyFont="1" applyFill="1" applyBorder="1" applyAlignment="1" applyProtection="1"/>
    <xf numFmtId="0" fontId="23" fillId="0" borderId="135" xfId="32" applyFont="1" applyBorder="1"/>
    <xf numFmtId="180" fontId="20" fillId="0" borderId="136" xfId="32" applyNumberFormat="1" applyFont="1" applyBorder="1"/>
    <xf numFmtId="0" fontId="20" fillId="0" borderId="136" xfId="32" applyFont="1" applyBorder="1"/>
    <xf numFmtId="0" fontId="20" fillId="0" borderId="137" xfId="32" applyFont="1" applyBorder="1" applyAlignment="1">
      <alignment horizontal="center"/>
    </xf>
    <xf numFmtId="0" fontId="24" fillId="0" borderId="0" xfId="32" applyFont="1" applyBorder="1"/>
    <xf numFmtId="180" fontId="20" fillId="0" borderId="138" xfId="32" applyNumberFormat="1" applyFont="1" applyBorder="1"/>
    <xf numFmtId="0" fontId="20" fillId="0" borderId="0" xfId="32" applyFont="1" applyBorder="1"/>
    <xf numFmtId="0" fontId="20" fillId="0" borderId="139" xfId="32" applyFont="1" applyBorder="1" applyAlignment="1">
      <alignment horizontal="center"/>
    </xf>
    <xf numFmtId="0" fontId="20" fillId="0" borderId="48" xfId="32" applyFont="1" applyBorder="1"/>
    <xf numFmtId="180" fontId="20" fillId="0" borderId="140" xfId="32" applyNumberFormat="1" applyFont="1" applyBorder="1"/>
    <xf numFmtId="0" fontId="39" fillId="0" borderId="135" xfId="32" applyFont="1" applyBorder="1"/>
    <xf numFmtId="0" fontId="18" fillId="0" borderId="23" xfId="39" applyFont="1" applyFill="1" applyBorder="1" applyAlignment="1">
      <alignment horizontal="justify" vertical="center" wrapText="1"/>
    </xf>
    <xf numFmtId="0" fontId="22" fillId="24" borderId="23" xfId="0" applyFont="1" applyFill="1" applyBorder="1" applyAlignment="1">
      <alignment horizontal="justify" vertical="center"/>
    </xf>
    <xf numFmtId="0" fontId="32" fillId="25" borderId="49" xfId="0" applyFont="1" applyFill="1" applyBorder="1" applyAlignment="1">
      <alignment vertical="center"/>
    </xf>
    <xf numFmtId="4" fontId="19" fillId="27" borderId="23" xfId="53" applyNumberFormat="1" applyFont="1" applyFill="1" applyBorder="1" applyAlignment="1" applyProtection="1">
      <alignment horizontal="center" vertical="center" wrapText="1"/>
    </xf>
    <xf numFmtId="0" fontId="21" fillId="25" borderId="23" xfId="0" applyFont="1" applyFill="1" applyBorder="1" applyAlignment="1">
      <alignment horizontal="center" vertical="top" wrapText="1"/>
    </xf>
    <xf numFmtId="0" fontId="18" fillId="0" borderId="23" xfId="0" applyFont="1" applyFill="1" applyBorder="1" applyAlignment="1">
      <alignment horizontal="justify" vertical="center" wrapText="1"/>
    </xf>
    <xf numFmtId="4" fontId="23" fillId="24" borderId="11" xfId="48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center"/>
    </xf>
    <xf numFmtId="4" fontId="23" fillId="24" borderId="13" xfId="48" applyNumberFormat="1" applyFont="1" applyFill="1" applyBorder="1" applyAlignment="1">
      <alignment horizontal="center"/>
    </xf>
    <xf numFmtId="4" fontId="23" fillId="24" borderId="11" xfId="48" applyNumberFormat="1" applyFont="1" applyFill="1" applyBorder="1" applyAlignment="1">
      <alignment horizontal="left" vertical="center"/>
    </xf>
    <xf numFmtId="4" fontId="23" fillId="24" borderId="21" xfId="48" applyNumberFormat="1" applyFont="1" applyFill="1" applyBorder="1" applyAlignment="1">
      <alignment horizontal="center" vertical="center"/>
    </xf>
    <xf numFmtId="4" fontId="24" fillId="0" borderId="0" xfId="48" applyNumberFormat="1" applyFont="1" applyFill="1" applyBorder="1" applyAlignment="1">
      <alignment horizontal="left" vertical="center"/>
    </xf>
    <xf numFmtId="4" fontId="23" fillId="24" borderId="18" xfId="48" applyNumberFormat="1" applyFont="1" applyFill="1" applyBorder="1" applyAlignment="1">
      <alignment horizontal="center" vertical="center"/>
    </xf>
    <xf numFmtId="4" fontId="23" fillId="24" borderId="20" xfId="33" applyNumberFormat="1" applyFont="1" applyFill="1" applyBorder="1" applyAlignment="1">
      <alignment horizontal="center" vertical="center"/>
    </xf>
    <xf numFmtId="4" fontId="23" fillId="0" borderId="14" xfId="48" applyNumberFormat="1" applyFont="1" applyBorder="1" applyAlignment="1">
      <alignment horizontal="left" vertical="center" wrapText="1"/>
    </xf>
    <xf numFmtId="4" fontId="23" fillId="24" borderId="20" xfId="48" applyNumberFormat="1" applyFont="1" applyFill="1" applyBorder="1" applyAlignment="1">
      <alignment horizontal="center" vertical="center"/>
    </xf>
    <xf numFmtId="4" fontId="23" fillId="24" borderId="36" xfId="48" applyNumberFormat="1" applyFont="1" applyFill="1" applyBorder="1" applyAlignment="1">
      <alignment horizontal="center" vertical="center"/>
    </xf>
    <xf numFmtId="4" fontId="23" fillId="24" borderId="43" xfId="48" applyNumberFormat="1" applyFont="1" applyFill="1" applyBorder="1" applyAlignment="1">
      <alignment horizontal="center" vertical="center"/>
    </xf>
    <xf numFmtId="4" fontId="23" fillId="24" borderId="44" xfId="48" applyNumberFormat="1" applyFont="1" applyFill="1" applyBorder="1" applyAlignment="1">
      <alignment horizontal="center" vertical="center"/>
    </xf>
    <xf numFmtId="4" fontId="23" fillId="24" borderId="38" xfId="48" applyNumberFormat="1" applyFont="1" applyFill="1" applyBorder="1" applyAlignment="1">
      <alignment horizontal="center" vertical="center"/>
    </xf>
    <xf numFmtId="4" fontId="23" fillId="0" borderId="39" xfId="48" applyNumberFormat="1" applyFont="1" applyBorder="1" applyAlignment="1">
      <alignment horizontal="left" vertical="center"/>
    </xf>
    <xf numFmtId="4" fontId="23" fillId="24" borderId="39" xfId="48" applyNumberFormat="1" applyFont="1" applyFill="1" applyBorder="1" applyAlignment="1">
      <alignment horizontal="center" vertical="center"/>
    </xf>
    <xf numFmtId="4" fontId="0" fillId="0" borderId="20" xfId="0" applyNumberFormat="1" applyFont="1" applyFill="1" applyBorder="1" applyAlignment="1">
      <alignment horizontal="center" vertical="center"/>
    </xf>
    <xf numFmtId="4" fontId="23" fillId="24" borderId="12" xfId="48" applyNumberFormat="1" applyFont="1" applyFill="1" applyBorder="1" applyAlignment="1">
      <alignment horizontal="right"/>
    </xf>
    <xf numFmtId="4" fontId="0" fillId="0" borderId="23" xfId="0" applyNumberFormat="1" applyFont="1" applyFill="1" applyBorder="1" applyAlignment="1">
      <alignment horizontal="center" vertical="center"/>
    </xf>
    <xf numFmtId="4" fontId="23" fillId="24" borderId="26" xfId="48" applyNumberFormat="1" applyFont="1" applyFill="1" applyBorder="1" applyAlignment="1">
      <alignment horizontal="right"/>
    </xf>
    <xf numFmtId="4" fontId="0" fillId="0" borderId="23" xfId="0" applyNumberFormat="1" applyFont="1" applyBorder="1" applyAlignment="1">
      <alignment horizontal="center" vertical="center"/>
    </xf>
    <xf numFmtId="4" fontId="23" fillId="24" borderId="45" xfId="48" applyNumberFormat="1" applyFont="1" applyFill="1" applyBorder="1" applyAlignment="1">
      <alignment horizontal="right" vertical="center"/>
    </xf>
    <xf numFmtId="4" fontId="23" fillId="24" borderId="37" xfId="48" applyNumberFormat="1" applyFont="1" applyFill="1" applyBorder="1" applyAlignment="1">
      <alignment horizontal="right" vertical="center"/>
    </xf>
    <xf numFmtId="4" fontId="23" fillId="24" borderId="26" xfId="48" applyNumberFormat="1" applyFont="1" applyFill="1" applyBorder="1" applyAlignment="1">
      <alignment horizontal="right" vertical="center"/>
    </xf>
    <xf numFmtId="4" fontId="23" fillId="24" borderId="15" xfId="48" applyNumberFormat="1" applyFont="1" applyFill="1" applyBorder="1" applyAlignment="1">
      <alignment horizontal="center"/>
    </xf>
    <xf numFmtId="4" fontId="23" fillId="24" borderId="15" xfId="33" applyNumberFormat="1" applyFont="1" applyFill="1" applyBorder="1" applyAlignment="1">
      <alignment horizontal="center"/>
    </xf>
    <xf numFmtId="4" fontId="23" fillId="24" borderId="12" xfId="48" applyNumberFormat="1" applyFont="1" applyFill="1" applyBorder="1" applyAlignment="1">
      <alignment horizontal="center"/>
    </xf>
    <xf numFmtId="4" fontId="18" fillId="0" borderId="0" xfId="48" applyNumberFormat="1" applyFont="1" applyFill="1" applyBorder="1" applyAlignment="1">
      <alignment horizontal="center" vertical="center"/>
    </xf>
    <xf numFmtId="0" fontId="23" fillId="0" borderId="142" xfId="0" applyFont="1" applyBorder="1" applyAlignment="1">
      <alignment vertical="center" wrapText="1"/>
    </xf>
    <xf numFmtId="4" fontId="23" fillId="0" borderId="14" xfId="48" applyNumberFormat="1" applyFont="1" applyBorder="1" applyAlignment="1">
      <alignment horizontal="justify" vertical="center" wrapText="1"/>
    </xf>
    <xf numFmtId="4" fontId="23" fillId="24" borderId="18" xfId="48" applyNumberFormat="1" applyFont="1" applyFill="1" applyBorder="1" applyAlignment="1">
      <alignment horizontal="center"/>
    </xf>
    <xf numFmtId="4" fontId="23" fillId="24" borderId="20" xfId="33" applyNumberFormat="1" applyFont="1" applyFill="1" applyBorder="1" applyAlignment="1">
      <alignment horizontal="center"/>
    </xf>
    <xf numFmtId="4" fontId="23" fillId="24" borderId="20" xfId="48" applyNumberFormat="1" applyFont="1" applyFill="1" applyBorder="1" applyAlignment="1">
      <alignment horizontal="center"/>
    </xf>
    <xf numFmtId="4" fontId="23" fillId="24" borderId="18" xfId="48" applyNumberFormat="1" applyFont="1" applyFill="1" applyBorder="1" applyAlignment="1">
      <alignment horizontal="left" vertical="center"/>
    </xf>
    <xf numFmtId="4" fontId="23" fillId="24" borderId="16" xfId="48" applyNumberFormat="1" applyFont="1" applyFill="1" applyBorder="1" applyAlignment="1">
      <alignment horizontal="right" vertical="center"/>
    </xf>
    <xf numFmtId="4" fontId="23" fillId="0" borderId="39" xfId="48" applyNumberFormat="1" applyFont="1" applyBorder="1" applyAlignment="1">
      <alignment horizontal="left" vertical="center" wrapText="1"/>
    </xf>
    <xf numFmtId="4" fontId="23" fillId="24" borderId="38" xfId="48" applyNumberFormat="1" applyFont="1" applyFill="1" applyBorder="1" applyAlignment="1">
      <alignment horizontal="center"/>
    </xf>
    <xf numFmtId="4" fontId="23" fillId="24" borderId="40" xfId="48" applyNumberFormat="1" applyFont="1" applyFill="1" applyBorder="1" applyAlignment="1">
      <alignment horizontal="center" vertical="center"/>
    </xf>
    <xf numFmtId="4" fontId="23" fillId="24" borderId="42" xfId="48" applyNumberFormat="1" applyFont="1" applyFill="1" applyBorder="1" applyAlignment="1">
      <alignment horizontal="center" vertical="center"/>
    </xf>
    <xf numFmtId="4" fontId="23" fillId="24" borderId="23" xfId="33" applyNumberFormat="1" applyFont="1" applyFill="1" applyBorder="1" applyAlignment="1">
      <alignment horizontal="center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3" fillId="24" borderId="41" xfId="48" applyNumberFormat="1" applyFont="1" applyFill="1" applyBorder="1" applyAlignment="1">
      <alignment horizontal="center" vertical="center"/>
    </xf>
    <xf numFmtId="4" fontId="23" fillId="24" borderId="42" xfId="48" applyNumberFormat="1" applyFont="1" applyFill="1" applyBorder="1" applyAlignment="1">
      <alignment horizontal="justify" vertical="center"/>
    </xf>
    <xf numFmtId="4" fontId="23" fillId="24" borderId="23" xfId="48" applyNumberFormat="1" applyFont="1" applyFill="1" applyBorder="1" applyAlignment="1">
      <alignment horizontal="center"/>
    </xf>
    <xf numFmtId="4" fontId="23" fillId="24" borderId="23" xfId="48" applyNumberFormat="1" applyFont="1" applyFill="1" applyBorder="1" applyAlignment="1">
      <alignment horizontal="right"/>
    </xf>
    <xf numFmtId="0" fontId="23" fillId="0" borderId="42" xfId="0" applyFont="1" applyBorder="1" applyAlignment="1">
      <alignment horizontal="justify" vertical="center"/>
    </xf>
    <xf numFmtId="4" fontId="23" fillId="0" borderId="42" xfId="48" applyNumberFormat="1" applyFont="1" applyBorder="1" applyAlignment="1">
      <alignment horizontal="justify" vertical="center" wrapText="1"/>
    </xf>
    <xf numFmtId="4" fontId="23" fillId="0" borderId="42" xfId="48" applyNumberFormat="1" applyFont="1" applyBorder="1" applyAlignment="1">
      <alignment horizontal="justify" vertical="center"/>
    </xf>
    <xf numFmtId="4" fontId="23" fillId="0" borderId="42" xfId="0" applyNumberFormat="1" applyFont="1" applyBorder="1" applyAlignment="1">
      <alignment horizontal="justify" vertical="center" wrapText="1"/>
    </xf>
    <xf numFmtId="4" fontId="23" fillId="0" borderId="42" xfId="48" applyNumberFormat="1" applyFont="1" applyBorder="1" applyAlignment="1">
      <alignment horizontal="left" vertical="center" wrapText="1"/>
    </xf>
    <xf numFmtId="4" fontId="23" fillId="24" borderId="39" xfId="48" applyNumberFormat="1" applyFont="1" applyFill="1" applyBorder="1" applyAlignment="1">
      <alignment horizontal="left" vertical="center"/>
    </xf>
    <xf numFmtId="4" fontId="23" fillId="24" borderId="37" xfId="48" applyNumberFormat="1" applyFont="1" applyFill="1" applyBorder="1" applyAlignment="1">
      <alignment horizontal="left" vertical="center"/>
    </xf>
    <xf numFmtId="4" fontId="0" fillId="0" borderId="12" xfId="0" applyNumberFormat="1" applyFont="1" applyBorder="1" applyAlignment="1">
      <alignment horizontal="center" vertical="center"/>
    </xf>
    <xf numFmtId="4" fontId="23" fillId="24" borderId="20" xfId="48" applyNumberFormat="1" applyFont="1" applyFill="1" applyBorder="1" applyAlignment="1">
      <alignment horizontal="right" vertical="center"/>
    </xf>
    <xf numFmtId="175" fontId="23" fillId="0" borderId="12" xfId="0" applyNumberFormat="1" applyFont="1" applyFill="1" applyBorder="1" applyAlignment="1">
      <alignment horizontal="right" vertical="center"/>
    </xf>
    <xf numFmtId="0" fontId="23" fillId="24" borderId="37" xfId="0" applyFont="1" applyFill="1" applyBorder="1" applyAlignment="1">
      <alignment horizontal="justify" wrapText="1"/>
    </xf>
    <xf numFmtId="0" fontId="23" fillId="24" borderId="10" xfId="0" applyFont="1" applyFill="1" applyBorder="1" applyAlignment="1">
      <alignment horizontal="center" vertical="center"/>
    </xf>
    <xf numFmtId="179" fontId="23" fillId="24" borderId="12" xfId="0" applyNumberFormat="1" applyFont="1" applyFill="1" applyBorder="1" applyAlignment="1">
      <alignment horizontal="center" vertical="center"/>
    </xf>
    <xf numFmtId="0" fontId="23" fillId="24" borderId="37" xfId="0" applyFont="1" applyFill="1" applyBorder="1" applyAlignment="1">
      <alignment horizontal="left" vertical="center" wrapText="1"/>
    </xf>
    <xf numFmtId="0" fontId="23" fillId="24" borderId="39" xfId="0" applyFont="1" applyFill="1" applyBorder="1" applyAlignment="1">
      <alignment horizontal="left" vertical="center"/>
    </xf>
    <xf numFmtId="0" fontId="23" fillId="24" borderId="12" xfId="0" applyFont="1" applyFill="1" applyBorder="1" applyAlignment="1">
      <alignment horizontal="center" vertical="center"/>
    </xf>
    <xf numFmtId="179" fontId="23" fillId="24" borderId="15" xfId="0" applyNumberFormat="1" applyFont="1" applyFill="1" applyBorder="1" applyAlignment="1">
      <alignment horizontal="center" vertical="center"/>
    </xf>
    <xf numFmtId="179" fontId="23" fillId="0" borderId="15" xfId="0" applyNumberFormat="1" applyFont="1" applyFill="1" applyBorder="1" applyAlignment="1">
      <alignment horizontal="center" vertical="center"/>
    </xf>
    <xf numFmtId="4" fontId="23" fillId="0" borderId="23" xfId="0" applyNumberFormat="1" applyFont="1" applyBorder="1" applyAlignment="1">
      <alignment horizontal="center" vertical="center"/>
    </xf>
    <xf numFmtId="4" fontId="23" fillId="37" borderId="23" xfId="48" applyNumberFormat="1" applyFont="1" applyFill="1" applyBorder="1" applyAlignment="1">
      <alignment horizontal="center" vertical="center"/>
    </xf>
    <xf numFmtId="4" fontId="23" fillId="24" borderId="10" xfId="33" applyNumberFormat="1" applyFont="1" applyFill="1" applyBorder="1" applyAlignment="1">
      <alignment horizontal="left" vertical="center"/>
    </xf>
    <xf numFmtId="4" fontId="23" fillId="24" borderId="17" xfId="33" applyNumberFormat="1" applyFont="1" applyFill="1" applyBorder="1" applyAlignment="1">
      <alignment horizontal="center" vertical="center"/>
    </xf>
    <xf numFmtId="4" fontId="23" fillId="24" borderId="12" xfId="33" applyNumberFormat="1" applyFont="1" applyFill="1" applyBorder="1" applyAlignment="1">
      <alignment horizontal="right"/>
    </xf>
    <xf numFmtId="4" fontId="23" fillId="0" borderId="12" xfId="33" applyNumberFormat="1" applyFont="1" applyFill="1" applyBorder="1" applyAlignment="1">
      <alignment horizontal="right" vertical="center"/>
    </xf>
    <xf numFmtId="4" fontId="23" fillId="0" borderId="13" xfId="33" applyNumberFormat="1" applyFont="1" applyFill="1" applyBorder="1" applyAlignment="1">
      <alignment horizontal="center" vertical="center"/>
    </xf>
    <xf numFmtId="4" fontId="23" fillId="0" borderId="14" xfId="33" applyNumberFormat="1" applyFont="1" applyFill="1" applyBorder="1" applyAlignment="1">
      <alignment horizontal="justify" vertical="center"/>
    </xf>
    <xf numFmtId="4" fontId="23" fillId="0" borderId="0" xfId="33" applyNumberFormat="1" applyFont="1" applyFill="1" applyBorder="1" applyAlignment="1">
      <alignment horizontal="center" vertical="center"/>
    </xf>
    <xf numFmtId="4" fontId="23" fillId="0" borderId="26" xfId="33" applyNumberFormat="1" applyFont="1" applyFill="1" applyBorder="1" applyAlignment="1">
      <alignment horizontal="right" vertical="center"/>
    </xf>
    <xf numFmtId="4" fontId="23" fillId="24" borderId="14" xfId="33" applyNumberFormat="1" applyFont="1" applyFill="1" applyBorder="1" applyAlignment="1">
      <alignment horizontal="justify" vertical="center" wrapText="1"/>
    </xf>
    <xf numFmtId="4" fontId="23" fillId="24" borderId="26" xfId="33" applyNumberFormat="1" applyFont="1" applyFill="1" applyBorder="1" applyAlignment="1">
      <alignment horizontal="right" vertical="center"/>
    </xf>
    <xf numFmtId="4" fontId="23" fillId="24" borderId="12" xfId="33" applyNumberFormat="1" applyFont="1" applyFill="1" applyBorder="1" applyAlignment="1">
      <alignment horizontal="right" vertical="center"/>
    </xf>
    <xf numFmtId="4" fontId="23" fillId="24" borderId="31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center" vertical="center"/>
    </xf>
    <xf numFmtId="4" fontId="23" fillId="24" borderId="11" xfId="33" applyNumberFormat="1" applyFont="1" applyFill="1" applyBorder="1" applyAlignment="1">
      <alignment horizontal="center"/>
    </xf>
    <xf numFmtId="4" fontId="23" fillId="24" borderId="13" xfId="33" applyNumberFormat="1" applyFont="1" applyFill="1" applyBorder="1" applyAlignment="1">
      <alignment horizontal="center" vertical="center"/>
    </xf>
    <xf numFmtId="4" fontId="23" fillId="0" borderId="27" xfId="33" applyNumberFormat="1" applyFont="1" applyFill="1" applyBorder="1" applyAlignment="1">
      <alignment horizontal="center" vertical="center"/>
    </xf>
    <xf numFmtId="4" fontId="23" fillId="24" borderId="14" xfId="33" applyNumberFormat="1" applyFont="1" applyFill="1" applyBorder="1" applyAlignment="1">
      <alignment horizontal="left" vertical="center"/>
    </xf>
    <xf numFmtId="2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23" xfId="0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 applyProtection="1">
      <alignment horizontal="center" vertical="center"/>
      <protection locked="0"/>
    </xf>
    <xf numFmtId="2" fontId="23" fillId="37" borderId="34" xfId="0" applyNumberFormat="1" applyFont="1" applyFill="1" applyBorder="1" applyAlignment="1">
      <alignment horizontal="center" vertical="center"/>
    </xf>
    <xf numFmtId="4" fontId="23" fillId="37" borderId="23" xfId="53" applyNumberFormat="1" applyFont="1" applyFill="1" applyBorder="1" applyAlignment="1">
      <alignment horizontal="center" vertical="center"/>
    </xf>
    <xf numFmtId="4" fontId="23" fillId="37" borderId="12" xfId="0" applyNumberFormat="1" applyFont="1" applyFill="1" applyBorder="1" applyAlignment="1">
      <alignment horizontal="center" vertical="center"/>
    </xf>
    <xf numFmtId="4" fontId="23" fillId="37" borderId="38" xfId="0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/>
    </xf>
    <xf numFmtId="181" fontId="23" fillId="37" borderId="12" xfId="0" applyNumberFormat="1" applyFont="1" applyFill="1" applyBorder="1" applyAlignment="1">
      <alignment horizontal="center" vertical="center"/>
    </xf>
    <xf numFmtId="4" fontId="23" fillId="37" borderId="43" xfId="0" applyNumberFormat="1" applyFont="1" applyFill="1" applyBorder="1" applyAlignment="1">
      <alignment horizontal="center" vertical="center"/>
    </xf>
    <xf numFmtId="4" fontId="23" fillId="37" borderId="24" xfId="48" applyNumberFormat="1" applyFont="1" applyFill="1" applyBorder="1" applyAlignment="1">
      <alignment horizontal="center" vertical="center"/>
    </xf>
    <xf numFmtId="2" fontId="23" fillId="37" borderId="23" xfId="0" applyNumberFormat="1" applyFont="1" applyFill="1" applyBorder="1" applyAlignment="1">
      <alignment horizontal="center"/>
    </xf>
    <xf numFmtId="2" fontId="23" fillId="37" borderId="0" xfId="0" applyNumberFormat="1" applyFont="1" applyFill="1" applyAlignment="1">
      <alignment horizontal="center"/>
    </xf>
    <xf numFmtId="4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 vertical="center"/>
    </xf>
    <xf numFmtId="2" fontId="23" fillId="37" borderId="27" xfId="0" applyNumberFormat="1" applyFont="1" applyFill="1" applyBorder="1" applyAlignment="1">
      <alignment horizontal="center" vertical="center"/>
    </xf>
    <xf numFmtId="2" fontId="23" fillId="37" borderId="12" xfId="0" applyNumberFormat="1" applyFont="1" applyFill="1" applyBorder="1" applyAlignment="1">
      <alignment horizontal="center"/>
    </xf>
    <xf numFmtId="3" fontId="23" fillId="0" borderId="46" xfId="0" applyNumberFormat="1" applyFont="1" applyFill="1" applyBorder="1" applyAlignment="1">
      <alignment horizontal="left" vertical="center" wrapText="1"/>
    </xf>
    <xf numFmtId="175" fontId="23" fillId="39" borderId="15" xfId="33" applyNumberFormat="1" applyFont="1" applyFill="1" applyBorder="1" applyAlignment="1">
      <alignment horizontal="center"/>
    </xf>
    <xf numFmtId="175" fontId="23" fillId="39" borderId="23" xfId="48" applyNumberFormat="1" applyFont="1" applyFill="1" applyBorder="1" applyAlignment="1">
      <alignment horizontal="center"/>
    </xf>
    <xf numFmtId="175" fontId="23" fillId="39" borderId="12" xfId="48" applyNumberFormat="1" applyFont="1" applyFill="1" applyBorder="1" applyAlignment="1">
      <alignment horizontal="center" vertical="center"/>
    </xf>
    <xf numFmtId="4" fontId="23" fillId="39" borderId="12" xfId="48" applyNumberFormat="1" applyFont="1" applyFill="1" applyBorder="1" applyAlignment="1">
      <alignment horizontal="center"/>
    </xf>
    <xf numFmtId="4" fontId="23" fillId="40" borderId="23" xfId="48" applyNumberFormat="1" applyFont="1" applyFill="1" applyBorder="1" applyAlignment="1">
      <alignment horizontal="center" vertical="center"/>
    </xf>
    <xf numFmtId="4" fontId="23" fillId="40" borderId="12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/>
    </xf>
    <xf numFmtId="4" fontId="23" fillId="39" borderId="40" xfId="48" applyNumberFormat="1" applyFont="1" applyFill="1" applyBorder="1" applyAlignment="1">
      <alignment horizontal="center" vertical="center"/>
    </xf>
    <xf numFmtId="4" fontId="23" fillId="39" borderId="41" xfId="48" applyNumberFormat="1" applyFont="1" applyFill="1" applyBorder="1" applyAlignment="1">
      <alignment horizontal="center" vertical="center"/>
    </xf>
    <xf numFmtId="4" fontId="23" fillId="39" borderId="38" xfId="48" applyNumberFormat="1" applyFont="1" applyFill="1" applyBorder="1" applyAlignment="1">
      <alignment horizontal="center" vertical="center"/>
    </xf>
    <xf numFmtId="4" fontId="23" fillId="37" borderId="43" xfId="48" applyNumberFormat="1" applyFont="1" applyFill="1" applyBorder="1" applyAlignment="1">
      <alignment horizontal="center" vertical="center"/>
    </xf>
    <xf numFmtId="4" fontId="23" fillId="37" borderId="38" xfId="48" applyNumberFormat="1" applyFont="1" applyFill="1" applyBorder="1" applyAlignment="1">
      <alignment horizontal="center" vertical="center"/>
    </xf>
    <xf numFmtId="4" fontId="18" fillId="37" borderId="23" xfId="53" applyNumberFormat="1" applyFont="1" applyFill="1" applyBorder="1" applyAlignment="1" applyProtection="1">
      <alignment horizontal="center" vertical="center" wrapText="1"/>
    </xf>
    <xf numFmtId="4" fontId="18" fillId="39" borderId="23" xfId="53" applyNumberFormat="1" applyFont="1" applyFill="1" applyBorder="1" applyAlignment="1" applyProtection="1">
      <alignment horizontal="center" vertical="center" wrapText="1"/>
    </xf>
    <xf numFmtId="4" fontId="23" fillId="24" borderId="18" xfId="33" applyNumberFormat="1" applyFont="1" applyFill="1" applyBorder="1" applyAlignment="1">
      <alignment horizontal="center" vertical="center"/>
    </xf>
    <xf numFmtId="4" fontId="18" fillId="37" borderId="23" xfId="0" applyNumberFormat="1" applyFont="1" applyFill="1" applyBorder="1" applyAlignment="1">
      <alignment horizontal="center" vertical="center" wrapText="1"/>
    </xf>
    <xf numFmtId="4" fontId="18" fillId="37" borderId="23" xfId="0" applyNumberFormat="1" applyFont="1" applyFill="1" applyBorder="1" applyAlignment="1">
      <alignment horizontal="center" vertical="center"/>
    </xf>
    <xf numFmtId="4" fontId="18" fillId="39" borderId="23" xfId="0" applyNumberFormat="1" applyFont="1" applyFill="1" applyBorder="1" applyAlignment="1">
      <alignment horizontal="center" vertical="center" wrapText="1"/>
    </xf>
    <xf numFmtId="4" fontId="19" fillId="37" borderId="23" xfId="0" applyNumberFormat="1" applyFont="1" applyFill="1" applyBorder="1" applyAlignment="1">
      <alignment vertical="center" wrapText="1"/>
    </xf>
    <xf numFmtId="4" fontId="18" fillId="37" borderId="23" xfId="0" applyNumberFormat="1" applyFont="1" applyFill="1" applyBorder="1" applyAlignment="1">
      <alignment vertical="center" wrapText="1"/>
    </xf>
    <xf numFmtId="4" fontId="19" fillId="4" borderId="32" xfId="33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/>
    </xf>
    <xf numFmtId="4" fontId="19" fillId="4" borderId="57" xfId="48" applyNumberFormat="1" applyFont="1" applyFill="1" applyBorder="1" applyAlignment="1">
      <alignment horizontal="center" vertical="center" wrapText="1"/>
    </xf>
    <xf numFmtId="4" fontId="40" fillId="4" borderId="57" xfId="48" applyNumberFormat="1" applyFont="1" applyFill="1" applyBorder="1" applyAlignment="1">
      <alignment horizontal="center" vertical="center" wrapText="1"/>
    </xf>
    <xf numFmtId="4" fontId="24" fillId="4" borderId="57" xfId="48" applyNumberFormat="1" applyFont="1" applyFill="1" applyBorder="1" applyAlignment="1">
      <alignment horizontal="center" vertical="center" wrapText="1"/>
    </xf>
    <xf numFmtId="4" fontId="23" fillId="37" borderId="12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 vertical="center"/>
    </xf>
    <xf numFmtId="4" fontId="23" fillId="39" borderId="12" xfId="33" applyNumberFormat="1" applyFont="1" applyFill="1" applyBorder="1" applyAlignment="1">
      <alignment horizontal="center" vertical="center"/>
    </xf>
    <xf numFmtId="4" fontId="23" fillId="37" borderId="12" xfId="33" applyNumberFormat="1" applyFont="1" applyFill="1" applyBorder="1" applyAlignment="1">
      <alignment horizontal="center" vertical="center"/>
    </xf>
    <xf numFmtId="4" fontId="23" fillId="24" borderId="35" xfId="33" applyNumberFormat="1" applyFont="1" applyFill="1" applyBorder="1" applyAlignment="1">
      <alignment horizontal="right" vertical="center"/>
    </xf>
    <xf numFmtId="4" fontId="23" fillId="24" borderId="23" xfId="33" applyNumberFormat="1" applyFont="1" applyFill="1" applyBorder="1" applyAlignment="1">
      <alignment horizontal="right" vertical="center"/>
    </xf>
    <xf numFmtId="4" fontId="23" fillId="24" borderId="27" xfId="33" applyNumberFormat="1" applyFont="1" applyFill="1" applyBorder="1" applyAlignment="1">
      <alignment horizontal="right" vertical="center"/>
    </xf>
    <xf numFmtId="4" fontId="23" fillId="39" borderId="10" xfId="33" applyNumberFormat="1" applyFont="1" applyFill="1" applyBorder="1" applyAlignment="1">
      <alignment horizontal="center" vertical="center"/>
    </xf>
    <xf numFmtId="4" fontId="24" fillId="24" borderId="0" xfId="33" applyNumberFormat="1" applyFont="1" applyFill="1" applyBorder="1" applyAlignment="1">
      <alignment horizontal="left" vertical="center"/>
    </xf>
    <xf numFmtId="4" fontId="23" fillId="37" borderId="27" xfId="33" applyNumberFormat="1" applyFont="1" applyFill="1" applyBorder="1" applyAlignment="1">
      <alignment horizontal="center" vertical="center"/>
    </xf>
    <xf numFmtId="4" fontId="23" fillId="39" borderId="15" xfId="33" applyNumberFormat="1" applyFont="1" applyFill="1" applyBorder="1" applyAlignment="1">
      <alignment horizontal="center" vertical="center"/>
    </xf>
    <xf numFmtId="4" fontId="23" fillId="40" borderId="12" xfId="33" applyNumberFormat="1" applyFont="1" applyFill="1" applyBorder="1" applyAlignment="1">
      <alignment horizontal="center" vertical="center"/>
    </xf>
    <xf numFmtId="4" fontId="23" fillId="37" borderId="13" xfId="33" applyNumberFormat="1" applyFont="1" applyFill="1" applyBorder="1" applyAlignment="1">
      <alignment horizontal="center" vertical="center"/>
    </xf>
    <xf numFmtId="4" fontId="23" fillId="39" borderId="13" xfId="33" applyNumberFormat="1" applyFont="1" applyFill="1" applyBorder="1" applyAlignment="1">
      <alignment horizontal="center" vertical="center"/>
    </xf>
    <xf numFmtId="4" fontId="23" fillId="37" borderId="21" xfId="33" applyNumberFormat="1" applyFont="1" applyFill="1" applyBorder="1" applyAlignment="1">
      <alignment horizontal="center"/>
    </xf>
    <xf numFmtId="4" fontId="23" fillId="37" borderId="21" xfId="33" applyNumberFormat="1" applyFont="1" applyFill="1" applyBorder="1" applyAlignment="1">
      <alignment horizontal="center" vertical="center"/>
    </xf>
    <xf numFmtId="4" fontId="23" fillId="37" borderId="21" xfId="48" applyNumberFormat="1" applyFont="1" applyFill="1" applyBorder="1" applyAlignment="1">
      <alignment horizontal="center"/>
    </xf>
    <xf numFmtId="4" fontId="23" fillId="39" borderId="21" xfId="48" applyNumberFormat="1" applyFont="1" applyFill="1" applyBorder="1" applyAlignment="1">
      <alignment horizontal="center" vertical="center"/>
    </xf>
    <xf numFmtId="4" fontId="23" fillId="39" borderId="13" xfId="48" applyNumberFormat="1" applyFont="1" applyFill="1" applyBorder="1" applyAlignment="1">
      <alignment horizontal="center" vertical="center"/>
    </xf>
    <xf numFmtId="4" fontId="23" fillId="37" borderId="13" xfId="48" applyNumberFormat="1" applyFont="1" applyFill="1" applyBorder="1" applyAlignment="1">
      <alignment horizontal="center"/>
    </xf>
    <xf numFmtId="4" fontId="23" fillId="37" borderId="12" xfId="48" applyNumberFormat="1" applyFont="1" applyFill="1" applyBorder="1" applyAlignment="1">
      <alignment horizontal="center"/>
    </xf>
    <xf numFmtId="4" fontId="23" fillId="37" borderId="41" xfId="48" applyNumberFormat="1" applyFont="1" applyFill="1" applyBorder="1" applyAlignment="1">
      <alignment horizontal="center" vertical="center"/>
    </xf>
    <xf numFmtId="4" fontId="23" fillId="37" borderId="101" xfId="48" applyNumberFormat="1" applyFont="1" applyFill="1" applyBorder="1" applyAlignment="1">
      <alignment horizontal="center" vertical="center"/>
    </xf>
    <xf numFmtId="4" fontId="23" fillId="37" borderId="36" xfId="48" applyNumberFormat="1" applyFont="1" applyFill="1" applyBorder="1" applyAlignment="1">
      <alignment horizontal="center" vertical="center"/>
    </xf>
    <xf numFmtId="4" fontId="23" fillId="37" borderId="26" xfId="48" applyNumberFormat="1" applyFont="1" applyFill="1" applyBorder="1" applyAlignment="1">
      <alignment horizontal="center" vertical="center"/>
    </xf>
    <xf numFmtId="4" fontId="23" fillId="37" borderId="33" xfId="48" applyNumberFormat="1" applyFont="1" applyFill="1" applyBorder="1" applyAlignment="1">
      <alignment horizontal="center" vertical="center"/>
    </xf>
    <xf numFmtId="4" fontId="24" fillId="38" borderId="0" xfId="48" applyNumberFormat="1" applyFont="1" applyFill="1" applyBorder="1" applyAlignment="1">
      <alignment horizontal="left" vertical="center"/>
    </xf>
    <xf numFmtId="4" fontId="23" fillId="38" borderId="0" xfId="48" applyNumberFormat="1" applyFont="1" applyFill="1" applyBorder="1" applyAlignment="1">
      <alignment horizontal="center" vertical="center"/>
    </xf>
    <xf numFmtId="4" fontId="23" fillId="40" borderId="13" xfId="48" applyNumberFormat="1" applyFont="1" applyFill="1" applyBorder="1" applyAlignment="1">
      <alignment horizontal="center" vertical="center"/>
    </xf>
    <xf numFmtId="4" fontId="23" fillId="40" borderId="21" xfId="48" applyNumberFormat="1" applyFont="1" applyFill="1" applyBorder="1" applyAlignment="1">
      <alignment horizontal="center" vertical="center"/>
    </xf>
    <xf numFmtId="4" fontId="23" fillId="39" borderId="24" xfId="48" applyNumberFormat="1" applyFont="1" applyFill="1" applyBorder="1" applyAlignment="1">
      <alignment horizontal="center" vertical="center"/>
    </xf>
    <xf numFmtId="4" fontId="23" fillId="40" borderId="26" xfId="48" applyNumberFormat="1" applyFont="1" applyFill="1" applyBorder="1" applyAlignment="1">
      <alignment horizontal="center" vertical="center"/>
    </xf>
    <xf numFmtId="4" fontId="23" fillId="39" borderId="43" xfId="48" applyNumberFormat="1" applyFont="1" applyFill="1" applyBorder="1" applyAlignment="1">
      <alignment horizontal="center" vertical="center"/>
    </xf>
    <xf numFmtId="3" fontId="23" fillId="29" borderId="23" xfId="0" applyNumberFormat="1" applyFont="1" applyFill="1" applyBorder="1" applyAlignment="1">
      <alignment horizontal="justify" vertical="center" wrapText="1"/>
    </xf>
    <xf numFmtId="0" fontId="23" fillId="0" borderId="23" xfId="0" applyFont="1" applyFill="1" applyBorder="1" applyAlignment="1">
      <alignment horizontal="justify" vertical="center" wrapText="1"/>
    </xf>
    <xf numFmtId="4" fontId="23" fillId="29" borderId="23" xfId="48" applyNumberFormat="1" applyFont="1" applyFill="1" applyBorder="1" applyAlignment="1">
      <alignment horizontal="justify" vertical="center"/>
    </xf>
    <xf numFmtId="0" fontId="23" fillId="0" borderId="23" xfId="0" applyFont="1" applyBorder="1" applyAlignment="1">
      <alignment horizontal="justify" vertical="center" wrapText="1"/>
    </xf>
    <xf numFmtId="4" fontId="23" fillId="39" borderId="12" xfId="48" applyNumberFormat="1" applyFont="1" applyFill="1" applyBorder="1" applyAlignment="1">
      <alignment horizontal="center" vertical="center"/>
    </xf>
    <xf numFmtId="166" fontId="23" fillId="39" borderId="12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 vertical="center"/>
    </xf>
    <xf numFmtId="4" fontId="18" fillId="40" borderId="24" xfId="48" applyNumberFormat="1" applyFont="1" applyFill="1" applyBorder="1" applyAlignment="1">
      <alignment horizontal="center" vertical="center"/>
    </xf>
    <xf numFmtId="4" fontId="23" fillId="39" borderId="20" xfId="48" applyNumberFormat="1" applyFont="1" applyFill="1" applyBorder="1" applyAlignment="1">
      <alignment horizontal="center" vertical="center"/>
    </xf>
    <xf numFmtId="179" fontId="23" fillId="37" borderId="12" xfId="0" applyNumberFormat="1" applyFont="1" applyFill="1" applyBorder="1" applyAlignment="1">
      <alignment horizontal="center" vertical="center"/>
    </xf>
    <xf numFmtId="179" fontId="23" fillId="37" borderId="27" xfId="0" applyNumberFormat="1" applyFont="1" applyFill="1" applyBorder="1" applyAlignment="1">
      <alignment horizontal="center" vertical="center"/>
    </xf>
    <xf numFmtId="175" fontId="23" fillId="37" borderId="12" xfId="0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 vertical="center"/>
    </xf>
    <xf numFmtId="4" fontId="23" fillId="37" borderId="23" xfId="0" applyNumberFormat="1" applyFont="1" applyFill="1" applyBorder="1" applyAlignment="1">
      <alignment horizontal="center" vertical="center"/>
    </xf>
    <xf numFmtId="166" fontId="23" fillId="37" borderId="23" xfId="0" applyNumberFormat="1" applyFont="1" applyFill="1" applyBorder="1" applyAlignment="1">
      <alignment horizontal="center" vertical="center"/>
    </xf>
    <xf numFmtId="4" fontId="23" fillId="37" borderId="20" xfId="48" applyNumberFormat="1" applyFont="1" applyFill="1" applyBorder="1" applyAlignment="1">
      <alignment horizontal="center" vertical="center"/>
    </xf>
    <xf numFmtId="4" fontId="23" fillId="37" borderId="15" xfId="48" applyNumberFormat="1" applyFont="1" applyFill="1" applyBorder="1" applyAlignment="1">
      <alignment horizontal="center"/>
    </xf>
    <xf numFmtId="166" fontId="23" fillId="37" borderId="12" xfId="33" applyNumberFormat="1" applyFont="1" applyFill="1" applyBorder="1" applyAlignment="1">
      <alignment horizontal="center" vertical="center"/>
    </xf>
    <xf numFmtId="4" fontId="23" fillId="37" borderId="23" xfId="33" applyNumberFormat="1" applyFont="1" applyFill="1" applyBorder="1" applyAlignment="1">
      <alignment horizontal="center" vertical="center"/>
    </xf>
    <xf numFmtId="166" fontId="23" fillId="37" borderId="15" xfId="33" applyNumberFormat="1" applyFont="1" applyFill="1" applyBorder="1" applyAlignment="1">
      <alignment horizontal="center" vertical="center"/>
    </xf>
    <xf numFmtId="4" fontId="23" fillId="37" borderId="46" xfId="33" applyNumberFormat="1" applyFont="1" applyFill="1" applyBorder="1" applyAlignment="1">
      <alignment horizontal="center" vertical="center"/>
    </xf>
    <xf numFmtId="175" fontId="23" fillId="37" borderId="34" xfId="48" applyNumberFormat="1" applyFont="1" applyFill="1" applyBorder="1" applyAlignment="1">
      <alignment horizontal="center" vertical="center"/>
    </xf>
    <xf numFmtId="166" fontId="23" fillId="37" borderId="12" xfId="48" applyNumberFormat="1" applyFont="1" applyFill="1" applyBorder="1" applyAlignment="1">
      <alignment horizontal="center" vertical="center"/>
    </xf>
    <xf numFmtId="4" fontId="23" fillId="37" borderId="35" xfId="48" applyNumberFormat="1" applyFont="1" applyFill="1" applyBorder="1" applyAlignment="1">
      <alignment horizontal="center" vertical="center"/>
    </xf>
    <xf numFmtId="4" fontId="23" fillId="37" borderId="15" xfId="33" applyNumberFormat="1" applyFont="1" applyFill="1" applyBorder="1" applyAlignment="1">
      <alignment horizontal="center"/>
    </xf>
    <xf numFmtId="0" fontId="23" fillId="29" borderId="49" xfId="0" applyFont="1" applyFill="1" applyBorder="1" applyAlignment="1">
      <alignment horizontal="center" vertical="center"/>
    </xf>
    <xf numFmtId="0" fontId="23" fillId="41" borderId="23" xfId="0" applyFont="1" applyFill="1" applyBorder="1" applyAlignment="1">
      <alignment horizontal="justify" vertical="center" wrapText="1"/>
    </xf>
    <xf numFmtId="0" fontId="23" fillId="41" borderId="31" xfId="0" applyFont="1" applyFill="1" applyBorder="1" applyAlignment="1">
      <alignment horizontal="center" vertical="center"/>
    </xf>
    <xf numFmtId="4" fontId="23" fillId="40" borderId="38" xfId="48" applyNumberFormat="1" applyFont="1" applyFill="1" applyBorder="1" applyAlignment="1">
      <alignment horizontal="center" vertical="center"/>
    </xf>
    <xf numFmtId="4" fontId="23" fillId="40" borderId="43" xfId="48" applyNumberFormat="1" applyFont="1" applyFill="1" applyBorder="1" applyAlignment="1">
      <alignment horizontal="center" vertical="center"/>
    </xf>
    <xf numFmtId="3" fontId="23" fillId="29" borderId="146" xfId="0" applyNumberFormat="1" applyFont="1" applyFill="1" applyBorder="1" applyAlignment="1">
      <alignment horizontal="justify" vertical="center" wrapText="1"/>
    </xf>
    <xf numFmtId="3" fontId="23" fillId="29" borderId="146" xfId="0" applyNumberFormat="1" applyFont="1" applyFill="1" applyBorder="1" applyAlignment="1">
      <alignment horizontal="center" vertical="center"/>
    </xf>
    <xf numFmtId="167" fontId="23" fillId="41" borderId="146" xfId="0" applyNumberFormat="1" applyFont="1" applyFill="1" applyBorder="1" applyAlignment="1">
      <alignment horizontal="center" vertical="center" wrapText="1"/>
    </xf>
    <xf numFmtId="165" fontId="39" fillId="0" borderId="136" xfId="53" applyFont="1" applyFill="1" applyBorder="1" applyAlignment="1" applyProtection="1"/>
    <xf numFmtId="180" fontId="40" fillId="0" borderId="136" xfId="32" applyNumberFormat="1" applyFont="1" applyBorder="1"/>
    <xf numFmtId="0" fontId="0" fillId="0" borderId="129" xfId="0" applyBorder="1"/>
    <xf numFmtId="0" fontId="0" fillId="0" borderId="130" xfId="0" applyBorder="1"/>
    <xf numFmtId="0" fontId="0" fillId="0" borderId="131" xfId="0" applyBorder="1"/>
    <xf numFmtId="0" fontId="0" fillId="0" borderId="47" xfId="0" applyBorder="1"/>
    <xf numFmtId="0" fontId="0" fillId="0" borderId="0" xfId="0" applyBorder="1"/>
    <xf numFmtId="0" fontId="0" fillId="0" borderId="136" xfId="0" applyBorder="1"/>
    <xf numFmtId="0" fontId="0" fillId="0" borderId="126" xfId="0" applyBorder="1"/>
    <xf numFmtId="0" fontId="0" fillId="0" borderId="48" xfId="0" applyBorder="1"/>
    <xf numFmtId="0" fontId="0" fillId="0" borderId="147" xfId="0" applyBorder="1"/>
    <xf numFmtId="4" fontId="23" fillId="24" borderId="23" xfId="48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>
      <alignment horizontal="justify" vertical="center" wrapText="1"/>
    </xf>
    <xf numFmtId="4" fontId="23" fillId="37" borderId="148" xfId="48" applyNumberFormat="1" applyFont="1" applyFill="1" applyBorder="1" applyAlignment="1">
      <alignment horizontal="center" vertical="center"/>
    </xf>
    <xf numFmtId="4" fontId="23" fillId="37" borderId="149" xfId="48" applyNumberFormat="1" applyFont="1" applyFill="1" applyBorder="1" applyAlignment="1">
      <alignment horizontal="center" vertical="center"/>
    </xf>
    <xf numFmtId="4" fontId="18" fillId="24" borderId="0" xfId="53" applyNumberFormat="1" applyFont="1" applyFill="1" applyBorder="1" applyAlignment="1" applyProtection="1">
      <alignment horizontal="center" vertical="center" wrapText="1"/>
    </xf>
    <xf numFmtId="0" fontId="23" fillId="0" borderId="15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/>
    <xf numFmtId="2" fontId="33" fillId="42" borderId="12" xfId="50" applyNumberFormat="1" applyFont="1" applyFill="1" applyBorder="1"/>
    <xf numFmtId="0" fontId="32" fillId="25" borderId="23" xfId="0" applyFont="1" applyFill="1" applyBorder="1" applyAlignment="1">
      <alignment horizontal="left" vertical="center"/>
    </xf>
    <xf numFmtId="0" fontId="32" fillId="25" borderId="49" xfId="0" applyFont="1" applyFill="1" applyBorder="1" applyAlignment="1">
      <alignment horizontal="left" vertical="center"/>
    </xf>
    <xf numFmtId="0" fontId="32" fillId="25" borderId="58" xfId="0" applyFont="1" applyFill="1" applyBorder="1" applyAlignment="1">
      <alignment horizontal="left" vertical="center"/>
    </xf>
    <xf numFmtId="14" fontId="19" fillId="0" borderId="23" xfId="0" applyNumberFormat="1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 wrapText="1"/>
    </xf>
    <xf numFmtId="4" fontId="19" fillId="0" borderId="23" xfId="0" applyNumberFormat="1" applyFont="1" applyFill="1" applyBorder="1" applyAlignment="1">
      <alignment horizontal="center" vertical="center"/>
    </xf>
    <xf numFmtId="0" fontId="19" fillId="24" borderId="23" xfId="0" applyFont="1" applyFill="1" applyBorder="1" applyAlignment="1">
      <alignment horizontal="center" vertical="center"/>
    </xf>
    <xf numFmtId="0" fontId="19" fillId="33" borderId="23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9" fillId="27" borderId="23" xfId="0" applyFont="1" applyFill="1" applyBorder="1" applyAlignment="1">
      <alignment horizontal="left" vertical="center" wrapText="1"/>
    </xf>
    <xf numFmtId="0" fontId="19" fillId="24" borderId="23" xfId="0" applyFont="1" applyFill="1" applyBorder="1" applyAlignment="1">
      <alignment horizontal="center" vertical="center" wrapText="1"/>
    </xf>
    <xf numFmtId="17" fontId="19" fillId="0" borderId="61" xfId="0" quotePrefix="1" applyNumberFormat="1" applyFont="1" applyFill="1" applyBorder="1" applyAlignment="1">
      <alignment horizontal="center" vertical="center"/>
    </xf>
    <xf numFmtId="17" fontId="19" fillId="0" borderId="59" xfId="0" quotePrefix="1" applyNumberFormat="1" applyFont="1" applyFill="1" applyBorder="1" applyAlignment="1">
      <alignment horizontal="center" vertical="center"/>
    </xf>
    <xf numFmtId="17" fontId="19" fillId="0" borderId="60" xfId="0" quotePrefix="1" applyNumberFormat="1" applyFont="1" applyFill="1" applyBorder="1" applyAlignment="1">
      <alignment horizontal="center" vertical="center"/>
    </xf>
    <xf numFmtId="17" fontId="19" fillId="0" borderId="62" xfId="0" quotePrefix="1" applyNumberFormat="1" applyFont="1" applyFill="1" applyBorder="1" applyAlignment="1">
      <alignment horizontal="center" vertical="center" wrapTex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17" fontId="19" fillId="0" borderId="63" xfId="0" quotePrefix="1" applyNumberFormat="1" applyFont="1" applyFill="1" applyBorder="1" applyAlignment="1">
      <alignment horizontal="center" vertical="center" wrapText="1"/>
    </xf>
    <xf numFmtId="17" fontId="19" fillId="0" borderId="64" xfId="0" quotePrefix="1" applyNumberFormat="1" applyFont="1" applyFill="1" applyBorder="1" applyAlignment="1">
      <alignment horizontal="center" vertical="center" wrapText="1"/>
    </xf>
    <xf numFmtId="17" fontId="19" fillId="0" borderId="90" xfId="0" quotePrefix="1" applyNumberFormat="1" applyFont="1" applyFill="1" applyBorder="1" applyAlignment="1">
      <alignment horizontal="center" vertical="center" wrapText="1"/>
    </xf>
    <xf numFmtId="17" fontId="19" fillId="0" borderId="65" xfId="0" quotePrefix="1" applyNumberFormat="1" applyFont="1" applyFill="1" applyBorder="1" applyAlignment="1">
      <alignment horizontal="center" vertical="center" wrapText="1"/>
    </xf>
    <xf numFmtId="0" fontId="18" fillId="24" borderId="23" xfId="0" applyFont="1" applyFill="1" applyBorder="1" applyAlignment="1">
      <alignment horizontal="center"/>
    </xf>
    <xf numFmtId="0" fontId="19" fillId="0" borderId="61" xfId="0" applyFont="1" applyFill="1" applyBorder="1" applyAlignment="1">
      <alignment horizontal="center" vertical="center"/>
    </xf>
    <xf numFmtId="0" fontId="19" fillId="0" borderId="59" xfId="0" applyFont="1" applyFill="1" applyBorder="1" applyAlignment="1">
      <alignment horizontal="center" vertical="center"/>
    </xf>
    <xf numFmtId="0" fontId="19" fillId="0" borderId="60" xfId="0" applyFont="1" applyFill="1" applyBorder="1" applyAlignment="1">
      <alignment horizontal="center" vertical="center"/>
    </xf>
    <xf numFmtId="0" fontId="19" fillId="0" borderId="64" xfId="0" applyFont="1" applyFill="1" applyBorder="1" applyAlignment="1">
      <alignment horizontal="center" vertical="center"/>
    </xf>
    <xf numFmtId="0" fontId="19" fillId="0" borderId="90" xfId="0" applyFont="1" applyFill="1" applyBorder="1" applyAlignment="1">
      <alignment horizontal="center" vertical="center"/>
    </xf>
    <xf numFmtId="0" fontId="19" fillId="0" borderId="65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justify" vertical="center" wrapText="1"/>
    </xf>
    <xf numFmtId="4" fontId="23" fillId="24" borderId="14" xfId="33" applyNumberFormat="1" applyFont="1" applyFill="1" applyBorder="1" applyAlignment="1">
      <alignment horizontal="right" vertical="center"/>
    </xf>
    <xf numFmtId="4" fontId="24" fillId="0" borderId="80" xfId="33" applyNumberFormat="1" applyFont="1" applyFill="1" applyBorder="1" applyAlignment="1">
      <alignment horizontal="center" vertical="center"/>
    </xf>
    <xf numFmtId="4" fontId="23" fillId="24" borderId="71" xfId="48" applyNumberFormat="1" applyFont="1" applyFill="1" applyBorder="1" applyAlignment="1">
      <alignment horizontal="right" vertical="center"/>
    </xf>
    <xf numFmtId="4" fontId="23" fillId="24" borderId="72" xfId="48" applyNumberFormat="1" applyFont="1" applyFill="1" applyBorder="1" applyAlignment="1">
      <alignment horizontal="right" vertical="center"/>
    </xf>
    <xf numFmtId="4" fontId="23" fillId="24" borderId="33" xfId="48" applyNumberFormat="1" applyFont="1" applyFill="1" applyBorder="1" applyAlignment="1">
      <alignment horizontal="right" vertical="center"/>
    </xf>
    <xf numFmtId="4" fontId="23" fillId="24" borderId="69" xfId="48" applyNumberFormat="1" applyFont="1" applyFill="1" applyBorder="1" applyAlignment="1">
      <alignment horizontal="center" vertical="center"/>
    </xf>
    <xf numFmtId="4" fontId="23" fillId="24" borderId="59" xfId="48" applyNumberFormat="1" applyFont="1" applyFill="1" applyBorder="1" applyAlignment="1">
      <alignment horizontal="center" vertical="center"/>
    </xf>
    <xf numFmtId="4" fontId="23" fillId="24" borderId="70" xfId="48" applyNumberFormat="1" applyFont="1" applyFill="1" applyBorder="1" applyAlignment="1">
      <alignment horizontal="center" vertical="center"/>
    </xf>
    <xf numFmtId="4" fontId="24" fillId="24" borderId="73" xfId="33" applyNumberFormat="1" applyFont="1" applyFill="1" applyBorder="1" applyAlignment="1">
      <alignment horizontal="left" vertical="center"/>
    </xf>
    <xf numFmtId="4" fontId="24" fillId="24" borderId="145" xfId="48" applyNumberFormat="1" applyFont="1" applyFill="1" applyBorder="1" applyAlignment="1">
      <alignment horizontal="right" vertical="center"/>
    </xf>
    <xf numFmtId="4" fontId="24" fillId="0" borderId="73" xfId="48" applyNumberFormat="1" applyFont="1" applyFill="1" applyBorder="1" applyAlignment="1">
      <alignment horizontal="left" vertical="center"/>
    </xf>
    <xf numFmtId="4" fontId="23" fillId="0" borderId="71" xfId="48" applyNumberFormat="1" applyFont="1" applyFill="1" applyBorder="1" applyAlignment="1">
      <alignment horizontal="right" vertical="center"/>
    </xf>
    <xf numFmtId="4" fontId="23" fillId="0" borderId="72" xfId="48" applyNumberFormat="1" applyFont="1" applyFill="1" applyBorder="1" applyAlignment="1">
      <alignment horizontal="right" vertical="center"/>
    </xf>
    <xf numFmtId="4" fontId="23" fillId="0" borderId="33" xfId="48" applyNumberFormat="1" applyFont="1" applyFill="1" applyBorder="1" applyAlignment="1">
      <alignment horizontal="right" vertical="center"/>
    </xf>
    <xf numFmtId="4" fontId="24" fillId="0" borderId="67" xfId="48" applyNumberFormat="1" applyFont="1" applyFill="1" applyBorder="1" applyAlignment="1">
      <alignment horizontal="center" vertical="center"/>
    </xf>
    <xf numFmtId="4" fontId="23" fillId="0" borderId="14" xfId="48" applyNumberFormat="1" applyFont="1" applyFill="1" applyBorder="1" applyAlignment="1">
      <alignment horizontal="right" vertical="center"/>
    </xf>
    <xf numFmtId="4" fontId="24" fillId="4" borderId="74" xfId="0" applyNumberFormat="1" applyFont="1" applyFill="1" applyBorder="1" applyAlignment="1">
      <alignment horizontal="center" vertical="center" wrapText="1"/>
    </xf>
    <xf numFmtId="4" fontId="23" fillId="24" borderId="15" xfId="33" applyNumberFormat="1" applyFont="1" applyFill="1" applyBorder="1" applyAlignment="1">
      <alignment horizontal="center" vertical="center"/>
    </xf>
    <xf numFmtId="4" fontId="23" fillId="24" borderId="75" xfId="33" applyNumberFormat="1" applyFont="1" applyFill="1" applyBorder="1" applyAlignment="1">
      <alignment horizontal="center" vertical="center"/>
    </xf>
    <xf numFmtId="4" fontId="23" fillId="24" borderId="14" xfId="48" applyNumberFormat="1" applyFont="1" applyFill="1" applyBorder="1" applyAlignment="1">
      <alignment horizontal="left" vertical="center" wrapText="1"/>
    </xf>
    <xf numFmtId="4" fontId="23" fillId="24" borderId="11" xfId="33" applyNumberFormat="1" applyFont="1" applyFill="1" applyBorder="1" applyAlignment="1">
      <alignment horizontal="left" vertical="center"/>
    </xf>
    <xf numFmtId="4" fontId="23" fillId="24" borderId="25" xfId="33" applyNumberFormat="1" applyFont="1" applyFill="1" applyBorder="1" applyAlignment="1">
      <alignment horizontal="left" vertical="center"/>
    </xf>
    <xf numFmtId="4" fontId="23" fillId="24" borderId="26" xfId="33" applyNumberFormat="1" applyFont="1" applyFill="1" applyBorder="1" applyAlignment="1">
      <alignment horizontal="left" vertical="center"/>
    </xf>
    <xf numFmtId="4" fontId="24" fillId="4" borderId="74" xfId="33" applyNumberFormat="1" applyFont="1" applyFill="1" applyBorder="1" applyAlignment="1">
      <alignment horizontal="center" vertical="center" wrapText="1"/>
    </xf>
    <xf numFmtId="4" fontId="23" fillId="24" borderId="14" xfId="33" applyNumberFormat="1" applyFont="1" applyFill="1" applyBorder="1" applyAlignment="1">
      <alignment horizontal="left" vertical="center" wrapText="1"/>
    </xf>
    <xf numFmtId="4" fontId="24" fillId="0" borderId="80" xfId="48" applyNumberFormat="1" applyFont="1" applyFill="1" applyBorder="1" applyAlignment="1">
      <alignment horizontal="center" vertical="center"/>
    </xf>
    <xf numFmtId="4" fontId="23" fillId="24" borderId="85" xfId="48" applyNumberFormat="1" applyFont="1" applyFill="1" applyBorder="1" applyAlignment="1">
      <alignment horizontal="right" vertical="center"/>
    </xf>
    <xf numFmtId="4" fontId="23" fillId="0" borderId="69" xfId="48" applyNumberFormat="1" applyFont="1" applyFill="1" applyBorder="1" applyAlignment="1">
      <alignment horizontal="center" vertical="center"/>
    </xf>
    <xf numFmtId="4" fontId="23" fillId="0" borderId="59" xfId="48" applyNumberFormat="1" applyFont="1" applyFill="1" applyBorder="1" applyAlignment="1">
      <alignment horizontal="center" vertical="center"/>
    </xf>
    <xf numFmtId="4" fontId="23" fillId="0" borderId="70" xfId="48" applyNumberFormat="1" applyFont="1" applyFill="1" applyBorder="1" applyAlignment="1">
      <alignment horizontal="center" vertical="center"/>
    </xf>
    <xf numFmtId="4" fontId="23" fillId="0" borderId="12" xfId="48" applyNumberFormat="1" applyFont="1" applyFill="1" applyBorder="1" applyAlignment="1">
      <alignment horizontal="right" vertical="center"/>
    </xf>
    <xf numFmtId="4" fontId="24" fillId="0" borderId="86" xfId="48" applyNumberFormat="1" applyFont="1" applyFill="1" applyBorder="1" applyAlignment="1">
      <alignment horizontal="left" vertical="center"/>
    </xf>
    <xf numFmtId="4" fontId="24" fillId="0" borderId="67" xfId="48" applyNumberFormat="1" applyFont="1" applyFill="1" applyBorder="1" applyAlignment="1">
      <alignment horizontal="center"/>
    </xf>
    <xf numFmtId="4" fontId="23" fillId="24" borderId="39" xfId="48" applyNumberFormat="1" applyFont="1" applyFill="1" applyBorder="1" applyAlignment="1">
      <alignment horizontal="left" vertical="center" wrapText="1"/>
    </xf>
    <xf numFmtId="4" fontId="24" fillId="0" borderId="66" xfId="48" applyNumberFormat="1" applyFont="1" applyFill="1" applyBorder="1" applyAlignment="1">
      <alignment horizontal="center" vertical="center"/>
    </xf>
    <xf numFmtId="4" fontId="24" fillId="0" borderId="68" xfId="48" applyNumberFormat="1" applyFont="1" applyFill="1" applyBorder="1" applyAlignment="1">
      <alignment horizontal="center" vertical="center"/>
    </xf>
    <xf numFmtId="4" fontId="23" fillId="0" borderId="39" xfId="48" applyNumberFormat="1" applyFont="1" applyFill="1" applyBorder="1" applyAlignment="1">
      <alignment horizontal="right" vertical="center"/>
    </xf>
    <xf numFmtId="4" fontId="23" fillId="0" borderId="22" xfId="48" applyNumberFormat="1" applyFont="1" applyFill="1" applyBorder="1" applyAlignment="1">
      <alignment horizontal="right" vertical="center"/>
    </xf>
    <xf numFmtId="3" fontId="23" fillId="0" borderId="39" xfId="0" applyNumberFormat="1" applyFont="1" applyFill="1" applyBorder="1" applyAlignment="1">
      <alignment horizontal="right" vertical="center"/>
    </xf>
    <xf numFmtId="3" fontId="23" fillId="0" borderId="12" xfId="0" applyNumberFormat="1" applyFont="1" applyFill="1" applyBorder="1" applyAlignment="1">
      <alignment horizontal="right" vertical="center"/>
    </xf>
    <xf numFmtId="0" fontId="19" fillId="0" borderId="37" xfId="0" applyNumberFormat="1" applyFont="1" applyFill="1" applyBorder="1" applyAlignment="1">
      <alignment horizontal="center" vertical="center"/>
    </xf>
    <xf numFmtId="0" fontId="19" fillId="0" borderId="25" xfId="0" applyNumberFormat="1" applyFont="1" applyFill="1" applyBorder="1" applyAlignment="1">
      <alignment horizontal="center" vertical="center"/>
    </xf>
    <xf numFmtId="0" fontId="19" fillId="0" borderId="122" xfId="0" applyNumberFormat="1" applyFont="1" applyFill="1" applyBorder="1" applyAlignment="1">
      <alignment horizontal="center" vertical="center"/>
    </xf>
    <xf numFmtId="3" fontId="23" fillId="0" borderId="84" xfId="0" applyNumberFormat="1" applyFont="1" applyFill="1" applyBorder="1" applyAlignment="1">
      <alignment horizontal="right" vertical="center"/>
    </xf>
    <xf numFmtId="3" fontId="23" fillId="0" borderId="27" xfId="0" applyNumberFormat="1" applyFont="1" applyFill="1" applyBorder="1" applyAlignment="1">
      <alignment horizontal="right" vertical="center"/>
    </xf>
    <xf numFmtId="2" fontId="23" fillId="0" borderId="39" xfId="0" applyNumberFormat="1" applyFont="1" applyFill="1" applyBorder="1" applyAlignment="1">
      <alignment horizontal="left" vertical="center"/>
    </xf>
    <xf numFmtId="2" fontId="23" fillId="0" borderId="20" xfId="0" applyNumberFormat="1" applyFont="1" applyFill="1" applyBorder="1" applyAlignment="1">
      <alignment horizontal="left" vertical="center"/>
    </xf>
    <xf numFmtId="2" fontId="23" fillId="0" borderId="12" xfId="0" applyNumberFormat="1" applyFont="1" applyFill="1" applyBorder="1" applyAlignment="1">
      <alignment horizontal="left" vertical="center"/>
    </xf>
    <xf numFmtId="2" fontId="23" fillId="0" borderId="125" xfId="0" applyNumberFormat="1" applyFont="1" applyFill="1" applyBorder="1" applyAlignment="1">
      <alignment horizontal="left" vertical="center"/>
    </xf>
    <xf numFmtId="2" fontId="23" fillId="0" borderId="25" xfId="0" applyNumberFormat="1" applyFont="1" applyFill="1" applyBorder="1" applyAlignment="1">
      <alignment horizontal="left" vertical="center"/>
    </xf>
    <xf numFmtId="2" fontId="23" fillId="0" borderId="26" xfId="0" applyNumberFormat="1" applyFont="1" applyFill="1" applyBorder="1" applyAlignment="1">
      <alignment horizontal="left" vertical="center"/>
    </xf>
    <xf numFmtId="2" fontId="24" fillId="0" borderId="126" xfId="0" applyNumberFormat="1" applyFont="1" applyFill="1" applyBorder="1" applyAlignment="1">
      <alignment horizontal="left" vertical="center"/>
    </xf>
    <xf numFmtId="2" fontId="24" fillId="0" borderId="48" xfId="0" applyNumberFormat="1" applyFont="1" applyFill="1" applyBorder="1" applyAlignment="1">
      <alignment horizontal="left" vertical="center"/>
    </xf>
    <xf numFmtId="2" fontId="24" fillId="0" borderId="127" xfId="0" applyNumberFormat="1" applyFont="1" applyFill="1" applyBorder="1" applyAlignment="1">
      <alignment horizontal="left" vertical="center"/>
    </xf>
    <xf numFmtId="4" fontId="24" fillId="0" borderId="77" xfId="48" applyNumberFormat="1" applyFont="1" applyFill="1" applyBorder="1" applyAlignment="1">
      <alignment horizontal="left" vertical="center"/>
    </xf>
    <xf numFmtId="4" fontId="24" fillId="0" borderId="78" xfId="48" applyNumberFormat="1" applyFont="1" applyFill="1" applyBorder="1" applyAlignment="1">
      <alignment horizontal="left" vertical="center"/>
    </xf>
    <xf numFmtId="4" fontId="24" fillId="30" borderId="93" xfId="0" applyNumberFormat="1" applyFont="1" applyFill="1" applyBorder="1" applyAlignment="1">
      <alignment horizontal="center" vertical="center" wrapText="1"/>
    </xf>
    <xf numFmtId="4" fontId="23" fillId="0" borderId="76" xfId="48" applyNumberFormat="1" applyFont="1" applyFill="1" applyBorder="1" applyAlignment="1">
      <alignment horizontal="center" vertical="center"/>
    </xf>
    <xf numFmtId="4" fontId="23" fillId="24" borderId="14" xfId="48" applyNumberFormat="1" applyFont="1" applyFill="1" applyBorder="1" applyAlignment="1">
      <alignment horizontal="right" vertical="center"/>
    </xf>
    <xf numFmtId="3" fontId="19" fillId="4" borderId="94" xfId="0" applyNumberFormat="1" applyFont="1" applyFill="1" applyBorder="1" applyAlignment="1">
      <alignment horizontal="center" vertical="center" wrapText="1"/>
    </xf>
    <xf numFmtId="3" fontId="19" fillId="4" borderId="128" xfId="0" applyNumberFormat="1" applyFont="1" applyFill="1" applyBorder="1" applyAlignment="1">
      <alignment horizontal="center" vertical="center" wrapText="1"/>
    </xf>
    <xf numFmtId="4" fontId="24" fillId="24" borderId="73" xfId="48" applyNumberFormat="1" applyFont="1" applyFill="1" applyBorder="1" applyAlignment="1">
      <alignment horizontal="left" vertical="center"/>
    </xf>
    <xf numFmtId="4" fontId="24" fillId="4" borderId="105" xfId="0" applyNumberFormat="1" applyFont="1" applyFill="1" applyBorder="1" applyAlignment="1">
      <alignment horizontal="center" vertical="center" wrapText="1"/>
    </xf>
    <xf numFmtId="4" fontId="24" fillId="4" borderId="106" xfId="0" applyNumberFormat="1" applyFont="1" applyFill="1" applyBorder="1" applyAlignment="1">
      <alignment horizontal="center" vertical="center" wrapText="1"/>
    </xf>
    <xf numFmtId="4" fontId="24" fillId="4" borderId="107" xfId="0" applyNumberFormat="1" applyFont="1" applyFill="1" applyBorder="1" applyAlignment="1">
      <alignment horizontal="center" vertical="center" wrapText="1"/>
    </xf>
    <xf numFmtId="4" fontId="23" fillId="24" borderId="11" xfId="48" applyNumberFormat="1" applyFont="1" applyFill="1" applyBorder="1" applyAlignment="1">
      <alignment horizontal="justify" vertical="center" wrapText="1"/>
    </xf>
    <xf numFmtId="4" fontId="23" fillId="24" borderId="25" xfId="48" applyNumberFormat="1" applyFont="1" applyFill="1" applyBorder="1" applyAlignment="1">
      <alignment horizontal="justify" vertical="center" wrapText="1"/>
    </xf>
    <xf numFmtId="4" fontId="23" fillId="24" borderId="26" xfId="48" applyNumberFormat="1" applyFont="1" applyFill="1" applyBorder="1" applyAlignment="1">
      <alignment horizontal="justify" vertical="center" wrapText="1"/>
    </xf>
    <xf numFmtId="4" fontId="23" fillId="0" borderId="14" xfId="48" applyNumberFormat="1" applyFont="1" applyFill="1" applyBorder="1" applyAlignment="1">
      <alignment horizontal="left" vertical="center" wrapText="1"/>
    </xf>
    <xf numFmtId="4" fontId="23" fillId="0" borderId="14" xfId="48" applyNumberFormat="1" applyFont="1" applyFill="1" applyBorder="1" applyAlignment="1">
      <alignment horizontal="left" vertical="center"/>
    </xf>
    <xf numFmtId="4" fontId="23" fillId="0" borderId="11" xfId="48" applyNumberFormat="1" applyFont="1" applyFill="1" applyBorder="1" applyAlignment="1">
      <alignment horizontal="justify" vertical="center" wrapText="1"/>
    </xf>
    <xf numFmtId="4" fontId="23" fillId="0" borderId="25" xfId="48" applyNumberFormat="1" applyFont="1" applyFill="1" applyBorder="1" applyAlignment="1">
      <alignment horizontal="justify" vertical="center" wrapText="1"/>
    </xf>
    <xf numFmtId="4" fontId="23" fillId="0" borderId="26" xfId="48" applyNumberFormat="1" applyFont="1" applyFill="1" applyBorder="1" applyAlignment="1">
      <alignment horizontal="justify" vertical="center" wrapText="1"/>
    </xf>
    <xf numFmtId="4" fontId="23" fillId="0" borderId="20" xfId="48" applyNumberFormat="1" applyFont="1" applyFill="1" applyBorder="1" applyAlignment="1">
      <alignment horizontal="right" vertical="center"/>
    </xf>
    <xf numFmtId="4" fontId="24" fillId="24" borderId="86" xfId="48" applyNumberFormat="1" applyFont="1" applyFill="1" applyBorder="1" applyAlignment="1">
      <alignment horizontal="left" vertical="center"/>
    </xf>
    <xf numFmtId="4" fontId="23" fillId="0" borderId="85" xfId="48" applyNumberFormat="1" applyFont="1" applyFill="1" applyBorder="1" applyAlignment="1">
      <alignment horizontal="right" vertical="center"/>
    </xf>
    <xf numFmtId="4" fontId="23" fillId="0" borderId="16" xfId="48" applyNumberFormat="1" applyFont="1" applyFill="1" applyBorder="1" applyAlignment="1">
      <alignment horizontal="center" vertical="center"/>
    </xf>
    <xf numFmtId="4" fontId="23" fillId="0" borderId="0" xfId="48" applyNumberFormat="1" applyFont="1" applyFill="1" applyBorder="1" applyAlignment="1">
      <alignment horizontal="center" vertical="center"/>
    </xf>
    <xf numFmtId="4" fontId="23" fillId="0" borderId="52" xfId="48" applyNumberFormat="1" applyFont="1" applyFill="1" applyBorder="1" applyAlignment="1">
      <alignment horizontal="center" vertical="center"/>
    </xf>
    <xf numFmtId="4" fontId="23" fillId="24" borderId="37" xfId="48" applyNumberFormat="1" applyFont="1" applyFill="1" applyBorder="1" applyAlignment="1">
      <alignment horizontal="justify" vertical="center" wrapText="1"/>
    </xf>
    <xf numFmtId="4" fontId="23" fillId="0" borderId="83" xfId="48" applyNumberFormat="1" applyFont="1" applyFill="1" applyBorder="1" applyAlignment="1">
      <alignment horizontal="right" vertical="center"/>
    </xf>
    <xf numFmtId="4" fontId="23" fillId="0" borderId="50" xfId="48" applyNumberFormat="1" applyFont="1" applyFill="1" applyBorder="1" applyAlignment="1">
      <alignment horizontal="right" vertical="center"/>
    </xf>
    <xf numFmtId="4" fontId="24" fillId="0" borderId="42" xfId="48" applyNumberFormat="1" applyFont="1" applyFill="1" applyBorder="1" applyAlignment="1">
      <alignment horizontal="center" vertical="center"/>
    </xf>
    <xf numFmtId="4" fontId="24" fillId="0" borderId="23" xfId="48" applyNumberFormat="1" applyFont="1" applyFill="1" applyBorder="1" applyAlignment="1">
      <alignment horizontal="center" vertical="center"/>
    </xf>
    <xf numFmtId="4" fontId="24" fillId="0" borderId="41" xfId="48" applyNumberFormat="1" applyFont="1" applyFill="1" applyBorder="1" applyAlignment="1">
      <alignment horizontal="center" vertical="center"/>
    </xf>
    <xf numFmtId="4" fontId="23" fillId="0" borderId="84" xfId="48" applyNumberFormat="1" applyFont="1" applyFill="1" applyBorder="1" applyAlignment="1">
      <alignment horizontal="right" vertical="center"/>
    </xf>
    <xf numFmtId="4" fontId="23" fillId="0" borderId="42" xfId="48" applyNumberFormat="1" applyFont="1" applyFill="1" applyBorder="1" applyAlignment="1">
      <alignment horizontal="right" vertical="center"/>
    </xf>
    <xf numFmtId="4" fontId="23" fillId="0" borderId="23" xfId="48" applyNumberFormat="1" applyFont="1" applyFill="1" applyBorder="1" applyAlignment="1">
      <alignment horizontal="right" vertical="center"/>
    </xf>
    <xf numFmtId="4" fontId="24" fillId="4" borderId="81" xfId="0" applyNumberFormat="1" applyFont="1" applyFill="1" applyBorder="1" applyAlignment="1">
      <alignment horizontal="center" vertical="center" wrapText="1"/>
    </xf>
    <xf numFmtId="4" fontId="24" fillId="4" borderId="82" xfId="0" applyNumberFormat="1" applyFont="1" applyFill="1" applyBorder="1" applyAlignment="1">
      <alignment horizontal="center" vertical="center" wrapText="1"/>
    </xf>
    <xf numFmtId="4" fontId="23" fillId="24" borderId="39" xfId="48" applyNumberFormat="1" applyFont="1" applyFill="1" applyBorder="1" applyAlignment="1">
      <alignment horizontal="right" vertical="center"/>
    </xf>
    <xf numFmtId="4" fontId="23" fillId="24" borderId="76" xfId="48" applyNumberFormat="1" applyFont="1" applyFill="1" applyBorder="1" applyAlignment="1">
      <alignment horizontal="center" vertical="center"/>
    </xf>
    <xf numFmtId="4" fontId="24" fillId="24" borderId="77" xfId="48" applyNumberFormat="1" applyFont="1" applyFill="1" applyBorder="1" applyAlignment="1">
      <alignment horizontal="left" vertical="center"/>
    </xf>
    <xf numFmtId="4" fontId="24" fillId="24" borderId="78" xfId="48" applyNumberFormat="1" applyFont="1" applyFill="1" applyBorder="1" applyAlignment="1">
      <alignment horizontal="left" vertical="center"/>
    </xf>
    <xf numFmtId="4" fontId="23" fillId="24" borderId="11" xfId="48" applyNumberFormat="1" applyFont="1" applyFill="1" applyBorder="1" applyAlignment="1">
      <alignment horizontal="left" vertical="center" wrapText="1"/>
    </xf>
    <xf numFmtId="4" fontId="23" fillId="24" borderId="25" xfId="48" applyNumberFormat="1" applyFont="1" applyFill="1" applyBorder="1" applyAlignment="1">
      <alignment horizontal="left" vertical="center" wrapText="1"/>
    </xf>
    <xf numFmtId="4" fontId="23" fillId="24" borderId="26" xfId="48" applyNumberFormat="1" applyFont="1" applyFill="1" applyBorder="1" applyAlignment="1">
      <alignment horizontal="left" vertical="center" wrapText="1"/>
    </xf>
    <xf numFmtId="4" fontId="24" fillId="4" borderId="141" xfId="0" applyNumberFormat="1" applyFont="1" applyFill="1" applyBorder="1" applyAlignment="1">
      <alignment horizontal="center" vertical="center" wrapText="1"/>
    </xf>
    <xf numFmtId="4" fontId="24" fillId="4" borderId="128" xfId="0" applyNumberFormat="1" applyFont="1" applyFill="1" applyBorder="1" applyAlignment="1">
      <alignment horizontal="center" vertical="center" wrapText="1"/>
    </xf>
    <xf numFmtId="4" fontId="23" fillId="0" borderId="39" xfId="48" applyNumberFormat="1" applyFont="1" applyFill="1" applyBorder="1" applyAlignment="1">
      <alignment horizontal="left" vertical="center" wrapText="1"/>
    </xf>
    <xf numFmtId="4" fontId="24" fillId="0" borderId="11" xfId="48" applyNumberFormat="1" applyFont="1" applyFill="1" applyBorder="1" applyAlignment="1">
      <alignment horizontal="center"/>
    </xf>
    <xf numFmtId="4" fontId="24" fillId="0" borderId="25" xfId="48" applyNumberFormat="1" applyFont="1" applyFill="1" applyBorder="1" applyAlignment="1">
      <alignment horizontal="center"/>
    </xf>
    <xf numFmtId="4" fontId="24" fillId="0" borderId="75" xfId="48" applyNumberFormat="1" applyFont="1" applyFill="1" applyBorder="1" applyAlignment="1">
      <alignment horizontal="center"/>
    </xf>
    <xf numFmtId="4" fontId="23" fillId="0" borderId="11" xfId="48" applyNumberFormat="1" applyFont="1" applyFill="1" applyBorder="1" applyAlignment="1">
      <alignment horizontal="right" vertical="center"/>
    </xf>
    <xf numFmtId="4" fontId="23" fillId="0" borderId="25" xfId="48" applyNumberFormat="1" applyFont="1" applyFill="1" applyBorder="1" applyAlignment="1">
      <alignment horizontal="right" vertical="center"/>
    </xf>
    <xf numFmtId="4" fontId="23" fillId="0" borderId="26" xfId="48" applyNumberFormat="1" applyFont="1" applyFill="1" applyBorder="1" applyAlignment="1">
      <alignment horizontal="right" vertical="center"/>
    </xf>
    <xf numFmtId="4" fontId="24" fillId="24" borderId="91" xfId="48" applyNumberFormat="1" applyFont="1" applyFill="1" applyBorder="1" applyAlignment="1">
      <alignment horizontal="left" vertical="center"/>
    </xf>
    <xf numFmtId="4" fontId="24" fillId="24" borderId="92" xfId="48" applyNumberFormat="1" applyFont="1" applyFill="1" applyBorder="1" applyAlignment="1">
      <alignment horizontal="left" vertical="center"/>
    </xf>
    <xf numFmtId="4" fontId="24" fillId="24" borderId="79" xfId="48" applyNumberFormat="1" applyFont="1" applyFill="1" applyBorder="1" applyAlignment="1">
      <alignment horizontal="left" vertical="center"/>
    </xf>
    <xf numFmtId="3" fontId="23" fillId="0" borderId="102" xfId="0" applyNumberFormat="1" applyFont="1" applyFill="1" applyBorder="1" applyAlignment="1">
      <alignment horizontal="justify" vertical="center" wrapText="1"/>
    </xf>
    <xf numFmtId="3" fontId="23" fillId="0" borderId="103" xfId="0" applyNumberFormat="1" applyFont="1" applyFill="1" applyBorder="1" applyAlignment="1">
      <alignment horizontal="justify" vertical="center" wrapText="1"/>
    </xf>
    <xf numFmtId="3" fontId="23" fillId="0" borderId="121" xfId="0" applyNumberFormat="1" applyFont="1" applyFill="1" applyBorder="1" applyAlignment="1">
      <alignment horizontal="justify" vertical="center" wrapText="1"/>
    </xf>
    <xf numFmtId="3" fontId="23" fillId="0" borderId="123" xfId="0" applyNumberFormat="1" applyFont="1" applyFill="1" applyBorder="1" applyAlignment="1">
      <alignment horizontal="right" vertical="center"/>
    </xf>
    <xf numFmtId="3" fontId="23" fillId="0" borderId="119" xfId="0" applyNumberFormat="1" applyFont="1" applyFill="1" applyBorder="1" applyAlignment="1">
      <alignment horizontal="right" vertical="center"/>
    </xf>
    <xf numFmtId="4" fontId="24" fillId="31" borderId="95" xfId="0" applyNumberFormat="1" applyFont="1" applyFill="1" applyBorder="1" applyAlignment="1">
      <alignment horizontal="center" vertical="center" wrapText="1"/>
    </xf>
    <xf numFmtId="4" fontId="24" fillId="31" borderId="96" xfId="0" applyNumberFormat="1" applyFont="1" applyFill="1" applyBorder="1" applyAlignment="1">
      <alignment horizontal="center" vertical="center" wrapText="1"/>
    </xf>
    <xf numFmtId="4" fontId="24" fillId="31" borderId="97" xfId="0" applyNumberFormat="1" applyFont="1" applyFill="1" applyBorder="1" applyAlignment="1">
      <alignment horizontal="center" vertical="center" wrapText="1"/>
    </xf>
    <xf numFmtId="4" fontId="23" fillId="0" borderId="98" xfId="48" applyNumberFormat="1" applyFont="1" applyFill="1" applyBorder="1" applyAlignment="1">
      <alignment horizontal="left" vertical="center" wrapText="1"/>
    </xf>
    <xf numFmtId="4" fontId="23" fillId="0" borderId="58" xfId="48" applyNumberFormat="1" applyFont="1" applyFill="1" applyBorder="1" applyAlignment="1">
      <alignment horizontal="left" vertical="center" wrapText="1"/>
    </xf>
    <xf numFmtId="4" fontId="23" fillId="0" borderId="51" xfId="48" applyNumberFormat="1" applyFont="1" applyFill="1" applyBorder="1" applyAlignment="1">
      <alignment horizontal="left" vertical="center" wrapText="1"/>
    </xf>
    <xf numFmtId="4" fontId="24" fillId="0" borderId="76" xfId="48" applyNumberFormat="1" applyFont="1" applyFill="1" applyBorder="1" applyAlignment="1">
      <alignment horizontal="center" vertical="center"/>
    </xf>
    <xf numFmtId="4" fontId="24" fillId="0" borderId="59" xfId="48" applyNumberFormat="1" applyFont="1" applyFill="1" applyBorder="1" applyAlignment="1">
      <alignment horizontal="center" vertical="center"/>
    </xf>
    <xf numFmtId="4" fontId="24" fillId="0" borderId="100" xfId="48" applyNumberFormat="1" applyFont="1" applyFill="1" applyBorder="1" applyAlignment="1">
      <alignment horizontal="center" vertical="center"/>
    </xf>
    <xf numFmtId="4" fontId="23" fillId="0" borderId="98" xfId="48" applyNumberFormat="1" applyFont="1" applyFill="1" applyBorder="1" applyAlignment="1">
      <alignment horizontal="right" vertical="center"/>
    </xf>
    <xf numFmtId="4" fontId="23" fillId="0" borderId="58" xfId="48" applyNumberFormat="1" applyFont="1" applyFill="1" applyBorder="1" applyAlignment="1">
      <alignment horizontal="right" vertical="center"/>
    </xf>
    <xf numFmtId="4" fontId="23" fillId="0" borderId="51" xfId="48" applyNumberFormat="1" applyFont="1" applyFill="1" applyBorder="1" applyAlignment="1">
      <alignment horizontal="right" vertical="center"/>
    </xf>
    <xf numFmtId="4" fontId="24" fillId="24" borderId="91" xfId="48" applyNumberFormat="1" applyFont="1" applyFill="1" applyBorder="1" applyAlignment="1">
      <alignment horizontal="right" vertical="center"/>
    </xf>
    <xf numFmtId="4" fontId="24" fillId="24" borderId="92" xfId="48" applyNumberFormat="1" applyFont="1" applyFill="1" applyBorder="1" applyAlignment="1">
      <alignment horizontal="right" vertical="center"/>
    </xf>
    <xf numFmtId="4" fontId="24" fillId="24" borderId="79" xfId="48" applyNumberFormat="1" applyFont="1" applyFill="1" applyBorder="1" applyAlignment="1">
      <alignment horizontal="right" vertical="center"/>
    </xf>
    <xf numFmtId="4" fontId="23" fillId="24" borderId="29" xfId="48" applyNumberFormat="1" applyFont="1" applyFill="1" applyBorder="1" applyAlignment="1">
      <alignment horizontal="right" vertical="center"/>
    </xf>
    <xf numFmtId="4" fontId="23" fillId="24" borderId="16" xfId="48" applyNumberFormat="1" applyFont="1" applyFill="1" applyBorder="1" applyAlignment="1">
      <alignment horizontal="center" vertical="center"/>
    </xf>
    <xf numFmtId="4" fontId="23" fillId="24" borderId="0" xfId="48" applyNumberFormat="1" applyFont="1" applyFill="1" applyBorder="1" applyAlignment="1">
      <alignment horizontal="center" vertical="center"/>
    </xf>
    <xf numFmtId="4" fontId="23" fillId="24" borderId="52" xfId="48" applyNumberFormat="1" applyFont="1" applyFill="1" applyBorder="1" applyAlignment="1">
      <alignment horizontal="center" vertical="center"/>
    </xf>
    <xf numFmtId="4" fontId="23" fillId="0" borderId="46" xfId="48" applyNumberFormat="1" applyFont="1" applyFill="1" applyBorder="1" applyAlignment="1">
      <alignment horizontal="right" vertical="center"/>
    </xf>
    <xf numFmtId="2" fontId="23" fillId="0" borderId="102" xfId="0" applyNumberFormat="1" applyFont="1" applyFill="1" applyBorder="1" applyAlignment="1">
      <alignment horizontal="right" vertical="center"/>
    </xf>
    <xf numFmtId="2" fontId="23" fillId="0" borderId="103" xfId="0" applyNumberFormat="1" applyFont="1" applyFill="1" applyBorder="1" applyAlignment="1">
      <alignment horizontal="right" vertical="center"/>
    </xf>
    <xf numFmtId="2" fontId="23" fillId="0" borderId="104" xfId="0" applyNumberFormat="1" applyFont="1" applyFill="1" applyBorder="1" applyAlignment="1">
      <alignment horizontal="right" vertical="center"/>
    </xf>
    <xf numFmtId="4" fontId="23" fillId="0" borderId="15" xfId="48" applyNumberFormat="1" applyFont="1" applyFill="1" applyBorder="1" applyAlignment="1">
      <alignment horizontal="right" vertical="center"/>
    </xf>
    <xf numFmtId="4" fontId="24" fillId="24" borderId="108" xfId="48" applyNumberFormat="1" applyFont="1" applyFill="1" applyBorder="1" applyAlignment="1">
      <alignment horizontal="left" vertical="center"/>
    </xf>
    <xf numFmtId="4" fontId="24" fillId="24" borderId="109" xfId="48" applyNumberFormat="1" applyFont="1" applyFill="1" applyBorder="1" applyAlignment="1">
      <alignment horizontal="left" vertical="center"/>
    </xf>
    <xf numFmtId="4" fontId="24" fillId="24" borderId="110" xfId="48" applyNumberFormat="1" applyFont="1" applyFill="1" applyBorder="1" applyAlignment="1">
      <alignment horizontal="left" vertical="center"/>
    </xf>
    <xf numFmtId="4" fontId="23" fillId="24" borderId="12" xfId="48" applyNumberFormat="1" applyFont="1" applyFill="1" applyBorder="1" applyAlignment="1">
      <alignment horizontal="right" vertical="center"/>
    </xf>
    <xf numFmtId="4" fontId="24" fillId="4" borderId="143" xfId="0" applyNumberFormat="1" applyFont="1" applyFill="1" applyBorder="1" applyAlignment="1">
      <alignment horizontal="center" vertical="center" wrapText="1"/>
    </xf>
    <xf numFmtId="4" fontId="24" fillId="4" borderId="144" xfId="0" applyNumberFormat="1" applyFont="1" applyFill="1" applyBorder="1" applyAlignment="1">
      <alignment horizontal="center" vertical="center" wrapText="1"/>
    </xf>
    <xf numFmtId="4" fontId="23" fillId="0" borderId="37" xfId="48" applyNumberFormat="1" applyFont="1" applyFill="1" applyBorder="1" applyAlignment="1">
      <alignment horizontal="justify" vertical="center" wrapText="1"/>
    </xf>
    <xf numFmtId="4" fontId="23" fillId="24" borderId="83" xfId="48" applyNumberFormat="1" applyFont="1" applyFill="1" applyBorder="1" applyAlignment="1">
      <alignment horizontal="right" vertical="center"/>
    </xf>
    <xf numFmtId="4" fontId="23" fillId="24" borderId="50" xfId="48" applyNumberFormat="1" applyFont="1" applyFill="1" applyBorder="1" applyAlignment="1">
      <alignment horizontal="right" vertical="center"/>
    </xf>
    <xf numFmtId="4" fontId="23" fillId="24" borderId="42" xfId="48" applyNumberFormat="1" applyFont="1" applyFill="1" applyBorder="1" applyAlignment="1">
      <alignment horizontal="right" vertical="center"/>
    </xf>
    <xf numFmtId="4" fontId="23" fillId="24" borderId="23" xfId="48" applyNumberFormat="1" applyFont="1" applyFill="1" applyBorder="1" applyAlignment="1">
      <alignment horizontal="right" vertical="center"/>
    </xf>
    <xf numFmtId="4" fontId="23" fillId="24" borderId="84" xfId="48" applyNumberFormat="1" applyFont="1" applyFill="1" applyBorder="1" applyAlignment="1">
      <alignment horizontal="right" vertical="center"/>
    </xf>
    <xf numFmtId="4" fontId="23" fillId="24" borderId="22" xfId="48" applyNumberFormat="1" applyFont="1" applyFill="1" applyBorder="1" applyAlignment="1">
      <alignment horizontal="right" vertical="center"/>
    </xf>
    <xf numFmtId="4" fontId="24" fillId="4" borderId="87" xfId="0" applyNumberFormat="1" applyFont="1" applyFill="1" applyBorder="1" applyAlignment="1">
      <alignment horizontal="center" vertical="center"/>
    </xf>
    <xf numFmtId="4" fontId="24" fillId="4" borderId="88" xfId="0" applyNumberFormat="1" applyFont="1" applyFill="1" applyBorder="1" applyAlignment="1">
      <alignment horizontal="center" vertical="center"/>
    </xf>
    <xf numFmtId="4" fontId="24" fillId="4" borderId="89" xfId="0" applyNumberFormat="1" applyFont="1" applyFill="1" applyBorder="1" applyAlignment="1">
      <alignment horizontal="center" vertical="center"/>
    </xf>
    <xf numFmtId="4" fontId="23" fillId="4" borderId="61" xfId="0" applyNumberFormat="1" applyFont="1" applyFill="1" applyBorder="1" applyAlignment="1">
      <alignment horizontal="center"/>
    </xf>
    <xf numFmtId="4" fontId="23" fillId="4" borderId="59" xfId="0" applyNumberFormat="1" applyFont="1" applyFill="1" applyBorder="1" applyAlignment="1">
      <alignment horizontal="center"/>
    </xf>
    <xf numFmtId="4" fontId="23" fillId="4" borderId="60" xfId="0" applyNumberFormat="1" applyFont="1" applyFill="1" applyBorder="1" applyAlignment="1">
      <alignment horizontal="center"/>
    </xf>
    <xf numFmtId="4" fontId="23" fillId="4" borderId="62" xfId="0" applyNumberFormat="1" applyFont="1" applyFill="1" applyBorder="1" applyAlignment="1">
      <alignment horizontal="center"/>
    </xf>
    <xf numFmtId="4" fontId="23" fillId="4" borderId="0" xfId="0" applyNumberFormat="1" applyFont="1" applyFill="1" applyBorder="1" applyAlignment="1">
      <alignment horizontal="center"/>
    </xf>
    <xf numFmtId="4" fontId="23" fillId="4" borderId="63" xfId="0" applyNumberFormat="1" applyFont="1" applyFill="1" applyBorder="1" applyAlignment="1">
      <alignment horizontal="center"/>
    </xf>
    <xf numFmtId="4" fontId="23" fillId="4" borderId="64" xfId="0" applyNumberFormat="1" applyFont="1" applyFill="1" applyBorder="1" applyAlignment="1">
      <alignment horizontal="center"/>
    </xf>
    <xf numFmtId="4" fontId="23" fillId="4" borderId="90" xfId="0" applyNumberFormat="1" applyFont="1" applyFill="1" applyBorder="1" applyAlignment="1">
      <alignment horizontal="center"/>
    </xf>
    <xf numFmtId="4" fontId="23" fillId="4" borderId="65" xfId="0" applyNumberFormat="1" applyFont="1" applyFill="1" applyBorder="1" applyAlignment="1">
      <alignment horizontal="center"/>
    </xf>
    <xf numFmtId="0" fontId="37" fillId="0" borderId="112" xfId="0" applyFont="1" applyBorder="1" applyAlignment="1"/>
    <xf numFmtId="0" fontId="26" fillId="0" borderId="64" xfId="39" applyFont="1" applyBorder="1" applyAlignment="1">
      <alignment horizontal="center" vertical="center" wrapText="1"/>
    </xf>
    <xf numFmtId="0" fontId="26" fillId="0" borderId="90" xfId="39" applyFont="1" applyBorder="1" applyAlignment="1">
      <alignment horizontal="center" vertical="center" wrapText="1"/>
    </xf>
    <xf numFmtId="0" fontId="26" fillId="0" borderId="65" xfId="39" applyFont="1" applyBorder="1" applyAlignment="1">
      <alignment horizontal="center" vertical="center" wrapText="1"/>
    </xf>
    <xf numFmtId="0" fontId="33" fillId="35" borderId="113" xfId="0" applyFont="1" applyFill="1" applyBorder="1" applyAlignment="1">
      <alignment horizontal="center" vertical="center"/>
    </xf>
    <xf numFmtId="0" fontId="33" fillId="35" borderId="114" xfId="0" applyFont="1" applyFill="1" applyBorder="1" applyAlignment="1">
      <alignment horizontal="center" vertical="center"/>
    </xf>
    <xf numFmtId="0" fontId="33" fillId="36" borderId="12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left" vertical="center"/>
    </xf>
    <xf numFmtId="0" fontId="33" fillId="0" borderId="12" xfId="0" applyFont="1" applyFill="1" applyBorder="1" applyAlignment="1"/>
    <xf numFmtId="0" fontId="33" fillId="0" borderId="113" xfId="0" applyFont="1" applyBorder="1" applyAlignment="1">
      <alignment horizontal="center"/>
    </xf>
    <xf numFmtId="0" fontId="41" fillId="0" borderId="112" xfId="72" applyFont="1" applyBorder="1" applyAlignment="1">
      <alignment horizontal="center"/>
    </xf>
    <xf numFmtId="0" fontId="33" fillId="34" borderId="23" xfId="0" applyFont="1" applyFill="1" applyBorder="1" applyAlignment="1">
      <alignment horizontal="center"/>
    </xf>
    <xf numFmtId="0" fontId="33" fillId="0" borderId="16" xfId="0" applyFont="1" applyBorder="1" applyAlignment="1"/>
    <xf numFmtId="0" fontId="19" fillId="16" borderId="129" xfId="32" applyFont="1" applyFill="1" applyBorder="1" applyAlignment="1">
      <alignment horizontal="center" vertical="center"/>
    </xf>
    <xf numFmtId="0" fontId="19" fillId="16" borderId="130" xfId="32" applyFont="1" applyFill="1" applyBorder="1" applyAlignment="1">
      <alignment horizontal="center" vertical="center"/>
    </xf>
    <xf numFmtId="0" fontId="19" fillId="16" borderId="131" xfId="32" applyFont="1" applyFill="1" applyBorder="1" applyAlignment="1">
      <alignment horizontal="center" vertical="center"/>
    </xf>
    <xf numFmtId="0" fontId="20" fillId="0" borderId="132" xfId="32" applyFont="1" applyBorder="1" applyAlignment="1">
      <alignment horizontal="center" vertical="center" wrapText="1"/>
    </xf>
    <xf numFmtId="0" fontId="20" fillId="0" borderId="133" xfId="32" applyFont="1" applyBorder="1" applyAlignment="1">
      <alignment horizontal="center" vertical="center" wrapText="1"/>
    </xf>
    <xf numFmtId="0" fontId="20" fillId="0" borderId="134" xfId="32" applyFont="1" applyBorder="1" applyAlignment="1">
      <alignment horizontal="center" vertical="center" wrapText="1"/>
    </xf>
    <xf numFmtId="0" fontId="24" fillId="0" borderId="132" xfId="32" applyFont="1" applyBorder="1" applyAlignment="1">
      <alignment horizontal="center"/>
    </xf>
    <xf numFmtId="0" fontId="24" fillId="0" borderId="133" xfId="32" applyFont="1" applyBorder="1" applyAlignment="1">
      <alignment horizontal="center"/>
    </xf>
    <xf numFmtId="0" fontId="24" fillId="0" borderId="134" xfId="32" applyFont="1" applyBorder="1" applyAlignment="1">
      <alignment horizontal="center"/>
    </xf>
  </cellXfs>
  <cellStyles count="73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 2" xfId="36"/>
    <cellStyle name="Neutra 2" xfId="37"/>
    <cellStyle name="Normal" xfId="0" builtinId="0"/>
    <cellStyle name="Normal 2" xfId="38"/>
    <cellStyle name="Normal 2 2" xfId="39"/>
    <cellStyle name="Normal 2 3" xfId="40"/>
    <cellStyle name="Normal 2_Material" xfId="41"/>
    <cellStyle name="Normal 3" xfId="42"/>
    <cellStyle name="Normal 3 2" xfId="43"/>
    <cellStyle name="Normal 3 3" xfId="72"/>
    <cellStyle name="Normal 3_Material" xfId="44"/>
    <cellStyle name="Normal 4" xfId="45"/>
    <cellStyle name="Normal 5" xfId="46"/>
    <cellStyle name="Normal 6" xfId="47"/>
    <cellStyle name="Normal_Estrutura_de_preço_-_CODEVASF_versão8" xfId="48"/>
    <cellStyle name="Nota 2" xfId="49"/>
    <cellStyle name="Porcentagem" xfId="50" builtinId="5"/>
    <cellStyle name="Porcentagem 2" xfId="51"/>
    <cellStyle name="Saída 2" xfId="52"/>
    <cellStyle name="Separador de milhares [0] 2" xfId="54"/>
    <cellStyle name="Separador de milhares [0] 3" xfId="55"/>
    <cellStyle name="Separador de milhares 2" xfId="56"/>
    <cellStyle name="Separador de milhares 2 2" xfId="57"/>
    <cellStyle name="Separador de milhares 3" xfId="58"/>
    <cellStyle name="Separador de milhares 3 2" xfId="59"/>
    <cellStyle name="Separador de milhares 4" xfId="60"/>
    <cellStyle name="Separador de milhares 4 2" xfId="61"/>
    <cellStyle name="Separador de milhares 5" xfId="62"/>
    <cellStyle name="Texto de Aviso 2" xfId="63"/>
    <cellStyle name="Texto Explicativo 2" xfId="64"/>
    <cellStyle name="Título 1 1" xfId="65"/>
    <cellStyle name="Título 1 2" xfId="66"/>
    <cellStyle name="Título 2 2" xfId="67"/>
    <cellStyle name="Título 3 2" xfId="68"/>
    <cellStyle name="Título 4 2" xfId="69"/>
    <cellStyle name="Total 2" xfId="70"/>
    <cellStyle name="Vírgula" xfId="53" builtinId="3"/>
    <cellStyle name="Vírgula 2" xfId="71"/>
  </cellStyles>
  <dxfs count="0"/>
  <tableStyles count="0" defaultTableStyle="TableStyleMedium9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59530</xdr:colOff>
      <xdr:row>1</xdr:row>
      <xdr:rowOff>95248</xdr:rowOff>
    </xdr:from>
    <xdr:to>
      <xdr:col>3</xdr:col>
      <xdr:colOff>161923</xdr:colOff>
      <xdr:row>4</xdr:row>
      <xdr:rowOff>152398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530" y="297654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190496</xdr:colOff>
      <xdr:row>1</xdr:row>
      <xdr:rowOff>95248</xdr:rowOff>
    </xdr:from>
    <xdr:to>
      <xdr:col>7</xdr:col>
      <xdr:colOff>698539</xdr:colOff>
      <xdr:row>4</xdr:row>
      <xdr:rowOff>182489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559715" y="297654"/>
          <a:ext cx="6949324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85725</xdr:rowOff>
    </xdr:from>
    <xdr:to>
      <xdr:col>2</xdr:col>
      <xdr:colOff>881062</xdr:colOff>
      <xdr:row>4</xdr:row>
      <xdr:rowOff>152400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247650"/>
          <a:ext cx="1471612" cy="5334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923925</xdr:colOff>
      <xdr:row>1</xdr:row>
      <xdr:rowOff>114300</xdr:rowOff>
    </xdr:from>
    <xdr:to>
      <xdr:col>5</xdr:col>
      <xdr:colOff>1190625</xdr:colOff>
      <xdr:row>5</xdr:row>
      <xdr:rowOff>11041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857375" y="276225"/>
          <a:ext cx="4800600" cy="56349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</xdr:row>
      <xdr:rowOff>23811</xdr:rowOff>
    </xdr:from>
    <xdr:to>
      <xdr:col>2</xdr:col>
      <xdr:colOff>1638384</xdr:colOff>
      <xdr:row>5</xdr:row>
      <xdr:rowOff>166686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031" y="190499"/>
          <a:ext cx="2233697" cy="8096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2</xdr:col>
      <xdr:colOff>1690690</xdr:colOff>
      <xdr:row>1</xdr:row>
      <xdr:rowOff>119063</xdr:rowOff>
    </xdr:from>
    <xdr:to>
      <xdr:col>11</xdr:col>
      <xdr:colOff>547687</xdr:colOff>
      <xdr:row>5</xdr:row>
      <xdr:rowOff>119063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2917034" y="285751"/>
          <a:ext cx="6429372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3ª GRD/UEP - 3ª Superintendência Regional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3"/>
  <sheetViews>
    <sheetView tabSelected="1" view="pageBreakPreview" zoomScaleNormal="80" zoomScaleSheetLayoutView="100" workbookViewId="0">
      <selection activeCell="G21" sqref="G21:G112"/>
    </sheetView>
  </sheetViews>
  <sheetFormatPr defaultColWidth="11.42578125" defaultRowHeight="15.75" x14ac:dyDescent="0.25"/>
  <cols>
    <col min="1" max="1" width="13" style="275" customWidth="1"/>
    <col min="2" max="2" width="7.42578125" style="1" customWidth="1"/>
    <col min="3" max="3" width="12.140625" style="1" hidden="1" customWidth="1"/>
    <col min="4" max="4" width="61.140625" style="2" customWidth="1"/>
    <col min="5" max="5" width="10.28515625" style="1" customWidth="1"/>
    <col min="6" max="6" width="11.7109375" style="3" customWidth="1"/>
    <col min="7" max="7" width="13.42578125" style="1" customWidth="1"/>
    <col min="8" max="8" width="15.42578125" style="1" customWidth="1"/>
    <col min="9" max="9" width="14.7109375" style="67" customWidth="1"/>
    <col min="10" max="10" width="28.28515625" style="1" customWidth="1"/>
    <col min="11" max="11" width="16.28515625" style="1" customWidth="1"/>
    <col min="12" max="16384" width="11.42578125" style="1"/>
  </cols>
  <sheetData>
    <row r="2" spans="1:11" ht="12" customHeight="1" x14ac:dyDescent="0.25">
      <c r="A2" s="689"/>
      <c r="B2" s="689"/>
      <c r="C2" s="689"/>
      <c r="D2" s="689"/>
      <c r="E2" s="689"/>
      <c r="F2" s="689"/>
      <c r="G2" s="689"/>
      <c r="H2" s="689"/>
    </row>
    <row r="3" spans="1:11" s="4" customFormat="1" ht="12" customHeight="1" x14ac:dyDescent="0.25">
      <c r="A3" s="689"/>
      <c r="B3" s="689"/>
      <c r="C3" s="689"/>
      <c r="D3" s="689"/>
      <c r="E3" s="689"/>
      <c r="F3" s="689"/>
      <c r="G3" s="689"/>
      <c r="H3" s="689"/>
      <c r="I3" s="68"/>
    </row>
    <row r="4" spans="1:11" s="4" customFormat="1" ht="12.75" customHeight="1" x14ac:dyDescent="0.25">
      <c r="A4" s="689"/>
      <c r="B4" s="689"/>
      <c r="C4" s="689"/>
      <c r="D4" s="689"/>
      <c r="E4" s="689"/>
      <c r="F4" s="689"/>
      <c r="G4" s="689"/>
      <c r="H4" s="689"/>
      <c r="I4" s="68"/>
    </row>
    <row r="5" spans="1:11" s="4" customFormat="1" ht="15.75" customHeight="1" x14ac:dyDescent="0.25">
      <c r="A5" s="689"/>
      <c r="B5" s="689"/>
      <c r="C5" s="689"/>
      <c r="D5" s="689"/>
      <c r="E5" s="689"/>
      <c r="F5" s="689"/>
      <c r="G5" s="689"/>
      <c r="H5" s="689"/>
      <c r="I5" s="68"/>
    </row>
    <row r="6" spans="1:11" s="4" customFormat="1" ht="12.75" customHeight="1" x14ac:dyDescent="0.25">
      <c r="A6" s="677" t="s">
        <v>0</v>
      </c>
      <c r="B6" s="677"/>
      <c r="C6" s="677"/>
      <c r="D6" s="690" t="s">
        <v>655</v>
      </c>
      <c r="E6" s="691"/>
      <c r="F6" s="691"/>
      <c r="G6" s="691"/>
      <c r="H6" s="692"/>
    </row>
    <row r="7" spans="1:11" s="4" customFormat="1" ht="12.75" customHeight="1" x14ac:dyDescent="0.25">
      <c r="A7" s="696"/>
      <c r="B7" s="696"/>
      <c r="C7" s="696"/>
      <c r="D7" s="693"/>
      <c r="E7" s="694"/>
      <c r="F7" s="694"/>
      <c r="G7" s="694"/>
      <c r="H7" s="695"/>
      <c r="I7" s="68"/>
    </row>
    <row r="8" spans="1:11" s="4" customFormat="1" ht="18.75" customHeight="1" x14ac:dyDescent="0.25">
      <c r="A8" s="677" t="s">
        <v>139</v>
      </c>
      <c r="B8" s="677"/>
      <c r="C8" s="677"/>
      <c r="D8" s="697" t="s">
        <v>656</v>
      </c>
      <c r="E8" s="697"/>
      <c r="F8" s="697"/>
      <c r="G8" s="697"/>
      <c r="H8" s="697"/>
      <c r="I8" s="68"/>
    </row>
    <row r="9" spans="1:11" s="4" customFormat="1" ht="33.75" customHeight="1" x14ac:dyDescent="0.25">
      <c r="A9" s="677"/>
      <c r="B9" s="677"/>
      <c r="C9" s="677"/>
      <c r="D9" s="697"/>
      <c r="E9" s="697"/>
      <c r="F9" s="697"/>
      <c r="G9" s="697"/>
      <c r="H9" s="697"/>
      <c r="I9" s="68"/>
    </row>
    <row r="10" spans="1:11" s="4" customFormat="1" ht="15.75" customHeight="1" x14ac:dyDescent="0.25">
      <c r="A10" s="671" t="s">
        <v>205</v>
      </c>
      <c r="B10" s="671"/>
      <c r="C10" s="671"/>
      <c r="D10" s="671"/>
      <c r="E10" s="672" t="s">
        <v>142</v>
      </c>
      <c r="F10" s="672"/>
      <c r="G10" s="672" t="s">
        <v>141</v>
      </c>
      <c r="H10" s="672"/>
      <c r="I10" s="68"/>
    </row>
    <row r="11" spans="1:11" s="4" customFormat="1" x14ac:dyDescent="0.25">
      <c r="A11" s="671"/>
      <c r="B11" s="671"/>
      <c r="C11" s="671"/>
      <c r="D11" s="671"/>
      <c r="E11" s="673">
        <v>2</v>
      </c>
      <c r="F11" s="673"/>
      <c r="G11" s="673">
        <v>2</v>
      </c>
      <c r="H11" s="673"/>
      <c r="I11" s="68"/>
    </row>
    <row r="12" spans="1:11" s="4" customFormat="1" ht="15.75" customHeight="1" x14ac:dyDescent="0.25">
      <c r="A12" s="671" t="s">
        <v>206</v>
      </c>
      <c r="B12" s="671"/>
      <c r="C12" s="671"/>
      <c r="D12" s="671"/>
      <c r="E12" s="171" t="s">
        <v>207</v>
      </c>
      <c r="F12" s="171" t="s">
        <v>208</v>
      </c>
      <c r="G12" s="672" t="s">
        <v>207</v>
      </c>
      <c r="H12" s="672"/>
      <c r="I12" s="68"/>
    </row>
    <row r="13" spans="1:11" s="4" customFormat="1" x14ac:dyDescent="0.25">
      <c r="A13" s="671"/>
      <c r="B13" s="671"/>
      <c r="C13" s="671"/>
      <c r="D13" s="671"/>
      <c r="E13" s="212">
        <v>2</v>
      </c>
      <c r="F13" s="212">
        <v>0</v>
      </c>
      <c r="G13" s="673">
        <v>2</v>
      </c>
      <c r="H13" s="673"/>
      <c r="I13" s="68"/>
    </row>
    <row r="14" spans="1:11" s="4" customFormat="1" ht="22.5" customHeight="1" x14ac:dyDescent="0.25">
      <c r="A14" s="680" t="s">
        <v>551</v>
      </c>
      <c r="B14" s="681"/>
      <c r="C14" s="681"/>
      <c r="D14" s="682"/>
      <c r="E14" s="673" t="s">
        <v>203</v>
      </c>
      <c r="F14" s="673"/>
      <c r="G14" s="674">
        <f>H20+H26+H42</f>
        <v>0</v>
      </c>
      <c r="H14" s="674"/>
      <c r="I14" s="68"/>
    </row>
    <row r="15" spans="1:11" s="4" customFormat="1" ht="18.75" customHeight="1" x14ac:dyDescent="0.25">
      <c r="A15" s="683" t="s">
        <v>638</v>
      </c>
      <c r="B15" s="684"/>
      <c r="C15" s="684"/>
      <c r="D15" s="685"/>
      <c r="E15" s="673" t="s">
        <v>204</v>
      </c>
      <c r="F15" s="673"/>
      <c r="G15" s="674">
        <f>H62+H80+H94</f>
        <v>0</v>
      </c>
      <c r="H15" s="674"/>
      <c r="I15" s="68"/>
    </row>
    <row r="16" spans="1:11" s="4" customFormat="1" ht="31.5" customHeight="1" x14ac:dyDescent="0.25">
      <c r="A16" s="686"/>
      <c r="B16" s="687"/>
      <c r="C16" s="687"/>
      <c r="D16" s="688"/>
      <c r="E16" s="673" t="s">
        <v>209</v>
      </c>
      <c r="F16" s="673"/>
      <c r="G16" s="674">
        <f>G14+G15</f>
        <v>0</v>
      </c>
      <c r="H16" s="674"/>
      <c r="J16" s="666">
        <f>(H20-2000+H26+H62+H80)/E11</f>
        <v>-1000</v>
      </c>
      <c r="K16" s="666">
        <f>H42+H94+2000</f>
        <v>2000</v>
      </c>
    </row>
    <row r="17" spans="1:10" s="4" customFormat="1" x14ac:dyDescent="0.25">
      <c r="A17" s="676" t="s">
        <v>1</v>
      </c>
      <c r="B17" s="676"/>
      <c r="C17" s="676"/>
      <c r="D17" s="676"/>
      <c r="E17" s="676"/>
      <c r="F17" s="676"/>
      <c r="G17" s="676"/>
      <c r="H17" s="676"/>
      <c r="I17" s="192"/>
      <c r="J17" s="65"/>
    </row>
    <row r="18" spans="1:10" s="6" customFormat="1" ht="20.25" customHeight="1" x14ac:dyDescent="0.2">
      <c r="A18" s="675" t="s">
        <v>491</v>
      </c>
      <c r="B18" s="679" t="s">
        <v>2</v>
      </c>
      <c r="C18" s="129" t="s">
        <v>3</v>
      </c>
      <c r="D18" s="675" t="s">
        <v>4</v>
      </c>
      <c r="E18" s="675" t="s">
        <v>5</v>
      </c>
      <c r="F18" s="675" t="s">
        <v>6</v>
      </c>
      <c r="G18" s="677" t="s">
        <v>7</v>
      </c>
      <c r="H18" s="677"/>
      <c r="J18" s="5"/>
    </row>
    <row r="19" spans="1:10" s="6" customFormat="1" ht="45.75" customHeight="1" x14ac:dyDescent="0.2">
      <c r="A19" s="675"/>
      <c r="B19" s="679"/>
      <c r="C19" s="129"/>
      <c r="D19" s="675"/>
      <c r="E19" s="675"/>
      <c r="F19" s="675"/>
      <c r="G19" s="230" t="s">
        <v>289</v>
      </c>
      <c r="H19" s="212" t="s">
        <v>255</v>
      </c>
      <c r="J19" s="5"/>
    </row>
    <row r="20" spans="1:10" s="8" customFormat="1" x14ac:dyDescent="0.2">
      <c r="A20" s="91"/>
      <c r="B20" s="169">
        <v>1</v>
      </c>
      <c r="C20" s="170">
        <v>10101</v>
      </c>
      <c r="D20" s="678" t="s">
        <v>8</v>
      </c>
      <c r="E20" s="678"/>
      <c r="F20" s="678"/>
      <c r="G20" s="231"/>
      <c r="H20" s="575">
        <f>SUM(H21:H25)</f>
        <v>0</v>
      </c>
      <c r="I20" s="69"/>
      <c r="J20" s="5"/>
    </row>
    <row r="21" spans="1:10" s="8" customFormat="1" ht="23.25" customHeight="1" x14ac:dyDescent="0.2">
      <c r="A21" s="233" t="s">
        <v>253</v>
      </c>
      <c r="B21" s="84" t="s">
        <v>9</v>
      </c>
      <c r="C21" s="88"/>
      <c r="D21" s="89" t="s">
        <v>10</v>
      </c>
      <c r="E21" s="86" t="s">
        <v>143</v>
      </c>
      <c r="F21" s="569">
        <v>1</v>
      </c>
      <c r="G21" s="569"/>
      <c r="H21" s="572">
        <f>G21*F21</f>
        <v>0</v>
      </c>
      <c r="I21" s="70"/>
      <c r="J21" s="5"/>
    </row>
    <row r="22" spans="1:10" s="8" customFormat="1" ht="23.25" customHeight="1" x14ac:dyDescent="0.2">
      <c r="A22" s="233" t="s">
        <v>253</v>
      </c>
      <c r="B22" s="84" t="s">
        <v>12</v>
      </c>
      <c r="C22" s="88"/>
      <c r="D22" s="89" t="s">
        <v>254</v>
      </c>
      <c r="E22" s="86" t="s">
        <v>143</v>
      </c>
      <c r="F22" s="569">
        <v>1</v>
      </c>
      <c r="G22" s="569"/>
      <c r="H22" s="572">
        <f t="shared" ref="H22:H25" si="0">G22*F22</f>
        <v>0</v>
      </c>
      <c r="I22" s="70"/>
      <c r="J22" s="5"/>
    </row>
    <row r="23" spans="1:10" s="8" customFormat="1" ht="32.25" customHeight="1" x14ac:dyDescent="0.2">
      <c r="A23" s="421" t="s">
        <v>253</v>
      </c>
      <c r="B23" s="84" t="s">
        <v>358</v>
      </c>
      <c r="C23" s="88"/>
      <c r="D23" s="89" t="s">
        <v>217</v>
      </c>
      <c r="E23" s="84" t="s">
        <v>52</v>
      </c>
      <c r="F23" s="569">
        <v>4</v>
      </c>
      <c r="G23" s="569"/>
      <c r="H23" s="572">
        <f t="shared" si="0"/>
        <v>0</v>
      </c>
      <c r="I23" s="69"/>
    </row>
    <row r="24" spans="1:10" s="8" customFormat="1" ht="54" customHeight="1" x14ac:dyDescent="0.2">
      <c r="A24" s="421" t="s">
        <v>253</v>
      </c>
      <c r="B24" s="84" t="s">
        <v>437</v>
      </c>
      <c r="C24" s="88"/>
      <c r="D24" s="450" t="s">
        <v>439</v>
      </c>
      <c r="E24" s="84" t="s">
        <v>13</v>
      </c>
      <c r="F24" s="569">
        <v>3</v>
      </c>
      <c r="G24" s="569"/>
      <c r="H24" s="572">
        <f t="shared" si="0"/>
        <v>0</v>
      </c>
      <c r="I24" s="69"/>
    </row>
    <row r="25" spans="1:10" s="8" customFormat="1" ht="32.25" customHeight="1" x14ac:dyDescent="0.2">
      <c r="A25" s="421" t="s">
        <v>253</v>
      </c>
      <c r="B25" s="84" t="s">
        <v>438</v>
      </c>
      <c r="C25" s="88"/>
      <c r="D25" s="451" t="s">
        <v>440</v>
      </c>
      <c r="E25" s="86" t="s">
        <v>143</v>
      </c>
      <c r="F25" s="569">
        <v>1</v>
      </c>
      <c r="G25" s="569"/>
      <c r="H25" s="572">
        <f t="shared" si="0"/>
        <v>0</v>
      </c>
      <c r="I25" s="69"/>
    </row>
    <row r="26" spans="1:10" s="8" customFormat="1" ht="20.25" customHeight="1" x14ac:dyDescent="0.2">
      <c r="A26" s="91"/>
      <c r="B26" s="91">
        <v>2</v>
      </c>
      <c r="C26" s="92"/>
      <c r="D26" s="229" t="s">
        <v>441</v>
      </c>
      <c r="E26" s="229"/>
      <c r="F26" s="229"/>
      <c r="G26" s="229"/>
      <c r="H26" s="575">
        <f>SUM(H27:H41)</f>
        <v>0</v>
      </c>
      <c r="I26" s="69"/>
      <c r="J26" s="5"/>
    </row>
    <row r="27" spans="1:10" s="9" customFormat="1" ht="33.75" customHeight="1" x14ac:dyDescent="0.2">
      <c r="A27" s="233" t="s">
        <v>253</v>
      </c>
      <c r="B27" s="84" t="s">
        <v>14</v>
      </c>
      <c r="C27" s="93"/>
      <c r="D27" s="94" t="s">
        <v>312</v>
      </c>
      <c r="E27" s="86" t="s">
        <v>143</v>
      </c>
      <c r="F27" s="569">
        <f>E11</f>
        <v>2</v>
      </c>
      <c r="G27" s="569"/>
      <c r="H27" s="576">
        <f t="shared" ref="H27:H61" si="1">G27*F27</f>
        <v>0</v>
      </c>
      <c r="I27" s="71"/>
      <c r="J27" s="5"/>
    </row>
    <row r="28" spans="1:10" s="9" customFormat="1" ht="31.5" x14ac:dyDescent="0.2">
      <c r="A28" s="233" t="s">
        <v>253</v>
      </c>
      <c r="B28" s="84" t="s">
        <v>15</v>
      </c>
      <c r="C28" s="88"/>
      <c r="D28" s="95" t="s">
        <v>311</v>
      </c>
      <c r="E28" s="84" t="s">
        <v>52</v>
      </c>
      <c r="F28" s="569">
        <f>E11*4</f>
        <v>8</v>
      </c>
      <c r="G28" s="569"/>
      <c r="H28" s="576">
        <f t="shared" si="1"/>
        <v>0</v>
      </c>
      <c r="I28" s="71"/>
      <c r="J28" s="5"/>
    </row>
    <row r="29" spans="1:10" s="9" customFormat="1" ht="24" customHeight="1" x14ac:dyDescent="0.2">
      <c r="A29" s="233" t="s">
        <v>253</v>
      </c>
      <c r="B29" s="84" t="s">
        <v>16</v>
      </c>
      <c r="C29" s="93"/>
      <c r="D29" s="97" t="s">
        <v>171</v>
      </c>
      <c r="E29" s="86" t="s">
        <v>143</v>
      </c>
      <c r="F29" s="569">
        <f>E11</f>
        <v>2</v>
      </c>
      <c r="G29" s="569"/>
      <c r="H29" s="576">
        <f t="shared" si="1"/>
        <v>0</v>
      </c>
      <c r="I29" s="71"/>
      <c r="J29" s="5"/>
    </row>
    <row r="30" spans="1:10" s="8" customFormat="1" ht="31.5" x14ac:dyDescent="0.2">
      <c r="A30" s="233" t="s">
        <v>253</v>
      </c>
      <c r="B30" s="84" t="s">
        <v>17</v>
      </c>
      <c r="C30" s="93"/>
      <c r="D30" s="95" t="s">
        <v>18</v>
      </c>
      <c r="E30" s="84" t="s">
        <v>19</v>
      </c>
      <c r="F30" s="569">
        <f>E11*10</f>
        <v>20</v>
      </c>
      <c r="G30" s="569"/>
      <c r="H30" s="576">
        <f t="shared" si="1"/>
        <v>0</v>
      </c>
      <c r="I30" s="69"/>
      <c r="J30" s="5"/>
    </row>
    <row r="31" spans="1:10" s="9" customFormat="1" ht="34.5" customHeight="1" x14ac:dyDescent="0.2">
      <c r="A31" s="233" t="s">
        <v>253</v>
      </c>
      <c r="B31" s="84" t="s">
        <v>20</v>
      </c>
      <c r="C31" s="93"/>
      <c r="D31" s="95" t="s">
        <v>21</v>
      </c>
      <c r="E31" s="84" t="s">
        <v>19</v>
      </c>
      <c r="F31" s="569">
        <f>E11*50</f>
        <v>100</v>
      </c>
      <c r="G31" s="569"/>
      <c r="H31" s="576">
        <f t="shared" si="1"/>
        <v>0</v>
      </c>
      <c r="I31" s="71"/>
      <c r="J31" s="5"/>
    </row>
    <row r="32" spans="1:10" s="9" customFormat="1" ht="31.5" x14ac:dyDescent="0.2">
      <c r="A32" s="233" t="s">
        <v>253</v>
      </c>
      <c r="B32" s="84" t="s">
        <v>22</v>
      </c>
      <c r="C32" s="93"/>
      <c r="D32" s="89" t="s">
        <v>220</v>
      </c>
      <c r="E32" s="84" t="s">
        <v>19</v>
      </c>
      <c r="F32" s="569">
        <f>F30</f>
        <v>20</v>
      </c>
      <c r="G32" s="569"/>
      <c r="H32" s="576">
        <f t="shared" si="1"/>
        <v>0</v>
      </c>
      <c r="I32" s="71"/>
      <c r="J32" s="5"/>
    </row>
    <row r="33" spans="1:10" s="9" customFormat="1" ht="31.5" x14ac:dyDescent="0.2">
      <c r="A33" s="325" t="s">
        <v>253</v>
      </c>
      <c r="B33" s="84" t="s">
        <v>190</v>
      </c>
      <c r="C33" s="325"/>
      <c r="D33" s="331" t="s">
        <v>360</v>
      </c>
      <c r="E33" s="84" t="s">
        <v>23</v>
      </c>
      <c r="F33" s="569">
        <f>(E11*10*3.1416*(0.1016*0.1016-0.0762*0.0762))</f>
        <v>0.28000000000000003</v>
      </c>
      <c r="G33" s="569"/>
      <c r="H33" s="576">
        <f t="shared" si="1"/>
        <v>0</v>
      </c>
      <c r="I33" s="71"/>
      <c r="J33" s="5"/>
    </row>
    <row r="34" spans="1:10" s="9" customFormat="1" ht="63" x14ac:dyDescent="0.2">
      <c r="A34" s="233" t="s">
        <v>253</v>
      </c>
      <c r="B34" s="84" t="s">
        <v>191</v>
      </c>
      <c r="C34" s="211"/>
      <c r="D34" s="85" t="s">
        <v>200</v>
      </c>
      <c r="E34" s="86" t="s">
        <v>143</v>
      </c>
      <c r="F34" s="569">
        <f>E11</f>
        <v>2</v>
      </c>
      <c r="G34" s="569"/>
      <c r="H34" s="576">
        <f t="shared" si="1"/>
        <v>0</v>
      </c>
      <c r="I34" s="71"/>
    </row>
    <row r="35" spans="1:10" s="9" customFormat="1" ht="66" customHeight="1" x14ac:dyDescent="0.2">
      <c r="A35" s="233" t="s">
        <v>253</v>
      </c>
      <c r="B35" s="84" t="s">
        <v>24</v>
      </c>
      <c r="C35" s="211"/>
      <c r="D35" s="85" t="s">
        <v>313</v>
      </c>
      <c r="E35" s="86" t="s">
        <v>143</v>
      </c>
      <c r="F35" s="569">
        <f>E11</f>
        <v>2</v>
      </c>
      <c r="G35" s="569"/>
      <c r="H35" s="576">
        <f t="shared" si="1"/>
        <v>0</v>
      </c>
      <c r="I35" s="71"/>
    </row>
    <row r="36" spans="1:10" s="7" customFormat="1" ht="58.5" customHeight="1" x14ac:dyDescent="0.2">
      <c r="A36" s="233" t="s">
        <v>253</v>
      </c>
      <c r="B36" s="84" t="s">
        <v>133</v>
      </c>
      <c r="C36" s="93"/>
      <c r="D36" s="95" t="s">
        <v>149</v>
      </c>
      <c r="E36" s="86" t="s">
        <v>143</v>
      </c>
      <c r="F36" s="569">
        <f>F27</f>
        <v>2</v>
      </c>
      <c r="G36" s="569"/>
      <c r="H36" s="576">
        <f t="shared" si="1"/>
        <v>0</v>
      </c>
      <c r="I36" s="64"/>
      <c r="J36" s="63"/>
    </row>
    <row r="37" spans="1:10" s="9" customFormat="1" ht="51" customHeight="1" x14ac:dyDescent="0.2">
      <c r="A37" s="233" t="s">
        <v>253</v>
      </c>
      <c r="B37" s="84" t="s">
        <v>150</v>
      </c>
      <c r="C37" s="93"/>
      <c r="D37" s="95" t="s">
        <v>314</v>
      </c>
      <c r="E37" s="86" t="s">
        <v>143</v>
      </c>
      <c r="F37" s="569">
        <f>E11</f>
        <v>2</v>
      </c>
      <c r="G37" s="569"/>
      <c r="H37" s="576">
        <f t="shared" si="1"/>
        <v>0</v>
      </c>
      <c r="I37" s="71"/>
    </row>
    <row r="38" spans="1:10" s="9" customFormat="1" ht="31.5" x14ac:dyDescent="0.2">
      <c r="A38" s="233" t="s">
        <v>253</v>
      </c>
      <c r="B38" s="84" t="s">
        <v>151</v>
      </c>
      <c r="C38" s="211"/>
      <c r="D38" s="97" t="s">
        <v>576</v>
      </c>
      <c r="E38" s="86" t="s">
        <v>143</v>
      </c>
      <c r="F38" s="569">
        <f>E11</f>
        <v>2</v>
      </c>
      <c r="G38" s="569"/>
      <c r="H38" s="576">
        <f t="shared" si="1"/>
        <v>0</v>
      </c>
      <c r="I38" s="71"/>
    </row>
    <row r="39" spans="1:10" s="9" customFormat="1" ht="51" customHeight="1" x14ac:dyDescent="0.2">
      <c r="A39" s="233" t="s">
        <v>253</v>
      </c>
      <c r="B39" s="84" t="s">
        <v>152</v>
      </c>
      <c r="C39" s="93"/>
      <c r="D39" s="95" t="s">
        <v>315</v>
      </c>
      <c r="E39" s="86" t="s">
        <v>143</v>
      </c>
      <c r="F39" s="569">
        <f>E11</f>
        <v>2</v>
      </c>
      <c r="G39" s="569"/>
      <c r="H39" s="576">
        <f t="shared" si="1"/>
        <v>0</v>
      </c>
      <c r="I39" s="71"/>
    </row>
    <row r="40" spans="1:10" s="9" customFormat="1" ht="37.5" customHeight="1" x14ac:dyDescent="0.2">
      <c r="A40" s="233" t="s">
        <v>253</v>
      </c>
      <c r="B40" s="84" t="s">
        <v>168</v>
      </c>
      <c r="C40" s="211"/>
      <c r="D40" s="97" t="s">
        <v>199</v>
      </c>
      <c r="E40" s="86" t="s">
        <v>143</v>
      </c>
      <c r="F40" s="569">
        <f>E11</f>
        <v>2</v>
      </c>
      <c r="G40" s="569"/>
      <c r="H40" s="576">
        <f t="shared" si="1"/>
        <v>0</v>
      </c>
      <c r="I40" s="72"/>
    </row>
    <row r="41" spans="1:10" s="7" customFormat="1" ht="98.25" customHeight="1" x14ac:dyDescent="0.2">
      <c r="A41" s="233" t="s">
        <v>253</v>
      </c>
      <c r="B41" s="84" t="s">
        <v>359</v>
      </c>
      <c r="C41" s="211"/>
      <c r="D41" s="85" t="s">
        <v>316</v>
      </c>
      <c r="E41" s="84" t="s">
        <v>23</v>
      </c>
      <c r="F41" s="569">
        <f>E11*0.15</f>
        <v>0.3</v>
      </c>
      <c r="G41" s="569"/>
      <c r="H41" s="576">
        <f t="shared" si="1"/>
        <v>0</v>
      </c>
      <c r="I41" s="64"/>
      <c r="J41" s="63"/>
    </row>
    <row r="42" spans="1:10" s="7" customFormat="1" x14ac:dyDescent="0.2">
      <c r="A42" s="91"/>
      <c r="B42" s="91">
        <v>3</v>
      </c>
      <c r="C42" s="91">
        <v>5</v>
      </c>
      <c r="D42" s="452" t="s">
        <v>442</v>
      </c>
      <c r="E42" s="91"/>
      <c r="F42" s="91"/>
      <c r="G42" s="91"/>
      <c r="H42" s="575">
        <f>SUM(H43:H61)</f>
        <v>0</v>
      </c>
      <c r="I42" s="64"/>
      <c r="J42" s="63"/>
    </row>
    <row r="43" spans="1:10" s="7" customFormat="1" ht="31.5" x14ac:dyDescent="0.2">
      <c r="A43" s="421" t="s">
        <v>253</v>
      </c>
      <c r="B43" s="84" t="s">
        <v>25</v>
      </c>
      <c r="C43" s="84" t="s">
        <v>25</v>
      </c>
      <c r="D43" s="94" t="s">
        <v>312</v>
      </c>
      <c r="E43" s="86" t="s">
        <v>143</v>
      </c>
      <c r="F43" s="569">
        <f>G11</f>
        <v>2</v>
      </c>
      <c r="G43" s="569"/>
      <c r="H43" s="576">
        <f t="shared" si="1"/>
        <v>0</v>
      </c>
      <c r="I43" s="64"/>
      <c r="J43" s="63"/>
    </row>
    <row r="44" spans="1:10" s="7" customFormat="1" ht="31.5" x14ac:dyDescent="0.2">
      <c r="A44" s="421" t="s">
        <v>253</v>
      </c>
      <c r="B44" s="84" t="s">
        <v>26</v>
      </c>
      <c r="C44" s="84" t="s">
        <v>26</v>
      </c>
      <c r="D44" s="89" t="s">
        <v>443</v>
      </c>
      <c r="E44" s="86" t="s">
        <v>52</v>
      </c>
      <c r="F44" s="569">
        <f>G11*300</f>
        <v>600</v>
      </c>
      <c r="G44" s="569"/>
      <c r="H44" s="576">
        <f t="shared" si="1"/>
        <v>0</v>
      </c>
      <c r="I44" s="64"/>
      <c r="J44" s="63"/>
    </row>
    <row r="45" spans="1:10" s="7" customFormat="1" x14ac:dyDescent="0.2">
      <c r="A45" s="421" t="s">
        <v>253</v>
      </c>
      <c r="B45" s="84" t="s">
        <v>27</v>
      </c>
      <c r="C45" s="84" t="s">
        <v>27</v>
      </c>
      <c r="D45" s="97" t="s">
        <v>171</v>
      </c>
      <c r="E45" s="86" t="s">
        <v>143</v>
      </c>
      <c r="F45" s="569">
        <f>G11</f>
        <v>2</v>
      </c>
      <c r="G45" s="569"/>
      <c r="H45" s="576">
        <f t="shared" si="1"/>
        <v>0</v>
      </c>
      <c r="I45" s="64"/>
      <c r="J45" s="63"/>
    </row>
    <row r="46" spans="1:10" s="7" customFormat="1" x14ac:dyDescent="0.2">
      <c r="A46" s="421" t="s">
        <v>253</v>
      </c>
      <c r="B46" s="84" t="s">
        <v>28</v>
      </c>
      <c r="C46" s="84" t="s">
        <v>28</v>
      </c>
      <c r="D46" s="97" t="s">
        <v>444</v>
      </c>
      <c r="E46" s="84" t="s">
        <v>19</v>
      </c>
      <c r="F46" s="569">
        <f>G11*20</f>
        <v>40</v>
      </c>
      <c r="G46" s="569"/>
      <c r="H46" s="576">
        <f t="shared" si="1"/>
        <v>0</v>
      </c>
      <c r="I46" s="64"/>
      <c r="J46" s="63"/>
    </row>
    <row r="47" spans="1:10" s="7" customFormat="1" ht="30" customHeight="1" x14ac:dyDescent="0.2">
      <c r="A47" s="421" t="s">
        <v>253</v>
      </c>
      <c r="B47" s="84" t="s">
        <v>29</v>
      </c>
      <c r="C47" s="84" t="s">
        <v>29</v>
      </c>
      <c r="D47" s="97" t="s">
        <v>445</v>
      </c>
      <c r="E47" s="84" t="s">
        <v>19</v>
      </c>
      <c r="F47" s="569">
        <f>G11*160</f>
        <v>320</v>
      </c>
      <c r="G47" s="569"/>
      <c r="H47" s="576">
        <f t="shared" si="1"/>
        <v>0</v>
      </c>
      <c r="I47" s="64"/>
      <c r="J47" s="63"/>
    </row>
    <row r="48" spans="1:10" s="7" customFormat="1" ht="53.25" customHeight="1" x14ac:dyDescent="0.2">
      <c r="A48" s="421" t="s">
        <v>253</v>
      </c>
      <c r="B48" s="84" t="s">
        <v>179</v>
      </c>
      <c r="C48" s="84" t="s">
        <v>179</v>
      </c>
      <c r="D48" s="97" t="s">
        <v>149</v>
      </c>
      <c r="E48" s="86" t="s">
        <v>143</v>
      </c>
      <c r="F48" s="569">
        <f>G11</f>
        <v>2</v>
      </c>
      <c r="G48" s="569"/>
      <c r="H48" s="576">
        <f t="shared" si="1"/>
        <v>0</v>
      </c>
      <c r="I48" s="64"/>
      <c r="J48" s="63"/>
    </row>
    <row r="49" spans="1:11" s="7" customFormat="1" ht="51.75" customHeight="1" x14ac:dyDescent="0.2">
      <c r="A49" s="421" t="s">
        <v>253</v>
      </c>
      <c r="B49" s="84" t="s">
        <v>180</v>
      </c>
      <c r="C49" s="84" t="s">
        <v>180</v>
      </c>
      <c r="D49" s="85" t="s">
        <v>571</v>
      </c>
      <c r="E49" s="86" t="s">
        <v>143</v>
      </c>
      <c r="F49" s="569">
        <f>G11</f>
        <v>2</v>
      </c>
      <c r="G49" s="570"/>
      <c r="H49" s="576">
        <f t="shared" si="1"/>
        <v>0</v>
      </c>
      <c r="I49" s="64"/>
      <c r="J49" s="63"/>
    </row>
    <row r="50" spans="1:11" s="7" customFormat="1" ht="47.25" x14ac:dyDescent="0.2">
      <c r="A50" s="421" t="s">
        <v>253</v>
      </c>
      <c r="B50" s="84" t="s">
        <v>181</v>
      </c>
      <c r="C50" s="84" t="s">
        <v>181</v>
      </c>
      <c r="D50" s="97" t="s">
        <v>446</v>
      </c>
      <c r="E50" s="84" t="s">
        <v>19</v>
      </c>
      <c r="F50" s="569">
        <f>G11*150</f>
        <v>300</v>
      </c>
      <c r="G50" s="569"/>
      <c r="H50" s="576">
        <f t="shared" si="1"/>
        <v>0</v>
      </c>
      <c r="I50" s="64"/>
      <c r="J50" s="63"/>
    </row>
    <row r="51" spans="1:11" s="7" customFormat="1" ht="47.25" x14ac:dyDescent="0.2">
      <c r="A51" s="421" t="s">
        <v>253</v>
      </c>
      <c r="B51" s="84" t="s">
        <v>182</v>
      </c>
      <c r="C51" s="84" t="s">
        <v>183</v>
      </c>
      <c r="D51" s="97" t="s">
        <v>447</v>
      </c>
      <c r="E51" s="84" t="s">
        <v>23</v>
      </c>
      <c r="F51" s="569">
        <f>F50*3.1416*(0.1556*0.1556-0.0762*0.0762)</f>
        <v>17.350000000000001</v>
      </c>
      <c r="G51" s="569"/>
      <c r="H51" s="576">
        <f t="shared" si="1"/>
        <v>0</v>
      </c>
      <c r="I51" s="664"/>
      <c r="J51" s="63"/>
    </row>
    <row r="52" spans="1:11" s="7" customFormat="1" ht="63" x14ac:dyDescent="0.2">
      <c r="A52" s="421" t="s">
        <v>253</v>
      </c>
      <c r="B52" s="84" t="s">
        <v>183</v>
      </c>
      <c r="C52" s="84" t="s">
        <v>184</v>
      </c>
      <c r="D52" s="85" t="s">
        <v>448</v>
      </c>
      <c r="E52" s="84" t="s">
        <v>19</v>
      </c>
      <c r="F52" s="569">
        <f>G11*30</f>
        <v>60</v>
      </c>
      <c r="G52" s="570"/>
      <c r="H52" s="576">
        <f t="shared" si="1"/>
        <v>0</v>
      </c>
      <c r="I52" s="64"/>
      <c r="J52" s="63"/>
    </row>
    <row r="53" spans="1:11" s="7" customFormat="1" ht="63" x14ac:dyDescent="0.2">
      <c r="A53" s="421" t="s">
        <v>253</v>
      </c>
      <c r="B53" s="84" t="s">
        <v>184</v>
      </c>
      <c r="C53" s="84" t="s">
        <v>185</v>
      </c>
      <c r="D53" s="97" t="s">
        <v>449</v>
      </c>
      <c r="E53" s="84" t="s">
        <v>23</v>
      </c>
      <c r="F53" s="569">
        <f>F52*(3.1416*(0.1556*0.1556-0.0762*0.0762))</f>
        <v>3.47</v>
      </c>
      <c r="G53" s="570"/>
      <c r="H53" s="576">
        <f t="shared" si="1"/>
        <v>0</v>
      </c>
      <c r="I53" s="64"/>
      <c r="J53" s="63"/>
    </row>
    <row r="54" spans="1:11" s="7" customFormat="1" ht="63" x14ac:dyDescent="0.2">
      <c r="A54" s="421" t="s">
        <v>253</v>
      </c>
      <c r="B54" s="84" t="s">
        <v>185</v>
      </c>
      <c r="C54" s="84" t="s">
        <v>186</v>
      </c>
      <c r="D54" s="85" t="s">
        <v>200</v>
      </c>
      <c r="E54" s="86" t="s">
        <v>143</v>
      </c>
      <c r="F54" s="569">
        <f>G11</f>
        <v>2</v>
      </c>
      <c r="G54" s="569"/>
      <c r="H54" s="576">
        <f t="shared" si="1"/>
        <v>0</v>
      </c>
      <c r="I54" s="64"/>
      <c r="J54" s="63"/>
    </row>
    <row r="55" spans="1:11" s="7" customFormat="1" ht="63" x14ac:dyDescent="0.2">
      <c r="A55" s="421" t="s">
        <v>253</v>
      </c>
      <c r="B55" s="84" t="s">
        <v>186</v>
      </c>
      <c r="C55" s="84" t="s">
        <v>187</v>
      </c>
      <c r="D55" s="85" t="s">
        <v>313</v>
      </c>
      <c r="E55" s="86" t="s">
        <v>143</v>
      </c>
      <c r="F55" s="569">
        <f>G11</f>
        <v>2</v>
      </c>
      <c r="G55" s="569"/>
      <c r="H55" s="576">
        <f t="shared" si="1"/>
        <v>0</v>
      </c>
      <c r="I55" s="64"/>
      <c r="J55" s="63"/>
    </row>
    <row r="56" spans="1:11" s="7" customFormat="1" ht="47.25" x14ac:dyDescent="0.2">
      <c r="A56" s="421" t="s">
        <v>253</v>
      </c>
      <c r="B56" s="84" t="s">
        <v>187</v>
      </c>
      <c r="C56" s="84" t="s">
        <v>188</v>
      </c>
      <c r="D56" s="97" t="s">
        <v>450</v>
      </c>
      <c r="E56" s="86" t="s">
        <v>143</v>
      </c>
      <c r="F56" s="569">
        <f>G11</f>
        <v>2</v>
      </c>
      <c r="G56" s="570"/>
      <c r="H56" s="576">
        <f t="shared" si="1"/>
        <v>0</v>
      </c>
      <c r="I56" s="64"/>
      <c r="J56" s="63"/>
    </row>
    <row r="57" spans="1:11" s="7" customFormat="1" ht="31.5" x14ac:dyDescent="0.2">
      <c r="A57" s="421" t="s">
        <v>253</v>
      </c>
      <c r="B57" s="84" t="s">
        <v>188</v>
      </c>
      <c r="C57" s="84" t="s">
        <v>189</v>
      </c>
      <c r="D57" s="97" t="s">
        <v>451</v>
      </c>
      <c r="E57" s="86" t="s">
        <v>143</v>
      </c>
      <c r="F57" s="569">
        <f>G11</f>
        <v>2</v>
      </c>
      <c r="G57" s="569"/>
      <c r="H57" s="576">
        <f t="shared" si="1"/>
        <v>0</v>
      </c>
      <c r="I57" s="64"/>
      <c r="J57" s="63"/>
    </row>
    <row r="58" spans="1:11" s="7" customFormat="1" ht="50.25" customHeight="1" x14ac:dyDescent="0.2">
      <c r="A58" s="421" t="s">
        <v>253</v>
      </c>
      <c r="B58" s="84" t="s">
        <v>189</v>
      </c>
      <c r="C58" s="84" t="s">
        <v>290</v>
      </c>
      <c r="D58" s="95" t="s">
        <v>314</v>
      </c>
      <c r="E58" s="86" t="s">
        <v>143</v>
      </c>
      <c r="F58" s="569">
        <f>G11</f>
        <v>2</v>
      </c>
      <c r="G58" s="569"/>
      <c r="H58" s="576">
        <f t="shared" si="1"/>
        <v>0</v>
      </c>
      <c r="I58" s="64"/>
      <c r="J58" s="63"/>
    </row>
    <row r="59" spans="1:11" s="7" customFormat="1" ht="31.5" x14ac:dyDescent="0.2">
      <c r="A59" s="421" t="s">
        <v>253</v>
      </c>
      <c r="B59" s="84" t="s">
        <v>290</v>
      </c>
      <c r="C59" s="84" t="s">
        <v>452</v>
      </c>
      <c r="D59" s="97" t="s">
        <v>201</v>
      </c>
      <c r="E59" s="86" t="s">
        <v>143</v>
      </c>
      <c r="F59" s="569">
        <f>G11</f>
        <v>2</v>
      </c>
      <c r="G59" s="569"/>
      <c r="H59" s="576">
        <f t="shared" si="1"/>
        <v>0</v>
      </c>
      <c r="I59" s="64"/>
      <c r="J59" s="63"/>
    </row>
    <row r="60" spans="1:11" s="7" customFormat="1" ht="34.5" customHeight="1" x14ac:dyDescent="0.2">
      <c r="A60" s="421" t="s">
        <v>253</v>
      </c>
      <c r="B60" s="84" t="s">
        <v>452</v>
      </c>
      <c r="C60" s="84" t="s">
        <v>453</v>
      </c>
      <c r="D60" s="97" t="s">
        <v>199</v>
      </c>
      <c r="E60" s="86" t="s">
        <v>143</v>
      </c>
      <c r="F60" s="569">
        <f>G11</f>
        <v>2</v>
      </c>
      <c r="G60" s="569"/>
      <c r="H60" s="576">
        <f t="shared" si="1"/>
        <v>0</v>
      </c>
      <c r="I60" s="64"/>
      <c r="J60" s="63"/>
    </row>
    <row r="61" spans="1:11" s="7" customFormat="1" ht="87" customHeight="1" x14ac:dyDescent="0.2">
      <c r="A61" s="421" t="s">
        <v>253</v>
      </c>
      <c r="B61" s="84" t="s">
        <v>453</v>
      </c>
      <c r="C61" s="84" t="s">
        <v>454</v>
      </c>
      <c r="D61" s="85" t="s">
        <v>455</v>
      </c>
      <c r="E61" s="84" t="s">
        <v>23</v>
      </c>
      <c r="F61" s="569">
        <f>G11*0.15</f>
        <v>0.3</v>
      </c>
      <c r="G61" s="569"/>
      <c r="H61" s="576">
        <f t="shared" si="1"/>
        <v>0</v>
      </c>
      <c r="I61" s="64"/>
      <c r="J61" s="63"/>
    </row>
    <row r="62" spans="1:11" s="7" customFormat="1" x14ac:dyDescent="0.2">
      <c r="A62" s="91"/>
      <c r="B62" s="91">
        <v>4</v>
      </c>
      <c r="C62" s="92"/>
      <c r="D62" s="668" t="s">
        <v>195</v>
      </c>
      <c r="E62" s="668"/>
      <c r="F62" s="668"/>
      <c r="G62" s="232"/>
      <c r="H62" s="575">
        <f>SUM(H63:H79)</f>
        <v>0</v>
      </c>
      <c r="I62" s="64"/>
      <c r="J62" s="63"/>
    </row>
    <row r="63" spans="1:11" ht="47.25" x14ac:dyDescent="0.25">
      <c r="A63" s="233" t="s">
        <v>253</v>
      </c>
      <c r="B63" s="84" t="s">
        <v>526</v>
      </c>
      <c r="C63" s="90"/>
      <c r="D63" s="661" t="s">
        <v>500</v>
      </c>
      <c r="E63" s="86" t="s">
        <v>19</v>
      </c>
      <c r="F63" s="569">
        <f>E13*30</f>
        <v>60</v>
      </c>
      <c r="G63" s="569"/>
      <c r="H63" s="576">
        <f t="shared" ref="H63:H112" si="2">G63*F63</f>
        <v>0</v>
      </c>
      <c r="I63" s="74"/>
      <c r="J63" s="44"/>
      <c r="K63" s="10"/>
    </row>
    <row r="64" spans="1:11" s="7" customFormat="1" ht="81" customHeight="1" x14ac:dyDescent="0.2">
      <c r="A64" s="233" t="s">
        <v>253</v>
      </c>
      <c r="B64" s="84" t="s">
        <v>527</v>
      </c>
      <c r="C64" s="90"/>
      <c r="D64" s="96" t="s">
        <v>502</v>
      </c>
      <c r="E64" s="86" t="s">
        <v>143</v>
      </c>
      <c r="F64" s="569">
        <f>E13</f>
        <v>2</v>
      </c>
      <c r="G64" s="569"/>
      <c r="H64" s="576">
        <f t="shared" si="2"/>
        <v>0</v>
      </c>
      <c r="I64" s="64"/>
      <c r="J64" s="63"/>
    </row>
    <row r="65" spans="1:10" s="7" customFormat="1" ht="55.5" customHeight="1" x14ac:dyDescent="0.2">
      <c r="A65" s="233" t="s">
        <v>253</v>
      </c>
      <c r="B65" s="84" t="s">
        <v>528</v>
      </c>
      <c r="C65" s="88"/>
      <c r="D65" s="85" t="s">
        <v>616</v>
      </c>
      <c r="E65" s="84" t="s">
        <v>52</v>
      </c>
      <c r="F65" s="569">
        <f>(E13)*10.25</f>
        <v>20.5</v>
      </c>
      <c r="G65" s="569"/>
      <c r="H65" s="576">
        <f t="shared" si="2"/>
        <v>0</v>
      </c>
      <c r="I65" s="64"/>
      <c r="J65" s="63"/>
    </row>
    <row r="66" spans="1:10" s="7" customFormat="1" ht="63" x14ac:dyDescent="0.2">
      <c r="A66" s="278" t="s">
        <v>253</v>
      </c>
      <c r="B66" s="84" t="s">
        <v>529</v>
      </c>
      <c r="C66" s="90"/>
      <c r="D66" s="123" t="s">
        <v>640</v>
      </c>
      <c r="E66" s="86" t="s">
        <v>23</v>
      </c>
      <c r="F66" s="569">
        <f>E13*(1.4+1.4+1.4+1.4+0.7+0.7+0.7+0.7+3+3+1.2+1.2)*0.4*0.3</f>
        <v>4.03</v>
      </c>
      <c r="G66" s="569"/>
      <c r="H66" s="576">
        <f t="shared" si="2"/>
        <v>0</v>
      </c>
      <c r="I66" s="64"/>
      <c r="J66" s="63"/>
    </row>
    <row r="67" spans="1:10" s="7" customFormat="1" ht="47.25" x14ac:dyDescent="0.2">
      <c r="A67" s="278" t="s">
        <v>253</v>
      </c>
      <c r="B67" s="84" t="s">
        <v>530</v>
      </c>
      <c r="C67" s="90"/>
      <c r="D67" s="123" t="s">
        <v>309</v>
      </c>
      <c r="E67" s="86" t="s">
        <v>23</v>
      </c>
      <c r="F67" s="569">
        <f>F66</f>
        <v>4.03</v>
      </c>
      <c r="G67" s="569"/>
      <c r="H67" s="576">
        <f t="shared" si="2"/>
        <v>0</v>
      </c>
      <c r="I67" s="64"/>
      <c r="J67" s="63"/>
    </row>
    <row r="68" spans="1:10" s="7" customFormat="1" ht="84" customHeight="1" x14ac:dyDescent="0.2">
      <c r="A68" s="278" t="s">
        <v>253</v>
      </c>
      <c r="B68" s="84" t="s">
        <v>531</v>
      </c>
      <c r="C68" s="90"/>
      <c r="D68" s="85" t="s">
        <v>642</v>
      </c>
      <c r="E68" s="86" t="s">
        <v>23</v>
      </c>
      <c r="F68" s="569">
        <f>F63*0.4*0.3</f>
        <v>7.2</v>
      </c>
      <c r="G68" s="569"/>
      <c r="H68" s="576">
        <f t="shared" si="2"/>
        <v>0</v>
      </c>
      <c r="I68" s="64"/>
      <c r="J68" s="63"/>
    </row>
    <row r="69" spans="1:10" s="7" customFormat="1" ht="48.75" customHeight="1" x14ac:dyDescent="0.2">
      <c r="A69" s="278" t="s">
        <v>253</v>
      </c>
      <c r="B69" s="84" t="s">
        <v>532</v>
      </c>
      <c r="C69" s="90"/>
      <c r="D69" s="123" t="s">
        <v>310</v>
      </c>
      <c r="E69" s="86" t="s">
        <v>23</v>
      </c>
      <c r="F69" s="569">
        <f>F68</f>
        <v>7.2</v>
      </c>
      <c r="G69" s="569"/>
      <c r="H69" s="576">
        <f t="shared" si="2"/>
        <v>0</v>
      </c>
      <c r="I69" s="64"/>
      <c r="J69" s="63"/>
    </row>
    <row r="70" spans="1:10" s="7" customFormat="1" ht="31.5" x14ac:dyDescent="0.2">
      <c r="A70" s="233" t="s">
        <v>253</v>
      </c>
      <c r="B70" s="84" t="s">
        <v>533</v>
      </c>
      <c r="C70" s="90"/>
      <c r="D70" s="123" t="s">
        <v>318</v>
      </c>
      <c r="E70" s="86" t="s">
        <v>19</v>
      </c>
      <c r="F70" s="569">
        <f>E13*20</f>
        <v>40</v>
      </c>
      <c r="G70" s="569"/>
      <c r="H70" s="576">
        <f t="shared" si="2"/>
        <v>0</v>
      </c>
      <c r="I70" s="64"/>
      <c r="J70" s="63"/>
    </row>
    <row r="71" spans="1:10" s="7" customFormat="1" ht="58.5" customHeight="1" x14ac:dyDescent="0.2">
      <c r="A71" s="233" t="s">
        <v>253</v>
      </c>
      <c r="B71" s="84" t="s">
        <v>534</v>
      </c>
      <c r="C71" s="90"/>
      <c r="D71" s="123" t="s">
        <v>319</v>
      </c>
      <c r="E71" s="86" t="s">
        <v>143</v>
      </c>
      <c r="F71" s="569">
        <f>E13</f>
        <v>2</v>
      </c>
      <c r="G71" s="569"/>
      <c r="H71" s="576">
        <f t="shared" si="2"/>
        <v>0</v>
      </c>
      <c r="I71" s="64"/>
      <c r="J71" s="63"/>
    </row>
    <row r="72" spans="1:10" s="7" customFormat="1" ht="63" customHeight="1" x14ac:dyDescent="0.2">
      <c r="A72" s="278" t="s">
        <v>253</v>
      </c>
      <c r="B72" s="84" t="s">
        <v>535</v>
      </c>
      <c r="C72" s="288"/>
      <c r="D72" s="123" t="s">
        <v>350</v>
      </c>
      <c r="E72" s="124" t="s">
        <v>19</v>
      </c>
      <c r="F72" s="569">
        <f>E13*14.7</f>
        <v>29.4</v>
      </c>
      <c r="G72" s="569"/>
      <c r="H72" s="576">
        <f t="shared" si="2"/>
        <v>0</v>
      </c>
      <c r="I72" s="64"/>
      <c r="J72" s="63"/>
    </row>
    <row r="73" spans="1:10" s="7" customFormat="1" ht="64.5" customHeight="1" x14ac:dyDescent="0.2">
      <c r="A73" s="278" t="s">
        <v>253</v>
      </c>
      <c r="B73" s="84" t="s">
        <v>536</v>
      </c>
      <c r="C73" s="213"/>
      <c r="D73" s="85" t="s">
        <v>351</v>
      </c>
      <c r="E73" s="213" t="s">
        <v>143</v>
      </c>
      <c r="F73" s="572">
        <f>E13</f>
        <v>2</v>
      </c>
      <c r="G73" s="572"/>
      <c r="H73" s="576">
        <f t="shared" si="2"/>
        <v>0</v>
      </c>
      <c r="I73" s="64"/>
      <c r="J73" s="63"/>
    </row>
    <row r="74" spans="1:10" s="7" customFormat="1" ht="31.5" x14ac:dyDescent="0.2">
      <c r="A74" s="233" t="s">
        <v>253</v>
      </c>
      <c r="B74" s="84" t="s">
        <v>537</v>
      </c>
      <c r="C74" s="122"/>
      <c r="D74" s="85" t="s">
        <v>320</v>
      </c>
      <c r="E74" s="124" t="s">
        <v>143</v>
      </c>
      <c r="F74" s="572">
        <f>E13</f>
        <v>2</v>
      </c>
      <c r="G74" s="569"/>
      <c r="H74" s="576">
        <f t="shared" si="2"/>
        <v>0</v>
      </c>
      <c r="I74" s="64"/>
      <c r="J74" s="63"/>
    </row>
    <row r="75" spans="1:10" s="7" customFormat="1" ht="42" customHeight="1" x14ac:dyDescent="0.2">
      <c r="A75" s="233" t="s">
        <v>253</v>
      </c>
      <c r="B75" s="84" t="s">
        <v>538</v>
      </c>
      <c r="C75" s="121"/>
      <c r="D75" s="85" t="s">
        <v>321</v>
      </c>
      <c r="E75" s="213" t="s">
        <v>143</v>
      </c>
      <c r="F75" s="572">
        <f>E13</f>
        <v>2</v>
      </c>
      <c r="G75" s="572"/>
      <c r="H75" s="576">
        <f t="shared" si="2"/>
        <v>0</v>
      </c>
      <c r="I75" s="64"/>
      <c r="J75" s="63"/>
    </row>
    <row r="76" spans="1:10" s="7" customFormat="1" ht="38.25" customHeight="1" x14ac:dyDescent="0.2">
      <c r="A76" s="233" t="s">
        <v>253</v>
      </c>
      <c r="B76" s="84" t="s">
        <v>539</v>
      </c>
      <c r="C76" s="122"/>
      <c r="D76" s="85" t="s">
        <v>291</v>
      </c>
      <c r="E76" s="124" t="s">
        <v>143</v>
      </c>
      <c r="F76" s="572">
        <f>E13</f>
        <v>2</v>
      </c>
      <c r="G76" s="569"/>
      <c r="H76" s="576">
        <f t="shared" si="2"/>
        <v>0</v>
      </c>
      <c r="I76" s="64"/>
      <c r="J76" s="63"/>
    </row>
    <row r="77" spans="1:10" s="7" customFormat="1" ht="31.5" x14ac:dyDescent="0.2">
      <c r="A77" s="233" t="s">
        <v>253</v>
      </c>
      <c r="B77" s="84" t="s">
        <v>540</v>
      </c>
      <c r="C77" s="122"/>
      <c r="D77" s="85" t="s">
        <v>354</v>
      </c>
      <c r="E77" s="124" t="s">
        <v>19</v>
      </c>
      <c r="F77" s="569">
        <f>E13*200</f>
        <v>400</v>
      </c>
      <c r="G77" s="569"/>
      <c r="H77" s="576">
        <f t="shared" si="2"/>
        <v>0</v>
      </c>
      <c r="I77" s="64"/>
      <c r="J77" s="63"/>
    </row>
    <row r="78" spans="1:10" s="7" customFormat="1" ht="70.5" customHeight="1" x14ac:dyDescent="0.2">
      <c r="A78" s="325" t="s">
        <v>253</v>
      </c>
      <c r="B78" s="84" t="s">
        <v>541</v>
      </c>
      <c r="C78" s="121"/>
      <c r="D78" s="85" t="s">
        <v>307</v>
      </c>
      <c r="E78" s="213" t="s">
        <v>143</v>
      </c>
      <c r="F78" s="572">
        <f>E13</f>
        <v>2</v>
      </c>
      <c r="G78" s="572"/>
      <c r="H78" s="576">
        <f t="shared" si="2"/>
        <v>0</v>
      </c>
      <c r="I78" s="64"/>
      <c r="J78" s="63"/>
    </row>
    <row r="79" spans="1:10" s="7" customFormat="1" ht="31.5" x14ac:dyDescent="0.2">
      <c r="A79" s="233" t="s">
        <v>253</v>
      </c>
      <c r="B79" s="84" t="s">
        <v>542</v>
      </c>
      <c r="C79" s="122"/>
      <c r="D79" s="85" t="s">
        <v>252</v>
      </c>
      <c r="E79" s="213" t="s">
        <v>143</v>
      </c>
      <c r="F79" s="569">
        <f>E13</f>
        <v>2</v>
      </c>
      <c r="G79" s="569"/>
      <c r="H79" s="576">
        <f t="shared" si="2"/>
        <v>0</v>
      </c>
      <c r="I79" s="64"/>
      <c r="J79" s="63"/>
    </row>
    <row r="80" spans="1:10" s="7" customFormat="1" x14ac:dyDescent="0.2">
      <c r="A80" s="91"/>
      <c r="B80" s="91">
        <v>5</v>
      </c>
      <c r="C80" s="92"/>
      <c r="D80" s="669" t="s">
        <v>456</v>
      </c>
      <c r="E80" s="670"/>
      <c r="F80" s="670"/>
      <c r="G80" s="453"/>
      <c r="H80" s="575">
        <f>SUM(H81:H93)</f>
        <v>0</v>
      </c>
      <c r="I80" s="64"/>
      <c r="J80" s="63"/>
    </row>
    <row r="81" spans="1:11" s="7" customFormat="1" ht="58.5" customHeight="1" x14ac:dyDescent="0.25">
      <c r="A81" s="421" t="s">
        <v>253</v>
      </c>
      <c r="B81" s="84" t="s">
        <v>457</v>
      </c>
      <c r="C81" s="1"/>
      <c r="D81" s="455" t="s">
        <v>500</v>
      </c>
      <c r="E81" s="86" t="s">
        <v>19</v>
      </c>
      <c r="F81" s="569">
        <f>F13*30</f>
        <v>0</v>
      </c>
      <c r="G81" s="569"/>
      <c r="H81" s="576">
        <f t="shared" si="2"/>
        <v>0</v>
      </c>
      <c r="I81" s="119"/>
      <c r="J81" s="119"/>
    </row>
    <row r="82" spans="1:11" s="7" customFormat="1" ht="86.25" customHeight="1" x14ac:dyDescent="0.25">
      <c r="A82" s="421" t="s">
        <v>253</v>
      </c>
      <c r="B82" s="84" t="s">
        <v>458</v>
      </c>
      <c r="C82" s="1"/>
      <c r="D82" s="96" t="s">
        <v>470</v>
      </c>
      <c r="E82" s="86" t="s">
        <v>143</v>
      </c>
      <c r="F82" s="569">
        <f>F13</f>
        <v>0</v>
      </c>
      <c r="G82" s="569"/>
      <c r="H82" s="576">
        <f t="shared" si="2"/>
        <v>0</v>
      </c>
      <c r="I82" s="119"/>
      <c r="J82" s="119"/>
    </row>
    <row r="83" spans="1:11" s="7" customFormat="1" ht="51" customHeight="1" x14ac:dyDescent="0.25">
      <c r="A83" s="421" t="s">
        <v>253</v>
      </c>
      <c r="B83" s="84" t="s">
        <v>459</v>
      </c>
      <c r="C83" s="1"/>
      <c r="D83" s="455" t="s">
        <v>616</v>
      </c>
      <c r="E83" s="84" t="s">
        <v>52</v>
      </c>
      <c r="F83" s="569">
        <f>(F13)*10.25</f>
        <v>0</v>
      </c>
      <c r="G83" s="569"/>
      <c r="H83" s="576">
        <f t="shared" si="2"/>
        <v>0</v>
      </c>
      <c r="I83" s="64"/>
      <c r="J83" s="63"/>
    </row>
    <row r="84" spans="1:11" s="7" customFormat="1" ht="70.5" customHeight="1" x14ac:dyDescent="0.25">
      <c r="A84" s="421" t="s">
        <v>253</v>
      </c>
      <c r="B84" s="84" t="s">
        <v>460</v>
      </c>
      <c r="C84" s="1"/>
      <c r="D84" s="123" t="s">
        <v>640</v>
      </c>
      <c r="E84" s="86" t="s">
        <v>23</v>
      </c>
      <c r="F84" s="569">
        <f>F13*(1.4+1.4+1.4+1.4+0.7+0.7+0.7+0.7+3+3+1.2+1.2)*0.4*0.3</f>
        <v>0</v>
      </c>
      <c r="G84" s="569"/>
      <c r="H84" s="576">
        <f t="shared" si="2"/>
        <v>0</v>
      </c>
      <c r="I84" s="64"/>
      <c r="J84" s="63"/>
    </row>
    <row r="85" spans="1:11" ht="59.25" customHeight="1" x14ac:dyDescent="0.25">
      <c r="A85" s="421" t="s">
        <v>253</v>
      </c>
      <c r="B85" s="84" t="s">
        <v>461</v>
      </c>
      <c r="D85" s="123" t="s">
        <v>309</v>
      </c>
      <c r="E85" s="86" t="s">
        <v>23</v>
      </c>
      <c r="F85" s="569">
        <f>F84</f>
        <v>0</v>
      </c>
      <c r="G85" s="569"/>
      <c r="H85" s="576">
        <f t="shared" si="2"/>
        <v>0</v>
      </c>
      <c r="I85" s="74"/>
      <c r="J85" s="44"/>
      <c r="K85" s="10"/>
    </row>
    <row r="86" spans="1:11" s="9" customFormat="1" ht="86.25" customHeight="1" x14ac:dyDescent="0.25">
      <c r="A86" s="421" t="s">
        <v>253</v>
      </c>
      <c r="B86" s="84" t="s">
        <v>462</v>
      </c>
      <c r="C86" s="1"/>
      <c r="D86" s="455" t="s">
        <v>642</v>
      </c>
      <c r="E86" s="86" t="s">
        <v>23</v>
      </c>
      <c r="F86" s="569">
        <f>F81*0.4*0.3</f>
        <v>0</v>
      </c>
      <c r="G86" s="569"/>
      <c r="H86" s="576">
        <f t="shared" si="2"/>
        <v>0</v>
      </c>
      <c r="I86" s="71"/>
      <c r="J86" s="5"/>
    </row>
    <row r="87" spans="1:11" s="9" customFormat="1" ht="57.75" customHeight="1" x14ac:dyDescent="0.25">
      <c r="A87" s="421" t="s">
        <v>253</v>
      </c>
      <c r="B87" s="84" t="s">
        <v>463</v>
      </c>
      <c r="C87" s="1"/>
      <c r="D87" s="123" t="s">
        <v>310</v>
      </c>
      <c r="E87" s="86" t="s">
        <v>23</v>
      </c>
      <c r="F87" s="569">
        <f>F86</f>
        <v>0</v>
      </c>
      <c r="G87" s="569"/>
      <c r="H87" s="576">
        <f t="shared" si="2"/>
        <v>0</v>
      </c>
      <c r="I87" s="71"/>
    </row>
    <row r="88" spans="1:11" s="9" customFormat="1" ht="42.75" customHeight="1" x14ac:dyDescent="0.25">
      <c r="A88" s="421" t="s">
        <v>253</v>
      </c>
      <c r="B88" s="84" t="s">
        <v>464</v>
      </c>
      <c r="C88" s="1"/>
      <c r="D88" s="123" t="s">
        <v>318</v>
      </c>
      <c r="E88" s="86" t="s">
        <v>19</v>
      </c>
      <c r="F88" s="569">
        <f>F13*20</f>
        <v>0</v>
      </c>
      <c r="G88" s="569"/>
      <c r="H88" s="576">
        <f t="shared" si="2"/>
        <v>0</v>
      </c>
      <c r="I88" s="71"/>
    </row>
    <row r="89" spans="1:11" s="8" customFormat="1" ht="54" customHeight="1" x14ac:dyDescent="0.25">
      <c r="A89" s="421" t="s">
        <v>253</v>
      </c>
      <c r="B89" s="84" t="s">
        <v>465</v>
      </c>
      <c r="C89" s="1"/>
      <c r="D89" s="123" t="s">
        <v>319</v>
      </c>
      <c r="E89" s="86" t="s">
        <v>143</v>
      </c>
      <c r="F89" s="569">
        <f>F13</f>
        <v>0</v>
      </c>
      <c r="G89" s="569"/>
      <c r="H89" s="576">
        <f t="shared" si="2"/>
        <v>0</v>
      </c>
      <c r="I89" s="69"/>
    </row>
    <row r="90" spans="1:11" s="9" customFormat="1" ht="63" customHeight="1" x14ac:dyDescent="0.25">
      <c r="A90" s="421" t="s">
        <v>253</v>
      </c>
      <c r="B90" s="84" t="s">
        <v>466</v>
      </c>
      <c r="C90" s="1"/>
      <c r="D90" s="123" t="s">
        <v>350</v>
      </c>
      <c r="E90" s="124" t="s">
        <v>19</v>
      </c>
      <c r="F90" s="569">
        <f>F13*14.7</f>
        <v>0</v>
      </c>
      <c r="G90" s="569"/>
      <c r="H90" s="576">
        <f t="shared" si="2"/>
        <v>0</v>
      </c>
      <c r="I90" s="71"/>
    </row>
    <row r="91" spans="1:11" s="9" customFormat="1" ht="69.75" customHeight="1" x14ac:dyDescent="0.25">
      <c r="A91" s="421" t="s">
        <v>253</v>
      </c>
      <c r="B91" s="84" t="s">
        <v>467</v>
      </c>
      <c r="C91" s="1"/>
      <c r="D91" s="455" t="s">
        <v>351</v>
      </c>
      <c r="E91" s="213" t="s">
        <v>143</v>
      </c>
      <c r="F91" s="572">
        <f>F13</f>
        <v>0</v>
      </c>
      <c r="G91" s="572"/>
      <c r="H91" s="576">
        <f t="shared" si="2"/>
        <v>0</v>
      </c>
      <c r="I91" s="71"/>
    </row>
    <row r="92" spans="1:11" s="9" customFormat="1" ht="45.75" customHeight="1" x14ac:dyDescent="0.25">
      <c r="A92" s="421" t="s">
        <v>253</v>
      </c>
      <c r="B92" s="84" t="s">
        <v>468</v>
      </c>
      <c r="C92" s="1"/>
      <c r="D92" s="455" t="s">
        <v>320</v>
      </c>
      <c r="E92" s="124" t="s">
        <v>143</v>
      </c>
      <c r="F92" s="569">
        <f>F13</f>
        <v>0</v>
      </c>
      <c r="G92" s="569"/>
      <c r="H92" s="576">
        <f t="shared" si="2"/>
        <v>0</v>
      </c>
      <c r="I92" s="71"/>
    </row>
    <row r="93" spans="1:11" s="9" customFormat="1" ht="48.75" customHeight="1" x14ac:dyDescent="0.25">
      <c r="A93" s="421" t="s">
        <v>253</v>
      </c>
      <c r="B93" s="84" t="s">
        <v>469</v>
      </c>
      <c r="C93" s="1"/>
      <c r="D93" s="455" t="s">
        <v>321</v>
      </c>
      <c r="E93" s="213" t="s">
        <v>143</v>
      </c>
      <c r="F93" s="572">
        <f>F13</f>
        <v>0</v>
      </c>
      <c r="G93" s="572"/>
      <c r="H93" s="576">
        <f t="shared" si="2"/>
        <v>0</v>
      </c>
      <c r="I93" s="71"/>
    </row>
    <row r="94" spans="1:11" s="9" customFormat="1" ht="20.25" customHeight="1" x14ac:dyDescent="0.2">
      <c r="A94" s="454"/>
      <c r="B94" s="91">
        <v>6</v>
      </c>
      <c r="C94" s="91"/>
      <c r="D94" s="669" t="s">
        <v>471</v>
      </c>
      <c r="E94" s="670"/>
      <c r="F94" s="670"/>
      <c r="G94" s="453"/>
      <c r="H94" s="575">
        <f>SUM(H95:H112)</f>
        <v>0</v>
      </c>
      <c r="I94" s="71"/>
    </row>
    <row r="95" spans="1:11" s="9" customFormat="1" ht="43.5" customHeight="1" x14ac:dyDescent="0.25">
      <c r="A95" s="421" t="s">
        <v>253</v>
      </c>
      <c r="B95" s="84" t="s">
        <v>472</v>
      </c>
      <c r="C95" s="1"/>
      <c r="D95" s="85" t="s">
        <v>291</v>
      </c>
      <c r="E95" s="124" t="s">
        <v>143</v>
      </c>
      <c r="F95" s="569">
        <f>G11</f>
        <v>2</v>
      </c>
      <c r="G95" s="569"/>
      <c r="H95" s="576">
        <f t="shared" si="2"/>
        <v>0</v>
      </c>
      <c r="I95" s="71"/>
    </row>
    <row r="96" spans="1:11" s="9" customFormat="1" ht="38.25" customHeight="1" x14ac:dyDescent="0.25">
      <c r="A96" s="421" t="s">
        <v>253</v>
      </c>
      <c r="B96" s="84" t="s">
        <v>473</v>
      </c>
      <c r="C96" s="1"/>
      <c r="D96" s="85" t="s">
        <v>492</v>
      </c>
      <c r="E96" s="124" t="s">
        <v>19</v>
      </c>
      <c r="F96" s="569">
        <f>G11*250</f>
        <v>500</v>
      </c>
      <c r="G96" s="569"/>
      <c r="H96" s="576">
        <f t="shared" si="2"/>
        <v>0</v>
      </c>
      <c r="I96" s="71"/>
    </row>
    <row r="97" spans="1:10" s="9" customFormat="1" ht="45.75" customHeight="1" x14ac:dyDescent="0.25">
      <c r="A97" s="421" t="s">
        <v>253</v>
      </c>
      <c r="B97" s="84" t="s">
        <v>474</v>
      </c>
      <c r="C97" s="1"/>
      <c r="D97" s="85" t="s">
        <v>317</v>
      </c>
      <c r="E97" s="86" t="s">
        <v>19</v>
      </c>
      <c r="F97" s="569">
        <f>G11*150</f>
        <v>300</v>
      </c>
      <c r="G97" s="569"/>
      <c r="H97" s="576">
        <f t="shared" si="2"/>
        <v>0</v>
      </c>
      <c r="I97" s="71"/>
    </row>
    <row r="98" spans="1:10" s="7" customFormat="1" ht="167.25" customHeight="1" x14ac:dyDescent="0.25">
      <c r="A98" s="421" t="s">
        <v>253</v>
      </c>
      <c r="B98" s="84" t="s">
        <v>475</v>
      </c>
      <c r="C98" s="1"/>
      <c r="D98" s="85" t="s">
        <v>590</v>
      </c>
      <c r="E98" s="84" t="s">
        <v>143</v>
      </c>
      <c r="F98" s="569">
        <f>G11</f>
        <v>2</v>
      </c>
      <c r="G98" s="573"/>
      <c r="H98" s="576">
        <f t="shared" si="2"/>
        <v>0</v>
      </c>
      <c r="I98" s="64"/>
      <c r="J98" s="63"/>
    </row>
    <row r="99" spans="1:10" s="9" customFormat="1" ht="33" customHeight="1" x14ac:dyDescent="0.25">
      <c r="A99" s="421" t="s">
        <v>253</v>
      </c>
      <c r="B99" s="84" t="s">
        <v>476</v>
      </c>
      <c r="C99" s="1"/>
      <c r="D99" s="97" t="s">
        <v>569</v>
      </c>
      <c r="E99" s="84" t="s">
        <v>19</v>
      </c>
      <c r="F99" s="569">
        <f>G11*150</f>
        <v>300</v>
      </c>
      <c r="G99" s="570"/>
      <c r="H99" s="576">
        <f t="shared" si="2"/>
        <v>0</v>
      </c>
      <c r="I99" s="72"/>
    </row>
    <row r="100" spans="1:10" s="7" customFormat="1" ht="50.25" customHeight="1" x14ac:dyDescent="0.25">
      <c r="A100" s="421" t="s">
        <v>253</v>
      </c>
      <c r="B100" s="84" t="s">
        <v>477</v>
      </c>
      <c r="C100" s="1"/>
      <c r="D100" s="123" t="s">
        <v>318</v>
      </c>
      <c r="E100" s="84" t="s">
        <v>19</v>
      </c>
      <c r="F100" s="569">
        <f>G11*200</f>
        <v>400</v>
      </c>
      <c r="G100" s="569"/>
      <c r="H100" s="576">
        <f t="shared" si="2"/>
        <v>0</v>
      </c>
      <c r="I100" s="64"/>
      <c r="J100" s="63"/>
    </row>
    <row r="101" spans="1:10" s="9" customFormat="1" ht="88.5" customHeight="1" x14ac:dyDescent="0.25">
      <c r="A101" s="421" t="s">
        <v>253</v>
      </c>
      <c r="B101" s="84" t="s">
        <v>478</v>
      </c>
      <c r="C101" s="1"/>
      <c r="D101" s="85" t="s">
        <v>642</v>
      </c>
      <c r="E101" s="84" t="s">
        <v>23</v>
      </c>
      <c r="F101" s="569">
        <f>F97*0.4*0.3</f>
        <v>36</v>
      </c>
      <c r="G101" s="569"/>
      <c r="H101" s="576">
        <f t="shared" si="2"/>
        <v>0</v>
      </c>
      <c r="I101" s="72"/>
    </row>
    <row r="102" spans="1:10" s="125" customFormat="1" ht="51" customHeight="1" x14ac:dyDescent="0.25">
      <c r="A102" s="421" t="s">
        <v>253</v>
      </c>
      <c r="B102" s="84" t="s">
        <v>479</v>
      </c>
      <c r="C102" s="1"/>
      <c r="D102" s="123" t="s">
        <v>310</v>
      </c>
      <c r="E102" s="84" t="s">
        <v>23</v>
      </c>
      <c r="F102" s="572">
        <f>F101</f>
        <v>36</v>
      </c>
      <c r="G102" s="569"/>
      <c r="H102" s="576">
        <f t="shared" si="2"/>
        <v>0</v>
      </c>
      <c r="I102" s="126"/>
      <c r="J102" s="127"/>
    </row>
    <row r="103" spans="1:10" s="9" customFormat="1" ht="47.25" x14ac:dyDescent="0.25">
      <c r="A103" s="421" t="s">
        <v>253</v>
      </c>
      <c r="B103" s="84" t="s">
        <v>480</v>
      </c>
      <c r="C103" s="1"/>
      <c r="D103" s="123" t="s">
        <v>319</v>
      </c>
      <c r="E103" s="84" t="s">
        <v>143</v>
      </c>
      <c r="F103" s="572">
        <f>G11</f>
        <v>2</v>
      </c>
      <c r="G103" s="569"/>
      <c r="H103" s="576">
        <f t="shared" si="2"/>
        <v>0</v>
      </c>
      <c r="I103" s="72"/>
    </row>
    <row r="104" spans="1:10" s="9" customFormat="1" ht="78" customHeight="1" x14ac:dyDescent="0.25">
      <c r="A104" s="421" t="s">
        <v>253</v>
      </c>
      <c r="B104" s="84" t="s">
        <v>481</v>
      </c>
      <c r="C104" s="1"/>
      <c r="D104" s="123" t="s">
        <v>350</v>
      </c>
      <c r="E104" s="84" t="s">
        <v>19</v>
      </c>
      <c r="F104" s="572">
        <f>G11*14.7</f>
        <v>29.4</v>
      </c>
      <c r="G104" s="569"/>
      <c r="H104" s="576">
        <f t="shared" si="2"/>
        <v>0</v>
      </c>
      <c r="I104" s="71"/>
      <c r="J104" s="5"/>
    </row>
    <row r="105" spans="1:10" s="9" customFormat="1" ht="63" x14ac:dyDescent="0.25">
      <c r="A105" s="421" t="s">
        <v>253</v>
      </c>
      <c r="B105" s="84" t="s">
        <v>482</v>
      </c>
      <c r="C105" s="1"/>
      <c r="D105" s="455" t="s">
        <v>351</v>
      </c>
      <c r="E105" s="213" t="s">
        <v>143</v>
      </c>
      <c r="F105" s="572">
        <f>G11</f>
        <v>2</v>
      </c>
      <c r="G105" s="572"/>
      <c r="H105" s="576">
        <f t="shared" si="2"/>
        <v>0</v>
      </c>
      <c r="I105" s="71"/>
    </row>
    <row r="106" spans="1:10" s="9" customFormat="1" ht="64.5" customHeight="1" x14ac:dyDescent="0.25">
      <c r="A106" s="421" t="s">
        <v>253</v>
      </c>
      <c r="B106" s="84" t="s">
        <v>483</v>
      </c>
      <c r="C106" s="1"/>
      <c r="D106" s="123" t="s">
        <v>640</v>
      </c>
      <c r="E106" s="84" t="s">
        <v>23</v>
      </c>
      <c r="F106" s="569">
        <f>G13*(1.4+1.4+1.4+1.4+0.7+0.7+0.7+0.7+3+3+1.2+1.2)*0.4*0.3</f>
        <v>4.03</v>
      </c>
      <c r="G106" s="573"/>
      <c r="H106" s="576">
        <f t="shared" si="2"/>
        <v>0</v>
      </c>
      <c r="I106" s="73"/>
    </row>
    <row r="107" spans="1:10" s="8" customFormat="1" ht="51.75" customHeight="1" x14ac:dyDescent="0.25">
      <c r="A107" s="421" t="s">
        <v>253</v>
      </c>
      <c r="B107" s="84" t="s">
        <v>484</v>
      </c>
      <c r="C107" s="1"/>
      <c r="D107" s="123" t="s">
        <v>309</v>
      </c>
      <c r="E107" s="84" t="s">
        <v>23</v>
      </c>
      <c r="F107" s="572">
        <f>F106</f>
        <v>4.03</v>
      </c>
      <c r="G107" s="574"/>
      <c r="H107" s="576">
        <f t="shared" si="2"/>
        <v>0</v>
      </c>
      <c r="I107" s="69"/>
    </row>
    <row r="108" spans="1:10" s="9" customFormat="1" ht="49.5" customHeight="1" x14ac:dyDescent="0.25">
      <c r="A108" s="421" t="s">
        <v>253</v>
      </c>
      <c r="B108" s="84" t="s">
        <v>485</v>
      </c>
      <c r="C108" s="1"/>
      <c r="D108" s="85" t="s">
        <v>320</v>
      </c>
      <c r="E108" s="84" t="s">
        <v>143</v>
      </c>
      <c r="F108" s="572">
        <f>G11</f>
        <v>2</v>
      </c>
      <c r="G108" s="569"/>
      <c r="H108" s="576">
        <f t="shared" si="2"/>
        <v>0</v>
      </c>
      <c r="I108" s="71"/>
    </row>
    <row r="109" spans="1:10" s="9" customFormat="1" ht="54.75" customHeight="1" x14ac:dyDescent="0.25">
      <c r="A109" s="421" t="s">
        <v>253</v>
      </c>
      <c r="B109" s="84" t="s">
        <v>486</v>
      </c>
      <c r="C109" s="1"/>
      <c r="D109" s="85" t="s">
        <v>321</v>
      </c>
      <c r="E109" s="213" t="s">
        <v>143</v>
      </c>
      <c r="F109" s="572">
        <f>G11</f>
        <v>2</v>
      </c>
      <c r="G109" s="572"/>
      <c r="H109" s="576">
        <f t="shared" si="2"/>
        <v>0</v>
      </c>
      <c r="I109" s="71"/>
    </row>
    <row r="110" spans="1:10" s="9" customFormat="1" ht="45" customHeight="1" x14ac:dyDescent="0.25">
      <c r="A110" s="421" t="s">
        <v>253</v>
      </c>
      <c r="B110" s="84" t="s">
        <v>487</v>
      </c>
      <c r="C110" s="1"/>
      <c r="D110" s="85" t="s">
        <v>252</v>
      </c>
      <c r="E110" s="84" t="s">
        <v>143</v>
      </c>
      <c r="F110" s="572">
        <f>G11</f>
        <v>2</v>
      </c>
      <c r="G110" s="569"/>
      <c r="H110" s="576">
        <f t="shared" si="2"/>
        <v>0</v>
      </c>
      <c r="I110" s="71"/>
    </row>
    <row r="111" spans="1:10" s="9" customFormat="1" ht="68.25" customHeight="1" x14ac:dyDescent="0.25">
      <c r="A111" s="421" t="s">
        <v>253</v>
      </c>
      <c r="B111" s="84" t="s">
        <v>488</v>
      </c>
      <c r="C111" s="1"/>
      <c r="D111" s="85" t="s">
        <v>489</v>
      </c>
      <c r="E111" s="213" t="s">
        <v>143</v>
      </c>
      <c r="F111" s="572">
        <f>G11</f>
        <v>2</v>
      </c>
      <c r="G111" s="572"/>
      <c r="H111" s="576">
        <f t="shared" si="2"/>
        <v>0</v>
      </c>
      <c r="I111" s="71"/>
    </row>
    <row r="112" spans="1:10" s="9" customFormat="1" ht="72" customHeight="1" x14ac:dyDescent="0.25">
      <c r="A112" s="421" t="s">
        <v>253</v>
      </c>
      <c r="B112" s="84" t="s">
        <v>543</v>
      </c>
      <c r="C112" s="1"/>
      <c r="D112" s="85" t="s">
        <v>490</v>
      </c>
      <c r="E112" s="84" t="s">
        <v>143</v>
      </c>
      <c r="F112" s="572">
        <f>G11</f>
        <v>2</v>
      </c>
      <c r="G112" s="572"/>
      <c r="H112" s="576">
        <f t="shared" si="2"/>
        <v>0</v>
      </c>
      <c r="I112" s="71"/>
    </row>
    <row r="113" spans="1:9" s="9" customFormat="1" ht="53.25" customHeight="1" x14ac:dyDescent="0.25">
      <c r="A113" s="276"/>
      <c r="B113" s="1"/>
      <c r="C113" s="1"/>
      <c r="D113" s="2"/>
      <c r="E113" s="1"/>
      <c r="F113" s="3"/>
      <c r="G113" s="1"/>
      <c r="I113" s="71"/>
    </row>
  </sheetData>
  <mergeCells count="32">
    <mergeCell ref="A2:H5"/>
    <mergeCell ref="D6:H7"/>
    <mergeCell ref="A10:D11"/>
    <mergeCell ref="G10:H10"/>
    <mergeCell ref="G11:H11"/>
    <mergeCell ref="E10:F10"/>
    <mergeCell ref="E11:F11"/>
    <mergeCell ref="A6:C7"/>
    <mergeCell ref="A8:C9"/>
    <mergeCell ref="D8:H9"/>
    <mergeCell ref="B18:B19"/>
    <mergeCell ref="D18:D19"/>
    <mergeCell ref="E18:E19"/>
    <mergeCell ref="F18:F19"/>
    <mergeCell ref="A14:D14"/>
    <mergeCell ref="A15:D16"/>
    <mergeCell ref="D62:F62"/>
    <mergeCell ref="D80:F80"/>
    <mergeCell ref="D94:F94"/>
    <mergeCell ref="A12:D13"/>
    <mergeCell ref="G12:H12"/>
    <mergeCell ref="G13:H13"/>
    <mergeCell ref="E14:F14"/>
    <mergeCell ref="E15:F15"/>
    <mergeCell ref="E16:F16"/>
    <mergeCell ref="G14:H14"/>
    <mergeCell ref="G15:H15"/>
    <mergeCell ref="A18:A19"/>
    <mergeCell ref="G16:H16"/>
    <mergeCell ref="A17:H17"/>
    <mergeCell ref="G18:H18"/>
    <mergeCell ref="D20:F20"/>
  </mergeCells>
  <printOptions horizontalCentered="1"/>
  <pageMargins left="0.47244094488188981" right="0.19685039370078741" top="0.27559055118110237" bottom="0.19685039370078741" header="0.51181102362204722" footer="0.51181102362204722"/>
  <pageSetup paperSize="9" scale="65" firstPageNumber="0" fitToWidth="2" fitToHeight="3" orientation="portrait" r:id="rId1"/>
  <headerFooter alignWithMargins="0"/>
  <rowBreaks count="4" manualBreakCount="4">
    <brk id="41" max="7" man="1"/>
    <brk id="61" max="7" man="1"/>
    <brk id="79" max="7" man="1"/>
    <brk id="93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14"/>
  <sheetViews>
    <sheetView view="pageBreakPreview" topLeftCell="A134" zoomScale="90" zoomScaleNormal="100" zoomScaleSheetLayoutView="90" workbookViewId="0">
      <selection activeCell="C157" sqref="C157"/>
    </sheetView>
  </sheetViews>
  <sheetFormatPr defaultRowHeight="12.75" x14ac:dyDescent="0.2"/>
  <cols>
    <col min="1" max="1" width="3.85546875" style="11" customWidth="1"/>
    <col min="2" max="2" width="52.140625" style="11" customWidth="1"/>
    <col min="3" max="3" width="11.140625" style="50" customWidth="1"/>
    <col min="4" max="4" width="11.28515625" style="50" customWidth="1"/>
    <col min="5" max="5" width="9" style="11" customWidth="1"/>
    <col min="6" max="6" width="9.28515625" style="11" customWidth="1"/>
    <col min="7" max="7" width="10.85546875" style="11" customWidth="1"/>
    <col min="8" max="8" width="10.42578125" style="11" customWidth="1"/>
    <col min="9" max="9" width="12" style="50" customWidth="1"/>
    <col min="10" max="10" width="7.140625" style="11" customWidth="1"/>
    <col min="11" max="11" width="9.140625" style="11"/>
    <col min="12" max="12" width="9.42578125" style="11" bestFit="1" customWidth="1"/>
    <col min="13" max="16384" width="9.140625" style="11"/>
  </cols>
  <sheetData>
    <row r="1" spans="2:10" s="47" customFormat="1" ht="19.5" customHeight="1" x14ac:dyDescent="0.2">
      <c r="B1" s="577" t="s">
        <v>361</v>
      </c>
      <c r="C1" s="578" t="str">
        <f>'Planilha Orçamentária'!B21</f>
        <v>1.1</v>
      </c>
      <c r="D1" s="714" t="s">
        <v>30</v>
      </c>
      <c r="E1" s="714"/>
      <c r="F1" s="714"/>
      <c r="G1" s="714"/>
      <c r="H1" s="714"/>
      <c r="I1" s="714"/>
    </row>
    <row r="2" spans="2:10" s="47" customFormat="1" ht="15" customHeight="1" x14ac:dyDescent="0.2">
      <c r="B2" s="718" t="s">
        <v>134</v>
      </c>
      <c r="C2" s="719"/>
      <c r="D2" s="719"/>
      <c r="E2" s="719"/>
      <c r="F2" s="719"/>
      <c r="G2" s="720"/>
      <c r="H2" s="715" t="s">
        <v>572</v>
      </c>
      <c r="I2" s="716"/>
    </row>
    <row r="3" spans="2:10" s="47" customFormat="1" ht="17.25" customHeight="1" x14ac:dyDescent="0.2">
      <c r="B3" s="766" t="s">
        <v>322</v>
      </c>
      <c r="C3" s="766"/>
      <c r="D3" s="766"/>
      <c r="E3" s="766"/>
      <c r="F3" s="766"/>
      <c r="G3" s="766"/>
      <c r="H3" s="12" t="s">
        <v>31</v>
      </c>
      <c r="I3" s="46" t="s">
        <v>143</v>
      </c>
    </row>
    <row r="4" spans="2:10" s="47" customFormat="1" ht="18.75" customHeight="1" x14ac:dyDescent="0.2">
      <c r="B4" s="723" t="s">
        <v>32</v>
      </c>
      <c r="C4" s="723"/>
      <c r="D4" s="723"/>
      <c r="E4" s="723"/>
      <c r="F4" s="723"/>
      <c r="G4" s="723"/>
      <c r="H4" s="723"/>
      <c r="I4" s="723"/>
    </row>
    <row r="5" spans="2:10" ht="27.75" customHeight="1" x14ac:dyDescent="0.2">
      <c r="B5" s="13" t="s">
        <v>33</v>
      </c>
      <c r="C5" s="14" t="s">
        <v>34</v>
      </c>
      <c r="D5" s="14" t="s">
        <v>6</v>
      </c>
      <c r="E5" s="14" t="s">
        <v>35</v>
      </c>
      <c r="F5" s="14" t="s">
        <v>36</v>
      </c>
      <c r="G5" s="14" t="s">
        <v>37</v>
      </c>
      <c r="H5" s="14" t="s">
        <v>38</v>
      </c>
      <c r="I5" s="15" t="s">
        <v>39</v>
      </c>
    </row>
    <row r="6" spans="2:10" ht="21" customHeight="1" x14ac:dyDescent="0.2">
      <c r="B6" s="16" t="s">
        <v>40</v>
      </c>
      <c r="C6" s="31" t="s">
        <v>41</v>
      </c>
      <c r="D6" s="31">
        <v>2.5</v>
      </c>
      <c r="E6" s="18">
        <v>1</v>
      </c>
      <c r="F6" s="18"/>
      <c r="G6" s="582">
        <f>INSUMOS!E59</f>
        <v>67.5</v>
      </c>
      <c r="H6" s="18"/>
      <c r="I6" s="583">
        <f>D6*E6*G6+D6*F6*H6</f>
        <v>168.75</v>
      </c>
    </row>
    <row r="7" spans="2:10" ht="18.75" customHeight="1" x14ac:dyDescent="0.2">
      <c r="B7" s="16" t="s">
        <v>42</v>
      </c>
      <c r="C7" s="31" t="s">
        <v>41</v>
      </c>
      <c r="D7" s="31">
        <v>2.5</v>
      </c>
      <c r="E7" s="18">
        <v>1</v>
      </c>
      <c r="F7" s="18"/>
      <c r="G7" s="582">
        <f>INSUMOS!E54</f>
        <v>15.78</v>
      </c>
      <c r="H7" s="18"/>
      <c r="I7" s="583">
        <f>D7*E7*G7+D7*F7*H7</f>
        <v>39.450000000000003</v>
      </c>
    </row>
    <row r="8" spans="2:10" ht="18" customHeight="1" x14ac:dyDescent="0.2">
      <c r="B8" s="724" t="s">
        <v>43</v>
      </c>
      <c r="C8" s="724"/>
      <c r="D8" s="724"/>
      <c r="E8" s="724"/>
      <c r="F8" s="724"/>
      <c r="G8" s="724"/>
      <c r="H8" s="724"/>
      <c r="I8" s="584">
        <f>SUM(I6:I7)</f>
        <v>208.2</v>
      </c>
    </row>
    <row r="9" spans="2:10" s="47" customFormat="1" ht="20.25" customHeight="1" x14ac:dyDescent="0.2">
      <c r="B9" s="723" t="s">
        <v>44</v>
      </c>
      <c r="C9" s="723"/>
      <c r="D9" s="723"/>
      <c r="E9" s="723"/>
      <c r="F9" s="723"/>
      <c r="G9" s="723"/>
      <c r="H9" s="723"/>
      <c r="I9" s="723"/>
    </row>
    <row r="10" spans="2:10" x14ac:dyDescent="0.2">
      <c r="B10" s="345" t="s">
        <v>33</v>
      </c>
      <c r="C10" s="24" t="s">
        <v>34</v>
      </c>
      <c r="D10" s="24" t="s">
        <v>6</v>
      </c>
      <c r="E10" s="25"/>
      <c r="F10" s="25"/>
      <c r="G10" s="346"/>
      <c r="H10" s="24" t="s">
        <v>45</v>
      </c>
      <c r="I10" s="36" t="s">
        <v>39</v>
      </c>
    </row>
    <row r="11" spans="2:10" x14ac:dyDescent="0.2">
      <c r="B11" s="347"/>
      <c r="C11" s="24"/>
      <c r="D11" s="24"/>
      <c r="E11" s="25"/>
      <c r="F11" s="25"/>
      <c r="G11" s="25"/>
      <c r="H11" s="24"/>
      <c r="I11" s="36"/>
    </row>
    <row r="12" spans="2:10" ht="12.75" customHeight="1" x14ac:dyDescent="0.2">
      <c r="B12" s="713" t="s">
        <v>43</v>
      </c>
      <c r="C12" s="713"/>
      <c r="D12" s="713"/>
      <c r="E12" s="713"/>
      <c r="F12" s="713"/>
      <c r="G12" s="713"/>
      <c r="H12" s="713"/>
      <c r="I12" s="36"/>
    </row>
    <row r="13" spans="2:10" s="47" customFormat="1" ht="22.5" customHeight="1" x14ac:dyDescent="0.2">
      <c r="B13" s="723" t="s">
        <v>46</v>
      </c>
      <c r="C13" s="723"/>
      <c r="D13" s="723"/>
      <c r="E13" s="723"/>
      <c r="F13" s="723"/>
      <c r="G13" s="723"/>
      <c r="H13" s="723"/>
      <c r="I13" s="723"/>
    </row>
    <row r="14" spans="2:10" s="47" customFormat="1" ht="15.95" customHeight="1" x14ac:dyDescent="0.2">
      <c r="B14" s="348" t="s">
        <v>33</v>
      </c>
      <c r="C14" s="20" t="s">
        <v>34</v>
      </c>
      <c r="D14" s="20" t="s">
        <v>6</v>
      </c>
      <c r="E14" s="21"/>
      <c r="F14" s="21"/>
      <c r="G14" s="21"/>
      <c r="H14" s="20" t="s">
        <v>45</v>
      </c>
      <c r="I14" s="30" t="s">
        <v>39</v>
      </c>
    </row>
    <row r="15" spans="2:10" s="47" customFormat="1" ht="15.95" customHeight="1" x14ac:dyDescent="0.2">
      <c r="B15" s="82"/>
      <c r="C15" s="20"/>
      <c r="D15" s="20"/>
      <c r="E15" s="20"/>
      <c r="F15" s="20"/>
      <c r="G15" s="20"/>
      <c r="H15" s="20"/>
      <c r="I15" s="30"/>
      <c r="J15" s="66"/>
    </row>
    <row r="16" spans="2:10" s="47" customFormat="1" ht="15.95" customHeight="1" x14ac:dyDescent="0.2">
      <c r="B16" s="713" t="s">
        <v>43</v>
      </c>
      <c r="C16" s="713"/>
      <c r="D16" s="713"/>
      <c r="E16" s="713"/>
      <c r="F16" s="713"/>
      <c r="G16" s="713"/>
      <c r="H16" s="713"/>
      <c r="I16" s="30"/>
    </row>
    <row r="17" spans="2:9" s="47" customFormat="1" ht="21.75" customHeight="1" x14ac:dyDescent="0.2">
      <c r="B17" s="723" t="s">
        <v>47</v>
      </c>
      <c r="C17" s="723"/>
      <c r="D17" s="723"/>
      <c r="E17" s="723"/>
      <c r="F17" s="723"/>
      <c r="G17" s="723"/>
      <c r="H17" s="723"/>
      <c r="I17" s="723"/>
    </row>
    <row r="18" spans="2:9" s="47" customFormat="1" ht="15.95" customHeight="1" x14ac:dyDescent="0.2">
      <c r="B18" s="349" t="s">
        <v>33</v>
      </c>
      <c r="C18" s="20" t="s">
        <v>34</v>
      </c>
      <c r="D18" s="20" t="s">
        <v>6</v>
      </c>
      <c r="E18" s="21"/>
      <c r="F18" s="21"/>
      <c r="G18" s="21"/>
      <c r="H18" s="20" t="s">
        <v>45</v>
      </c>
      <c r="I18" s="30" t="s">
        <v>39</v>
      </c>
    </row>
    <row r="19" spans="2:9" s="47" customFormat="1" ht="15.95" customHeight="1" x14ac:dyDescent="0.2">
      <c r="B19" s="207" t="s">
        <v>48</v>
      </c>
      <c r="C19" s="20" t="s">
        <v>41</v>
      </c>
      <c r="D19" s="20">
        <v>5</v>
      </c>
      <c r="E19" s="21"/>
      <c r="F19" s="21"/>
      <c r="G19" s="21"/>
      <c r="H19" s="582">
        <f>INSUMOS!E13</f>
        <v>7.81</v>
      </c>
      <c r="I19" s="583">
        <f>D19*H19</f>
        <v>39.049999999999997</v>
      </c>
    </row>
    <row r="20" spans="2:9" s="47" customFormat="1" ht="15.95" customHeight="1" x14ac:dyDescent="0.2">
      <c r="B20" s="767"/>
      <c r="C20" s="767"/>
      <c r="D20" s="767"/>
      <c r="E20" s="767"/>
      <c r="F20" s="767"/>
      <c r="G20" s="767"/>
      <c r="H20" s="767"/>
      <c r="I20" s="30"/>
    </row>
    <row r="21" spans="2:9" s="47" customFormat="1" ht="15.95" customHeight="1" x14ac:dyDescent="0.2">
      <c r="B21" s="713" t="s">
        <v>43</v>
      </c>
      <c r="C21" s="713"/>
      <c r="D21" s="713"/>
      <c r="E21" s="713"/>
      <c r="F21" s="713"/>
      <c r="G21" s="713"/>
      <c r="H21" s="713"/>
      <c r="I21" s="584">
        <f>SUM(I19:I20)</f>
        <v>39.049999999999997</v>
      </c>
    </row>
    <row r="22" spans="2:9" s="47" customFormat="1" ht="15.95" customHeight="1" x14ac:dyDescent="0.2">
      <c r="B22" s="350" t="s">
        <v>49</v>
      </c>
      <c r="C22" s="330">
        <v>1</v>
      </c>
      <c r="D22" s="771" t="s">
        <v>50</v>
      </c>
      <c r="E22" s="771"/>
      <c r="F22" s="771"/>
      <c r="G22" s="771"/>
      <c r="H22" s="771"/>
      <c r="I22" s="584">
        <f>I21+I16+I12+I8</f>
        <v>247.25</v>
      </c>
    </row>
    <row r="23" spans="2:9" s="47" customFormat="1" ht="15.95" customHeight="1" x14ac:dyDescent="0.2">
      <c r="B23" s="725"/>
      <c r="C23" s="726"/>
      <c r="D23" s="726"/>
      <c r="E23" s="726"/>
      <c r="F23" s="726"/>
      <c r="G23" s="726"/>
      <c r="H23" s="727"/>
      <c r="I23" s="584">
        <f>I22/C22</f>
        <v>247.25</v>
      </c>
    </row>
    <row r="24" spans="2:9" s="47" customFormat="1" ht="15.95" customHeight="1" x14ac:dyDescent="0.2">
      <c r="B24" s="351" t="s">
        <v>135</v>
      </c>
      <c r="C24" s="520">
        <f>BDI!C$36</f>
        <v>25</v>
      </c>
      <c r="D24" s="352" t="s">
        <v>103</v>
      </c>
      <c r="E24" s="353"/>
      <c r="F24" s="353"/>
      <c r="G24" s="353"/>
      <c r="H24" s="354"/>
      <c r="I24" s="583">
        <f>C24/100*I23</f>
        <v>61.81</v>
      </c>
    </row>
    <row r="25" spans="2:9" s="47" customFormat="1" ht="17.25" customHeight="1" thickBot="1" x14ac:dyDescent="0.25">
      <c r="B25" s="759" t="s">
        <v>51</v>
      </c>
      <c r="C25" s="772"/>
      <c r="D25" s="759"/>
      <c r="E25" s="759"/>
      <c r="F25" s="759"/>
      <c r="G25" s="759"/>
      <c r="H25" s="759"/>
      <c r="I25" s="549">
        <f>SUM(I23:I24)</f>
        <v>309.06</v>
      </c>
    </row>
    <row r="26" spans="2:9" ht="13.5" thickBot="1" x14ac:dyDescent="0.25">
      <c r="B26" s="23"/>
      <c r="C26" s="48"/>
      <c r="D26" s="48"/>
      <c r="E26" s="23"/>
      <c r="F26" s="23"/>
      <c r="G26" s="23"/>
      <c r="H26" s="23"/>
      <c r="I26" s="48"/>
    </row>
    <row r="27" spans="2:9" s="47" customFormat="1" ht="21.75" customHeight="1" x14ac:dyDescent="0.2">
      <c r="B27" s="577" t="s">
        <v>361</v>
      </c>
      <c r="C27" s="578" t="s">
        <v>12</v>
      </c>
      <c r="D27" s="714" t="s">
        <v>30</v>
      </c>
      <c r="E27" s="714"/>
      <c r="F27" s="714"/>
      <c r="G27" s="714"/>
      <c r="H27" s="714"/>
      <c r="I27" s="714"/>
    </row>
    <row r="28" spans="2:9" s="47" customFormat="1" ht="22.5" customHeight="1" x14ac:dyDescent="0.2">
      <c r="B28" s="718" t="s">
        <v>134</v>
      </c>
      <c r="C28" s="719"/>
      <c r="D28" s="719"/>
      <c r="E28" s="719"/>
      <c r="F28" s="719"/>
      <c r="G28" s="720"/>
      <c r="H28" s="715" t="s">
        <v>572</v>
      </c>
      <c r="I28" s="716"/>
    </row>
    <row r="29" spans="2:9" s="47" customFormat="1" ht="30" customHeight="1" x14ac:dyDescent="0.2">
      <c r="B29" s="766" t="s">
        <v>323</v>
      </c>
      <c r="C29" s="766"/>
      <c r="D29" s="766"/>
      <c r="E29" s="766"/>
      <c r="F29" s="766"/>
      <c r="G29" s="766"/>
      <c r="H29" s="12" t="s">
        <v>31</v>
      </c>
      <c r="I29" s="46" t="s">
        <v>143</v>
      </c>
    </row>
    <row r="30" spans="2:9" s="47" customFormat="1" ht="20.25" customHeight="1" x14ac:dyDescent="0.2">
      <c r="B30" s="723" t="s">
        <v>32</v>
      </c>
      <c r="C30" s="723"/>
      <c r="D30" s="723"/>
      <c r="E30" s="723"/>
      <c r="F30" s="723"/>
      <c r="G30" s="723"/>
      <c r="H30" s="723"/>
      <c r="I30" s="723"/>
    </row>
    <row r="31" spans="2:9" ht="28.5" customHeight="1" x14ac:dyDescent="0.2">
      <c r="B31" s="13" t="s">
        <v>33</v>
      </c>
      <c r="C31" s="14" t="s">
        <v>34</v>
      </c>
      <c r="D31" s="14" t="s">
        <v>6</v>
      </c>
      <c r="E31" s="14" t="s">
        <v>35</v>
      </c>
      <c r="F31" s="14" t="s">
        <v>36</v>
      </c>
      <c r="G31" s="14" t="s">
        <v>37</v>
      </c>
      <c r="H31" s="14" t="s">
        <v>38</v>
      </c>
      <c r="I31" s="15" t="s">
        <v>39</v>
      </c>
    </row>
    <row r="32" spans="2:9" s="47" customFormat="1" ht="15" customHeight="1" x14ac:dyDescent="0.2">
      <c r="B32" s="35" t="s">
        <v>40</v>
      </c>
      <c r="C32" s="28" t="s">
        <v>41</v>
      </c>
      <c r="D32" s="28">
        <v>5</v>
      </c>
      <c r="E32" s="20">
        <v>1</v>
      </c>
      <c r="F32" s="20"/>
      <c r="G32" s="582">
        <f>INSUMOS!E59</f>
        <v>67.5</v>
      </c>
      <c r="H32" s="20"/>
      <c r="I32" s="583">
        <f>D32*E32*G32+D32*F32*H32</f>
        <v>337.5</v>
      </c>
    </row>
    <row r="33" spans="2:10" s="47" customFormat="1" ht="15" customHeight="1" x14ac:dyDescent="0.2">
      <c r="B33" s="35" t="s">
        <v>42</v>
      </c>
      <c r="C33" s="28" t="s">
        <v>41</v>
      </c>
      <c r="D33" s="28">
        <v>5</v>
      </c>
      <c r="E33" s="20">
        <v>1</v>
      </c>
      <c r="F33" s="20"/>
      <c r="G33" s="582">
        <f>INSUMOS!E54</f>
        <v>15.78</v>
      </c>
      <c r="H33" s="20"/>
      <c r="I33" s="583">
        <f>D33*E33*G33+D33*F33*H33</f>
        <v>78.900000000000006</v>
      </c>
    </row>
    <row r="34" spans="2:10" s="47" customFormat="1" ht="15" customHeight="1" x14ac:dyDescent="0.2">
      <c r="B34" s="773" t="s">
        <v>43</v>
      </c>
      <c r="C34" s="773"/>
      <c r="D34" s="773"/>
      <c r="E34" s="773"/>
      <c r="F34" s="773"/>
      <c r="G34" s="773"/>
      <c r="H34" s="773"/>
      <c r="I34" s="584">
        <f>SUM(I32:I33)</f>
        <v>416.4</v>
      </c>
    </row>
    <row r="35" spans="2:10" s="47" customFormat="1" ht="15" customHeight="1" x14ac:dyDescent="0.2">
      <c r="B35" s="723" t="s">
        <v>44</v>
      </c>
      <c r="C35" s="723"/>
      <c r="D35" s="723"/>
      <c r="E35" s="723"/>
      <c r="F35" s="723"/>
      <c r="G35" s="723"/>
      <c r="H35" s="723"/>
      <c r="I35" s="723"/>
    </row>
    <row r="36" spans="2:10" x14ac:dyDescent="0.2">
      <c r="B36" s="345" t="s">
        <v>33</v>
      </c>
      <c r="C36" s="24" t="s">
        <v>34</v>
      </c>
      <c r="D36" s="24" t="s">
        <v>6</v>
      </c>
      <c r="E36" s="25"/>
      <c r="F36" s="25"/>
      <c r="G36" s="25"/>
      <c r="H36" s="24" t="s">
        <v>45</v>
      </c>
      <c r="I36" s="36" t="s">
        <v>39</v>
      </c>
    </row>
    <row r="37" spans="2:10" x14ac:dyDescent="0.2">
      <c r="B37" s="347"/>
      <c r="C37" s="24"/>
      <c r="D37" s="24"/>
      <c r="E37" s="25"/>
      <c r="F37" s="25"/>
      <c r="G37" s="25"/>
      <c r="H37" s="24"/>
      <c r="I37" s="36"/>
    </row>
    <row r="38" spans="2:10" ht="12.75" customHeight="1" x14ac:dyDescent="0.2">
      <c r="B38" s="713" t="s">
        <v>43</v>
      </c>
      <c r="C38" s="713"/>
      <c r="D38" s="713"/>
      <c r="E38" s="713"/>
      <c r="F38" s="713"/>
      <c r="G38" s="713"/>
      <c r="H38" s="713"/>
      <c r="I38" s="36"/>
    </row>
    <row r="39" spans="2:10" s="47" customFormat="1" ht="12.75" customHeight="1" x14ac:dyDescent="0.2">
      <c r="B39" s="723" t="s">
        <v>46</v>
      </c>
      <c r="C39" s="723"/>
      <c r="D39" s="723"/>
      <c r="E39" s="723"/>
      <c r="F39" s="723"/>
      <c r="G39" s="723"/>
      <c r="H39" s="723"/>
      <c r="I39" s="723"/>
    </row>
    <row r="40" spans="2:10" ht="15" customHeight="1" x14ac:dyDescent="0.2">
      <c r="B40" s="348" t="s">
        <v>33</v>
      </c>
      <c r="C40" s="330" t="s">
        <v>34</v>
      </c>
      <c r="D40" s="20" t="s">
        <v>6</v>
      </c>
      <c r="E40" s="21"/>
      <c r="F40" s="21"/>
      <c r="G40" s="21"/>
      <c r="H40" s="20" t="s">
        <v>45</v>
      </c>
      <c r="I40" s="36" t="s">
        <v>39</v>
      </c>
    </row>
    <row r="41" spans="2:10" ht="15" customHeight="1" x14ac:dyDescent="0.2">
      <c r="B41" s="120"/>
      <c r="C41" s="59"/>
      <c r="D41" s="87"/>
      <c r="E41" s="21"/>
      <c r="F41" s="21"/>
      <c r="G41" s="21"/>
      <c r="H41" s="20"/>
      <c r="I41" s="36"/>
      <c r="J41" s="22"/>
    </row>
    <row r="42" spans="2:10" ht="15" customHeight="1" x14ac:dyDescent="0.2">
      <c r="B42" s="713" t="s">
        <v>43</v>
      </c>
      <c r="C42" s="735"/>
      <c r="D42" s="713"/>
      <c r="E42" s="713"/>
      <c r="F42" s="713"/>
      <c r="G42" s="713"/>
      <c r="H42" s="713"/>
      <c r="I42" s="36"/>
    </row>
    <row r="43" spans="2:10" s="47" customFormat="1" ht="18" customHeight="1" x14ac:dyDescent="0.2">
      <c r="B43" s="723" t="s">
        <v>47</v>
      </c>
      <c r="C43" s="723"/>
      <c r="D43" s="723"/>
      <c r="E43" s="723"/>
      <c r="F43" s="723"/>
      <c r="G43" s="723"/>
      <c r="H43" s="723"/>
      <c r="I43" s="723"/>
    </row>
    <row r="44" spans="2:10" ht="15" customHeight="1" x14ac:dyDescent="0.2">
      <c r="B44" s="349" t="s">
        <v>33</v>
      </c>
      <c r="C44" s="20" t="s">
        <v>34</v>
      </c>
      <c r="D44" s="20" t="s">
        <v>6</v>
      </c>
      <c r="E44" s="21"/>
      <c r="F44" s="21"/>
      <c r="G44" s="21"/>
      <c r="H44" s="20" t="s">
        <v>45</v>
      </c>
      <c r="I44" s="30" t="s">
        <v>39</v>
      </c>
    </row>
    <row r="45" spans="2:10" ht="15" customHeight="1" x14ac:dyDescent="0.2">
      <c r="B45" s="207" t="s">
        <v>48</v>
      </c>
      <c r="C45" s="20" t="s">
        <v>41</v>
      </c>
      <c r="D45" s="20">
        <v>10</v>
      </c>
      <c r="E45" s="21"/>
      <c r="F45" s="21"/>
      <c r="G45" s="21"/>
      <c r="H45" s="582">
        <f>INSUMOS!E13</f>
        <v>7.81</v>
      </c>
      <c r="I45" s="583">
        <f>D45*H45</f>
        <v>78.099999999999994</v>
      </c>
    </row>
    <row r="46" spans="2:10" ht="15" customHeight="1" x14ac:dyDescent="0.2">
      <c r="B46" s="767"/>
      <c r="C46" s="767"/>
      <c r="D46" s="767"/>
      <c r="E46" s="767"/>
      <c r="F46" s="767"/>
      <c r="G46" s="767"/>
      <c r="H46" s="767"/>
      <c r="I46" s="30"/>
    </row>
    <row r="47" spans="2:10" ht="15" customHeight="1" x14ac:dyDescent="0.2">
      <c r="B47" s="713" t="s">
        <v>43</v>
      </c>
      <c r="C47" s="713"/>
      <c r="D47" s="713"/>
      <c r="E47" s="713"/>
      <c r="F47" s="713"/>
      <c r="G47" s="713"/>
      <c r="H47" s="713"/>
      <c r="I47" s="584">
        <f>SUM(I45:I46)</f>
        <v>78.099999999999994</v>
      </c>
    </row>
    <row r="48" spans="2:10" ht="15" customHeight="1" x14ac:dyDescent="0.2">
      <c r="B48" s="355" t="s">
        <v>49</v>
      </c>
      <c r="C48" s="277">
        <v>1</v>
      </c>
      <c r="D48" s="728" t="s">
        <v>50</v>
      </c>
      <c r="E48" s="728"/>
      <c r="F48" s="728"/>
      <c r="G48" s="728"/>
      <c r="H48" s="728"/>
      <c r="I48" s="584">
        <f>I47+I42+I38+I34</f>
        <v>494.5</v>
      </c>
    </row>
    <row r="49" spans="2:9" ht="15" customHeight="1" x14ac:dyDescent="0.2">
      <c r="B49" s="774"/>
      <c r="C49" s="775"/>
      <c r="D49" s="775"/>
      <c r="E49" s="775"/>
      <c r="F49" s="775"/>
      <c r="G49" s="775"/>
      <c r="H49" s="776"/>
      <c r="I49" s="584">
        <f>I48/C48</f>
        <v>494.5</v>
      </c>
    </row>
    <row r="50" spans="2:9" ht="15" customHeight="1" x14ac:dyDescent="0.2">
      <c r="B50" s="351" t="s">
        <v>135</v>
      </c>
      <c r="C50" s="520">
        <f>BDI!C$36</f>
        <v>25</v>
      </c>
      <c r="D50" s="352" t="s">
        <v>103</v>
      </c>
      <c r="E50" s="353"/>
      <c r="F50" s="353"/>
      <c r="G50" s="353"/>
      <c r="H50" s="354"/>
      <c r="I50" s="583">
        <f>C50/100*I49</f>
        <v>123.63</v>
      </c>
    </row>
    <row r="51" spans="2:9" s="47" customFormat="1" ht="18" customHeight="1" thickBot="1" x14ac:dyDescent="0.25">
      <c r="B51" s="708" t="s">
        <v>51</v>
      </c>
      <c r="C51" s="708"/>
      <c r="D51" s="708"/>
      <c r="E51" s="708"/>
      <c r="F51" s="708"/>
      <c r="G51" s="708"/>
      <c r="H51" s="708"/>
      <c r="I51" s="549">
        <f>SUM(I49:I50)</f>
        <v>618.13</v>
      </c>
    </row>
    <row r="52" spans="2:9" s="47" customFormat="1" ht="15" customHeight="1" thickBot="1" x14ac:dyDescent="0.25">
      <c r="B52" s="461"/>
      <c r="C52" s="461"/>
      <c r="D52" s="461"/>
      <c r="E52" s="461"/>
      <c r="F52" s="461"/>
      <c r="G52" s="461"/>
      <c r="H52" s="461"/>
      <c r="I52" s="429"/>
    </row>
    <row r="53" spans="2:9" s="47" customFormat="1" ht="30" customHeight="1" x14ac:dyDescent="0.2">
      <c r="B53" s="577" t="s">
        <v>361</v>
      </c>
      <c r="C53" s="578" t="s">
        <v>358</v>
      </c>
      <c r="D53" s="721" t="s">
        <v>30</v>
      </c>
      <c r="E53" s="721"/>
      <c r="F53" s="721"/>
      <c r="G53" s="721"/>
      <c r="H53" s="721"/>
      <c r="I53" s="721"/>
    </row>
    <row r="54" spans="2:9" s="47" customFormat="1" ht="18" customHeight="1" x14ac:dyDescent="0.2">
      <c r="B54" s="718" t="s">
        <v>134</v>
      </c>
      <c r="C54" s="719"/>
      <c r="D54" s="719"/>
      <c r="E54" s="719"/>
      <c r="F54" s="719"/>
      <c r="G54" s="720"/>
      <c r="H54" s="715" t="s">
        <v>572</v>
      </c>
      <c r="I54" s="716"/>
    </row>
    <row r="55" spans="2:9" s="47" customFormat="1" ht="20.25" customHeight="1" x14ac:dyDescent="0.2">
      <c r="B55" s="722" t="s">
        <v>525</v>
      </c>
      <c r="C55" s="722"/>
      <c r="D55" s="722"/>
      <c r="E55" s="722"/>
      <c r="F55" s="722"/>
      <c r="G55" s="722"/>
      <c r="H55" s="521" t="s">
        <v>31</v>
      </c>
      <c r="I55" s="522" t="s">
        <v>52</v>
      </c>
    </row>
    <row r="56" spans="2:9" s="47" customFormat="1" ht="16.5" customHeight="1" x14ac:dyDescent="0.2">
      <c r="B56" s="723" t="s">
        <v>32</v>
      </c>
      <c r="C56" s="723"/>
      <c r="D56" s="723"/>
      <c r="E56" s="723"/>
      <c r="F56" s="723"/>
      <c r="G56" s="723"/>
      <c r="H56" s="723"/>
      <c r="I56" s="723"/>
    </row>
    <row r="57" spans="2:9" s="47" customFormat="1" ht="30" customHeight="1" x14ac:dyDescent="0.2">
      <c r="B57" s="456" t="s">
        <v>33</v>
      </c>
      <c r="C57" s="26" t="s">
        <v>5</v>
      </c>
      <c r="D57" s="18" t="s">
        <v>6</v>
      </c>
      <c r="E57" s="18" t="s">
        <v>35</v>
      </c>
      <c r="F57" s="18" t="s">
        <v>36</v>
      </c>
      <c r="G57" s="14" t="s">
        <v>37</v>
      </c>
      <c r="H57" s="14" t="s">
        <v>38</v>
      </c>
      <c r="I57" s="32" t="s">
        <v>39</v>
      </c>
    </row>
    <row r="58" spans="2:9" s="47" customFormat="1" ht="18" customHeight="1" x14ac:dyDescent="0.2">
      <c r="B58" s="16"/>
      <c r="C58" s="480"/>
      <c r="D58" s="481"/>
      <c r="E58" s="482"/>
      <c r="F58" s="482"/>
      <c r="G58" s="24"/>
      <c r="H58" s="482"/>
      <c r="I58" s="36"/>
    </row>
    <row r="59" spans="2:9" s="47" customFormat="1" ht="16.5" customHeight="1" x14ac:dyDescent="0.2">
      <c r="B59" s="724" t="s">
        <v>43</v>
      </c>
      <c r="C59" s="724"/>
      <c r="D59" s="724"/>
      <c r="E59" s="724"/>
      <c r="F59" s="724"/>
      <c r="G59" s="724"/>
      <c r="H59" s="724"/>
      <c r="I59" s="460"/>
    </row>
    <row r="60" spans="2:9" s="47" customFormat="1" ht="18" customHeight="1" x14ac:dyDescent="0.2">
      <c r="B60" s="699" t="s">
        <v>44</v>
      </c>
      <c r="C60" s="699"/>
      <c r="D60" s="699"/>
      <c r="E60" s="699"/>
      <c r="F60" s="699"/>
      <c r="G60" s="699"/>
      <c r="H60" s="699"/>
      <c r="I60" s="699"/>
    </row>
    <row r="61" spans="2:9" s="47" customFormat="1" ht="22.5" customHeight="1" x14ac:dyDescent="0.2">
      <c r="B61" s="571" t="s">
        <v>33</v>
      </c>
      <c r="C61" s="26" t="s">
        <v>5</v>
      </c>
      <c r="D61" s="26" t="s">
        <v>6</v>
      </c>
      <c r="E61" s="523"/>
      <c r="F61" s="523"/>
      <c r="G61" s="523"/>
      <c r="H61" s="26" t="s">
        <v>45</v>
      </c>
      <c r="I61" s="535" t="s">
        <v>39</v>
      </c>
    </row>
    <row r="62" spans="2:9" s="47" customFormat="1" ht="19.5" customHeight="1" x14ac:dyDescent="0.2">
      <c r="B62" s="526" t="s">
        <v>524</v>
      </c>
      <c r="C62" s="527" t="s">
        <v>53</v>
      </c>
      <c r="D62" s="586">
        <v>0.11</v>
      </c>
      <c r="E62" s="528"/>
      <c r="F62" s="524"/>
      <c r="G62" s="524"/>
      <c r="H62" s="594">
        <f>INSUMOS!E30</f>
        <v>7.44</v>
      </c>
      <c r="I62" s="595">
        <f>H62*D62</f>
        <v>0.82</v>
      </c>
    </row>
    <row r="63" spans="2:9" s="47" customFormat="1" ht="24" customHeight="1" x14ac:dyDescent="0.2">
      <c r="B63" s="529" t="s">
        <v>609</v>
      </c>
      <c r="C63" s="26" t="s">
        <v>19</v>
      </c>
      <c r="D63" s="585">
        <v>4</v>
      </c>
      <c r="E63" s="587"/>
      <c r="F63" s="531"/>
      <c r="G63" s="531"/>
      <c r="H63" s="594">
        <f>INSUMOS!E114</f>
        <v>6.19</v>
      </c>
      <c r="I63" s="595">
        <f>D63*H63</f>
        <v>24.76</v>
      </c>
    </row>
    <row r="64" spans="2:9" s="47" customFormat="1" ht="24" customHeight="1" x14ac:dyDescent="0.2">
      <c r="B64" s="529" t="s">
        <v>608</v>
      </c>
      <c r="C64" s="532" t="s">
        <v>19</v>
      </c>
      <c r="D64" s="590">
        <v>1</v>
      </c>
      <c r="E64" s="588"/>
      <c r="F64" s="530"/>
      <c r="G64" s="531"/>
      <c r="H64" s="594">
        <f>INSUMOS!E115</f>
        <v>4.29</v>
      </c>
      <c r="I64" s="595">
        <f>D64*H64</f>
        <v>4.29</v>
      </c>
    </row>
    <row r="65" spans="2:9" s="47" customFormat="1" ht="24" customHeight="1" x14ac:dyDescent="0.2">
      <c r="B65" s="529" t="s">
        <v>610</v>
      </c>
      <c r="C65" s="532" t="s">
        <v>52</v>
      </c>
      <c r="D65" s="590">
        <v>1</v>
      </c>
      <c r="E65" s="589"/>
      <c r="F65" s="531"/>
      <c r="G65" s="531"/>
      <c r="H65" s="594">
        <f>INSUMOS!E116</f>
        <v>275</v>
      </c>
      <c r="I65" s="595">
        <f>D65*H65</f>
        <v>275</v>
      </c>
    </row>
    <row r="66" spans="2:9" s="47" customFormat="1" ht="21" customHeight="1" x14ac:dyDescent="0.2">
      <c r="B66" s="698" t="s">
        <v>43</v>
      </c>
      <c r="C66" s="698"/>
      <c r="D66" s="698"/>
      <c r="E66" s="698"/>
      <c r="F66" s="698"/>
      <c r="G66" s="698"/>
      <c r="H66" s="698"/>
      <c r="I66" s="595">
        <f>SUM(I62:I65)</f>
        <v>304.87</v>
      </c>
    </row>
    <row r="67" spans="2:9" s="47" customFormat="1" ht="18" customHeight="1" x14ac:dyDescent="0.2">
      <c r="B67" s="699" t="s">
        <v>46</v>
      </c>
      <c r="C67" s="699"/>
      <c r="D67" s="699"/>
      <c r="E67" s="699"/>
      <c r="F67" s="699"/>
      <c r="G67" s="699"/>
      <c r="H67" s="699"/>
      <c r="I67" s="699"/>
    </row>
    <row r="68" spans="2:9" s="47" customFormat="1" ht="30" customHeight="1" x14ac:dyDescent="0.2">
      <c r="B68" s="533" t="s">
        <v>33</v>
      </c>
      <c r="C68" s="26" t="s">
        <v>5</v>
      </c>
      <c r="D68" s="26" t="s">
        <v>6</v>
      </c>
      <c r="E68" s="531"/>
      <c r="F68" s="531"/>
      <c r="G68" s="531"/>
      <c r="H68" s="26" t="s">
        <v>45</v>
      </c>
      <c r="I68" s="535" t="s">
        <v>39</v>
      </c>
    </row>
    <row r="69" spans="2:9" s="47" customFormat="1" ht="29.25" customHeight="1" x14ac:dyDescent="0.2">
      <c r="B69" s="529" t="s">
        <v>611</v>
      </c>
      <c r="C69" s="27" t="s">
        <v>23</v>
      </c>
      <c r="D69" s="592">
        <v>0.01</v>
      </c>
      <c r="E69" s="27"/>
      <c r="F69" s="27"/>
      <c r="G69" s="27"/>
      <c r="H69" s="586">
        <f>I103</f>
        <v>207.43</v>
      </c>
      <c r="I69" s="595">
        <f>D69*H69</f>
        <v>2.0699999999999998</v>
      </c>
    </row>
    <row r="70" spans="2:9" s="47" customFormat="1" ht="21.75" customHeight="1" x14ac:dyDescent="0.2">
      <c r="B70" s="698" t="s">
        <v>43</v>
      </c>
      <c r="C70" s="698"/>
      <c r="D70" s="698"/>
      <c r="E70" s="698"/>
      <c r="F70" s="698"/>
      <c r="G70" s="698"/>
      <c r="H70" s="698"/>
      <c r="I70" s="595">
        <f>I69</f>
        <v>2.0699999999999998</v>
      </c>
    </row>
    <row r="71" spans="2:9" s="47" customFormat="1" ht="21.75" customHeight="1" x14ac:dyDescent="0.2">
      <c r="B71" s="699" t="s">
        <v>47</v>
      </c>
      <c r="C71" s="699"/>
      <c r="D71" s="699"/>
      <c r="E71" s="699"/>
      <c r="F71" s="699"/>
      <c r="G71" s="699"/>
      <c r="H71" s="699"/>
      <c r="I71" s="699"/>
    </row>
    <row r="72" spans="2:9" s="47" customFormat="1" ht="30" customHeight="1" x14ac:dyDescent="0.2">
      <c r="B72" s="534" t="s">
        <v>33</v>
      </c>
      <c r="C72" s="26" t="s">
        <v>5</v>
      </c>
      <c r="D72" s="26" t="s">
        <v>6</v>
      </c>
      <c r="E72" s="523"/>
      <c r="F72" s="523"/>
      <c r="G72" s="523"/>
      <c r="H72" s="26" t="s">
        <v>45</v>
      </c>
      <c r="I72" s="535" t="s">
        <v>39</v>
      </c>
    </row>
    <row r="73" spans="2:9" s="47" customFormat="1" ht="19.5" customHeight="1" x14ac:dyDescent="0.2">
      <c r="B73" s="537" t="s">
        <v>54</v>
      </c>
      <c r="C73" s="26" t="s">
        <v>41</v>
      </c>
      <c r="D73" s="585">
        <v>1</v>
      </c>
      <c r="E73" s="26"/>
      <c r="F73" s="26"/>
      <c r="G73" s="26"/>
      <c r="H73" s="594">
        <f>INSUMOS!E16</f>
        <v>10.37</v>
      </c>
      <c r="I73" s="595">
        <f>D73*H73</f>
        <v>10.37</v>
      </c>
    </row>
    <row r="74" spans="2:9" s="47" customFormat="1" ht="19.5" customHeight="1" x14ac:dyDescent="0.2">
      <c r="B74" s="537" t="s">
        <v>48</v>
      </c>
      <c r="C74" s="26" t="s">
        <v>41</v>
      </c>
      <c r="D74" s="586">
        <v>2</v>
      </c>
      <c r="E74" s="27"/>
      <c r="F74" s="27"/>
      <c r="G74" s="27"/>
      <c r="H74" s="594">
        <f>INSUMOS!E13</f>
        <v>7.81</v>
      </c>
      <c r="I74" s="595">
        <f>D74*H74</f>
        <v>15.62</v>
      </c>
    </row>
    <row r="75" spans="2:9" s="47" customFormat="1" ht="17.25" customHeight="1" x14ac:dyDescent="0.2">
      <c r="B75" s="698" t="s">
        <v>43</v>
      </c>
      <c r="C75" s="698"/>
      <c r="D75" s="698"/>
      <c r="E75" s="698"/>
      <c r="F75" s="698"/>
      <c r="G75" s="698"/>
      <c r="H75" s="698"/>
      <c r="I75" s="598">
        <f>SUM(I73:I74)</f>
        <v>25.99</v>
      </c>
    </row>
    <row r="76" spans="2:9" s="47" customFormat="1" ht="15.75" customHeight="1" x14ac:dyDescent="0.2">
      <c r="B76" s="57" t="s">
        <v>49</v>
      </c>
      <c r="C76" s="58">
        <v>1</v>
      </c>
      <c r="D76" s="700" t="s">
        <v>50</v>
      </c>
      <c r="E76" s="701"/>
      <c r="F76" s="701"/>
      <c r="G76" s="701"/>
      <c r="H76" s="702"/>
      <c r="I76" s="584">
        <f>I75+I70+I66+I59</f>
        <v>332.93</v>
      </c>
    </row>
    <row r="77" spans="2:9" s="47" customFormat="1" ht="12.75" customHeight="1" x14ac:dyDescent="0.2">
      <c r="B77" s="703"/>
      <c r="C77" s="704"/>
      <c r="D77" s="704"/>
      <c r="E77" s="704"/>
      <c r="F77" s="704"/>
      <c r="G77" s="704"/>
      <c r="H77" s="705"/>
      <c r="I77" s="584">
        <f>I76/C76</f>
        <v>332.93</v>
      </c>
    </row>
    <row r="78" spans="2:9" s="47" customFormat="1" ht="15.75" customHeight="1" x14ac:dyDescent="0.2">
      <c r="B78" s="53" t="s">
        <v>135</v>
      </c>
      <c r="C78" s="520">
        <f>BDI!C$36</f>
        <v>25</v>
      </c>
      <c r="D78" s="56" t="s">
        <v>103</v>
      </c>
      <c r="E78" s="51"/>
      <c r="F78" s="51"/>
      <c r="G78" s="51"/>
      <c r="H78" s="52"/>
      <c r="I78" s="583">
        <f>C78/100*I77</f>
        <v>83.23</v>
      </c>
    </row>
    <row r="79" spans="2:9" s="47" customFormat="1" ht="16.5" customHeight="1" thickBot="1" x14ac:dyDescent="0.25">
      <c r="B79" s="706" t="s">
        <v>51</v>
      </c>
      <c r="C79" s="706"/>
      <c r="D79" s="706"/>
      <c r="E79" s="706"/>
      <c r="F79" s="706"/>
      <c r="G79" s="706"/>
      <c r="H79" s="706"/>
      <c r="I79" s="549">
        <f>SUM(I77:I78)</f>
        <v>416.16</v>
      </c>
    </row>
    <row r="80" spans="2:9" s="47" customFormat="1" ht="16.5" customHeight="1" thickBot="1" x14ac:dyDescent="0.25">
      <c r="B80" s="591"/>
      <c r="C80" s="591"/>
      <c r="D80" s="591"/>
      <c r="E80" s="591"/>
      <c r="F80" s="591"/>
      <c r="G80" s="591"/>
      <c r="H80" s="591"/>
      <c r="I80" s="430"/>
    </row>
    <row r="81" spans="2:9" s="47" customFormat="1" ht="16.5" customHeight="1" x14ac:dyDescent="0.2">
      <c r="B81" s="577" t="s">
        <v>361</v>
      </c>
      <c r="C81" s="578" t="s">
        <v>612</v>
      </c>
      <c r="D81" s="721" t="s">
        <v>30</v>
      </c>
      <c r="E81" s="721"/>
      <c r="F81" s="721"/>
      <c r="G81" s="721"/>
      <c r="H81" s="721"/>
      <c r="I81" s="721"/>
    </row>
    <row r="82" spans="2:9" s="47" customFormat="1" ht="16.5" customHeight="1" x14ac:dyDescent="0.2">
      <c r="B82" s="718" t="s">
        <v>134</v>
      </c>
      <c r="C82" s="719"/>
      <c r="D82" s="719"/>
      <c r="E82" s="719"/>
      <c r="F82" s="719"/>
      <c r="G82" s="720"/>
      <c r="H82" s="715" t="s">
        <v>572</v>
      </c>
      <c r="I82" s="716"/>
    </row>
    <row r="83" spans="2:9" s="47" customFormat="1" ht="16.5" customHeight="1" x14ac:dyDescent="0.2">
      <c r="B83" s="722" t="s">
        <v>613</v>
      </c>
      <c r="C83" s="722"/>
      <c r="D83" s="722"/>
      <c r="E83" s="722"/>
      <c r="F83" s="722"/>
      <c r="G83" s="722"/>
      <c r="H83" s="521" t="s">
        <v>31</v>
      </c>
      <c r="I83" s="522" t="s">
        <v>23</v>
      </c>
    </row>
    <row r="84" spans="2:9" s="47" customFormat="1" ht="16.5" customHeight="1" x14ac:dyDescent="0.2">
      <c r="B84" s="723" t="s">
        <v>32</v>
      </c>
      <c r="C84" s="723"/>
      <c r="D84" s="723"/>
      <c r="E84" s="723"/>
      <c r="F84" s="723"/>
      <c r="G84" s="723"/>
      <c r="H84" s="723"/>
      <c r="I84" s="723"/>
    </row>
    <row r="85" spans="2:9" s="47" customFormat="1" ht="26.25" customHeight="1" x14ac:dyDescent="0.2">
      <c r="B85" s="456" t="s">
        <v>33</v>
      </c>
      <c r="C85" s="26" t="s">
        <v>5</v>
      </c>
      <c r="D85" s="18" t="s">
        <v>6</v>
      </c>
      <c r="E85" s="18" t="s">
        <v>35</v>
      </c>
      <c r="F85" s="18" t="s">
        <v>36</v>
      </c>
      <c r="G85" s="14" t="s">
        <v>37</v>
      </c>
      <c r="H85" s="14" t="s">
        <v>38</v>
      </c>
      <c r="I85" s="32" t="s">
        <v>39</v>
      </c>
    </row>
    <row r="86" spans="2:9" s="47" customFormat="1" ht="26.25" customHeight="1" x14ac:dyDescent="0.2">
      <c r="B86" s="529" t="s">
        <v>614</v>
      </c>
      <c r="C86" s="31" t="s">
        <v>41</v>
      </c>
      <c r="D86" s="593">
        <v>0.65</v>
      </c>
      <c r="E86" s="482"/>
      <c r="F86" s="482"/>
      <c r="G86" s="582">
        <f>INSUMOS!E44</f>
        <v>1.98</v>
      </c>
      <c r="H86" s="482"/>
      <c r="I86" s="583">
        <f>D86*G86</f>
        <v>1.29</v>
      </c>
    </row>
    <row r="87" spans="2:9" s="47" customFormat="1" ht="16.5" customHeight="1" x14ac:dyDescent="0.2">
      <c r="B87" s="724" t="s">
        <v>43</v>
      </c>
      <c r="C87" s="724"/>
      <c r="D87" s="724"/>
      <c r="E87" s="724"/>
      <c r="F87" s="724"/>
      <c r="G87" s="724"/>
      <c r="H87" s="724"/>
      <c r="I87" s="596">
        <f>SUM(I86)</f>
        <v>1.29</v>
      </c>
    </row>
    <row r="88" spans="2:9" s="47" customFormat="1" ht="16.5" customHeight="1" x14ac:dyDescent="0.2">
      <c r="B88" s="699" t="s">
        <v>44</v>
      </c>
      <c r="C88" s="699"/>
      <c r="D88" s="699"/>
      <c r="E88" s="699"/>
      <c r="F88" s="699"/>
      <c r="G88" s="699"/>
      <c r="H88" s="699"/>
      <c r="I88" s="699"/>
    </row>
    <row r="89" spans="2:9" s="47" customFormat="1" ht="16.5" customHeight="1" x14ac:dyDescent="0.2">
      <c r="B89" s="571" t="s">
        <v>33</v>
      </c>
      <c r="C89" s="26" t="s">
        <v>5</v>
      </c>
      <c r="D89" s="26" t="s">
        <v>6</v>
      </c>
      <c r="E89" s="523"/>
      <c r="F89" s="523"/>
      <c r="G89" s="523"/>
      <c r="H89" s="26" t="s">
        <v>45</v>
      </c>
      <c r="I89" s="535" t="s">
        <v>39</v>
      </c>
    </row>
    <row r="90" spans="2:9" s="47" customFormat="1" ht="16.5" customHeight="1" x14ac:dyDescent="0.2">
      <c r="B90" s="526" t="s">
        <v>556</v>
      </c>
      <c r="C90" s="527" t="s">
        <v>23</v>
      </c>
      <c r="D90" s="586">
        <v>0.49</v>
      </c>
      <c r="E90" s="528"/>
      <c r="F90" s="524"/>
      <c r="G90" s="524"/>
      <c r="H90" s="594">
        <f>INSUMOS!E38</f>
        <v>48</v>
      </c>
      <c r="I90" s="595">
        <f>H90*D90</f>
        <v>23.52</v>
      </c>
    </row>
    <row r="91" spans="2:9" s="47" customFormat="1" ht="16.5" customHeight="1" x14ac:dyDescent="0.2">
      <c r="B91" s="529" t="s">
        <v>615</v>
      </c>
      <c r="C91" s="26" t="s">
        <v>53</v>
      </c>
      <c r="D91" s="585">
        <v>150</v>
      </c>
      <c r="E91" s="587"/>
      <c r="F91" s="531"/>
      <c r="G91" s="531"/>
      <c r="H91" s="594">
        <f>INSUMOS!E34</f>
        <v>0.5</v>
      </c>
      <c r="I91" s="595">
        <f t="shared" ref="I91:I92" si="0">H91*D91</f>
        <v>75</v>
      </c>
    </row>
    <row r="92" spans="2:9" s="47" customFormat="1" ht="22.5" customHeight="1" x14ac:dyDescent="0.2">
      <c r="B92" s="529" t="s">
        <v>558</v>
      </c>
      <c r="C92" s="532" t="s">
        <v>23</v>
      </c>
      <c r="D92" s="590">
        <v>0.98</v>
      </c>
      <c r="E92" s="588"/>
      <c r="F92" s="530"/>
      <c r="G92" s="531"/>
      <c r="H92" s="594">
        <f>INSUMOS!E36</f>
        <v>62</v>
      </c>
      <c r="I92" s="595">
        <f t="shared" si="0"/>
        <v>60.76</v>
      </c>
    </row>
    <row r="93" spans="2:9" s="47" customFormat="1" ht="16.5" customHeight="1" x14ac:dyDescent="0.2">
      <c r="B93" s="698" t="s">
        <v>43</v>
      </c>
      <c r="C93" s="698"/>
      <c r="D93" s="698"/>
      <c r="E93" s="698"/>
      <c r="F93" s="698"/>
      <c r="G93" s="698"/>
      <c r="H93" s="698"/>
      <c r="I93" s="596">
        <f>SUM(I90:I92)</f>
        <v>159.28</v>
      </c>
    </row>
    <row r="94" spans="2:9" s="47" customFormat="1" ht="16.5" customHeight="1" x14ac:dyDescent="0.2">
      <c r="B94" s="699" t="s">
        <v>46</v>
      </c>
      <c r="C94" s="699"/>
      <c r="D94" s="699"/>
      <c r="E94" s="699"/>
      <c r="F94" s="699"/>
      <c r="G94" s="699"/>
      <c r="H94" s="699"/>
      <c r="I94" s="699"/>
    </row>
    <row r="95" spans="2:9" s="47" customFormat="1" ht="16.5" customHeight="1" x14ac:dyDescent="0.2">
      <c r="B95" s="533" t="s">
        <v>33</v>
      </c>
      <c r="C95" s="26" t="s">
        <v>5</v>
      </c>
      <c r="D95" s="26" t="s">
        <v>6</v>
      </c>
      <c r="E95" s="531"/>
      <c r="F95" s="531"/>
      <c r="G95" s="531"/>
      <c r="H95" s="26" t="s">
        <v>45</v>
      </c>
      <c r="I95" s="535" t="s">
        <v>39</v>
      </c>
    </row>
    <row r="96" spans="2:9" s="47" customFormat="1" ht="16.5" customHeight="1" x14ac:dyDescent="0.2">
      <c r="B96" s="529"/>
      <c r="C96" s="27"/>
      <c r="D96" s="536"/>
      <c r="E96" s="27"/>
      <c r="F96" s="27"/>
      <c r="G96" s="27"/>
      <c r="H96" s="27"/>
      <c r="I96" s="525"/>
    </row>
    <row r="97" spans="2:11" s="47" customFormat="1" ht="16.5" customHeight="1" x14ac:dyDescent="0.2">
      <c r="B97" s="698" t="s">
        <v>43</v>
      </c>
      <c r="C97" s="698"/>
      <c r="D97" s="698"/>
      <c r="E97" s="698"/>
      <c r="F97" s="698"/>
      <c r="G97" s="698"/>
      <c r="H97" s="698"/>
      <c r="I97" s="535"/>
    </row>
    <row r="98" spans="2:11" s="47" customFormat="1" ht="16.5" customHeight="1" x14ac:dyDescent="0.2">
      <c r="B98" s="699" t="s">
        <v>47</v>
      </c>
      <c r="C98" s="699"/>
      <c r="D98" s="699"/>
      <c r="E98" s="699"/>
      <c r="F98" s="699"/>
      <c r="G98" s="699"/>
      <c r="H98" s="699"/>
      <c r="I98" s="699"/>
    </row>
    <row r="99" spans="2:11" s="47" customFormat="1" ht="16.5" customHeight="1" x14ac:dyDescent="0.2">
      <c r="B99" s="534" t="s">
        <v>33</v>
      </c>
      <c r="C99" s="26" t="s">
        <v>5</v>
      </c>
      <c r="D99" s="26" t="s">
        <v>6</v>
      </c>
      <c r="E99" s="523"/>
      <c r="F99" s="523"/>
      <c r="G99" s="523"/>
      <c r="H99" s="26" t="s">
        <v>45</v>
      </c>
      <c r="I99" s="535" t="s">
        <v>39</v>
      </c>
    </row>
    <row r="100" spans="2:11" s="47" customFormat="1" ht="16.5" customHeight="1" x14ac:dyDescent="0.2">
      <c r="B100" s="537" t="s">
        <v>48</v>
      </c>
      <c r="C100" s="26" t="s">
        <v>41</v>
      </c>
      <c r="D100" s="586">
        <v>6</v>
      </c>
      <c r="E100" s="27"/>
      <c r="F100" s="27"/>
      <c r="G100" s="27"/>
      <c r="H100" s="594">
        <f>INSUMOS!E13</f>
        <v>7.81</v>
      </c>
      <c r="I100" s="595">
        <f>D100*H100</f>
        <v>46.86</v>
      </c>
    </row>
    <row r="101" spans="2:11" s="47" customFormat="1" ht="16.5" customHeight="1" x14ac:dyDescent="0.2">
      <c r="B101" s="698" t="s">
        <v>43</v>
      </c>
      <c r="C101" s="698"/>
      <c r="D101" s="698"/>
      <c r="E101" s="698"/>
      <c r="F101" s="698"/>
      <c r="G101" s="698"/>
      <c r="H101" s="698"/>
      <c r="I101" s="597">
        <f>SUM(I100:I100)</f>
        <v>46.86</v>
      </c>
    </row>
    <row r="102" spans="2:11" s="47" customFormat="1" ht="16.5" customHeight="1" x14ac:dyDescent="0.2">
      <c r="B102" s="57" t="s">
        <v>49</v>
      </c>
      <c r="C102" s="58">
        <v>1</v>
      </c>
      <c r="D102" s="700" t="s">
        <v>50</v>
      </c>
      <c r="E102" s="701"/>
      <c r="F102" s="701"/>
      <c r="G102" s="701"/>
      <c r="H102" s="702"/>
      <c r="I102" s="584">
        <f>I101+I97+I93+I87</f>
        <v>207.43</v>
      </c>
    </row>
    <row r="103" spans="2:11" s="47" customFormat="1" ht="16.5" customHeight="1" x14ac:dyDescent="0.2">
      <c r="B103" s="703"/>
      <c r="C103" s="704"/>
      <c r="D103" s="704"/>
      <c r="E103" s="704"/>
      <c r="F103" s="704"/>
      <c r="G103" s="704"/>
      <c r="H103" s="705"/>
      <c r="I103" s="584">
        <f>I102/C102</f>
        <v>207.43</v>
      </c>
    </row>
    <row r="104" spans="2:11" s="47" customFormat="1" ht="16.5" customHeight="1" x14ac:dyDescent="0.2">
      <c r="B104" s="53" t="s">
        <v>135</v>
      </c>
      <c r="C104" s="520">
        <f>BDI!C$36</f>
        <v>25</v>
      </c>
      <c r="D104" s="56" t="s">
        <v>103</v>
      </c>
      <c r="E104" s="51"/>
      <c r="F104" s="51"/>
      <c r="G104" s="51"/>
      <c r="H104" s="52"/>
      <c r="I104" s="583">
        <f>C104/100*I103</f>
        <v>51.86</v>
      </c>
    </row>
    <row r="105" spans="2:11" s="47" customFormat="1" ht="16.5" customHeight="1" thickBot="1" x14ac:dyDescent="0.25">
      <c r="B105" s="706" t="s">
        <v>51</v>
      </c>
      <c r="C105" s="706"/>
      <c r="D105" s="706"/>
      <c r="E105" s="706"/>
      <c r="F105" s="706"/>
      <c r="G105" s="706"/>
      <c r="H105" s="706"/>
      <c r="I105" s="549">
        <f>SUM(I103:I104)</f>
        <v>259.29000000000002</v>
      </c>
    </row>
    <row r="106" spans="2:11" s="47" customFormat="1" ht="16.5" customHeight="1" x14ac:dyDescent="0.2">
      <c r="B106" s="591"/>
      <c r="C106" s="591"/>
      <c r="D106" s="591"/>
      <c r="E106" s="591"/>
      <c r="F106" s="591"/>
      <c r="G106" s="591"/>
      <c r="H106" s="591"/>
      <c r="I106" s="430"/>
    </row>
    <row r="107" spans="2:11" ht="13.5" thickBot="1" x14ac:dyDescent="0.25">
      <c r="B107" s="23"/>
      <c r="C107" s="48"/>
      <c r="D107" s="48"/>
      <c r="E107" s="23"/>
      <c r="F107" s="23"/>
      <c r="G107" s="23"/>
      <c r="H107" s="23"/>
      <c r="I107" s="49"/>
      <c r="K107" s="47"/>
    </row>
    <row r="108" spans="2:11" ht="15.75" x14ac:dyDescent="0.2">
      <c r="B108" s="577" t="s">
        <v>361</v>
      </c>
      <c r="C108" s="578" t="s">
        <v>438</v>
      </c>
      <c r="D108" s="714" t="s">
        <v>30</v>
      </c>
      <c r="E108" s="714"/>
      <c r="F108" s="714"/>
      <c r="G108" s="714"/>
      <c r="H108" s="714"/>
      <c r="I108" s="714"/>
      <c r="K108" s="47"/>
    </row>
    <row r="109" spans="2:11" x14ac:dyDescent="0.2">
      <c r="B109" s="718" t="s">
        <v>134</v>
      </c>
      <c r="C109" s="719"/>
      <c r="D109" s="719"/>
      <c r="E109" s="719"/>
      <c r="F109" s="719"/>
      <c r="G109" s="720"/>
      <c r="H109" s="715" t="s">
        <v>572</v>
      </c>
      <c r="I109" s="716"/>
    </row>
    <row r="110" spans="2:11" x14ac:dyDescent="0.2">
      <c r="B110" s="766" t="s">
        <v>573</v>
      </c>
      <c r="C110" s="766"/>
      <c r="D110" s="766"/>
      <c r="E110" s="766"/>
      <c r="F110" s="766"/>
      <c r="G110" s="766"/>
      <c r="H110" s="12" t="s">
        <v>31</v>
      </c>
      <c r="I110" s="46" t="s">
        <v>143</v>
      </c>
    </row>
    <row r="111" spans="2:11" x14ac:dyDescent="0.2">
      <c r="B111" s="723" t="s">
        <v>32</v>
      </c>
      <c r="C111" s="723"/>
      <c r="D111" s="723"/>
      <c r="E111" s="723"/>
      <c r="F111" s="723"/>
      <c r="G111" s="723"/>
      <c r="H111" s="723"/>
      <c r="I111" s="723"/>
    </row>
    <row r="112" spans="2:11" ht="25.5" x14ac:dyDescent="0.2">
      <c r="B112" s="456" t="s">
        <v>33</v>
      </c>
      <c r="C112" s="26" t="s">
        <v>5</v>
      </c>
      <c r="D112" s="18" t="s">
        <v>6</v>
      </c>
      <c r="E112" s="18" t="s">
        <v>35</v>
      </c>
      <c r="F112" s="18" t="s">
        <v>36</v>
      </c>
      <c r="G112" s="14" t="s">
        <v>37</v>
      </c>
      <c r="H112" s="14" t="s">
        <v>38</v>
      </c>
      <c r="I112" s="32" t="s">
        <v>39</v>
      </c>
    </row>
    <row r="113" spans="2:9" x14ac:dyDescent="0.2">
      <c r="B113" s="423" t="s">
        <v>607</v>
      </c>
      <c r="C113" s="28" t="s">
        <v>13</v>
      </c>
      <c r="D113" s="622">
        <v>0.5</v>
      </c>
      <c r="E113" s="20">
        <v>1</v>
      </c>
      <c r="F113" s="20"/>
      <c r="G113" s="562">
        <f>Veiculo!D46</f>
        <v>2440.71</v>
      </c>
      <c r="H113" s="20"/>
      <c r="I113" s="583">
        <f>D113*E113*G113+D113*F113*H113</f>
        <v>1220.3599999999999</v>
      </c>
    </row>
    <row r="114" spans="2:9" x14ac:dyDescent="0.2">
      <c r="B114" s="724" t="s">
        <v>43</v>
      </c>
      <c r="C114" s="724"/>
      <c r="D114" s="724"/>
      <c r="E114" s="724"/>
      <c r="F114" s="724"/>
      <c r="G114" s="724"/>
      <c r="H114" s="724"/>
      <c r="I114" s="599">
        <f>SUM(I113:I113)</f>
        <v>1220.3599999999999</v>
      </c>
    </row>
    <row r="115" spans="2:9" x14ac:dyDescent="0.2">
      <c r="B115" s="723" t="s">
        <v>44</v>
      </c>
      <c r="C115" s="723"/>
      <c r="D115" s="723"/>
      <c r="E115" s="723"/>
      <c r="F115" s="723"/>
      <c r="G115" s="723"/>
      <c r="H115" s="723"/>
      <c r="I115" s="723"/>
    </row>
    <row r="116" spans="2:9" x14ac:dyDescent="0.2">
      <c r="B116" s="456" t="s">
        <v>33</v>
      </c>
      <c r="C116" s="26" t="s">
        <v>5</v>
      </c>
      <c r="D116" s="18" t="s">
        <v>6</v>
      </c>
      <c r="E116" s="198"/>
      <c r="F116" s="198"/>
      <c r="G116" s="198"/>
      <c r="H116" s="18" t="s">
        <v>45</v>
      </c>
      <c r="I116" s="32" t="s">
        <v>39</v>
      </c>
    </row>
    <row r="117" spans="2:9" x14ac:dyDescent="0.2">
      <c r="B117" s="207" t="s">
        <v>628</v>
      </c>
      <c r="C117" s="55" t="s">
        <v>143</v>
      </c>
      <c r="D117" s="582">
        <v>1</v>
      </c>
      <c r="E117" s="426"/>
      <c r="F117" s="426"/>
      <c r="G117" s="426"/>
      <c r="H117" s="562">
        <v>50</v>
      </c>
      <c r="I117" s="583">
        <f>H117*D117</f>
        <v>50</v>
      </c>
    </row>
    <row r="118" spans="2:9" x14ac:dyDescent="0.2">
      <c r="B118" s="756" t="s">
        <v>43</v>
      </c>
      <c r="C118" s="756"/>
      <c r="D118" s="756"/>
      <c r="E118" s="756"/>
      <c r="F118" s="756"/>
      <c r="G118" s="756"/>
      <c r="H118" s="756"/>
      <c r="I118" s="583">
        <f>SUM(I117:I117)</f>
        <v>50</v>
      </c>
    </row>
    <row r="119" spans="2:9" x14ac:dyDescent="0.2">
      <c r="B119" s="723" t="s">
        <v>46</v>
      </c>
      <c r="C119" s="723"/>
      <c r="D119" s="723"/>
      <c r="E119" s="723"/>
      <c r="F119" s="723"/>
      <c r="G119" s="723"/>
      <c r="H119" s="723"/>
      <c r="I119" s="723"/>
    </row>
    <row r="120" spans="2:9" x14ac:dyDescent="0.2">
      <c r="B120" s="17" t="s">
        <v>33</v>
      </c>
      <c r="C120" s="457" t="s">
        <v>5</v>
      </c>
      <c r="D120" s="18" t="s">
        <v>6</v>
      </c>
      <c r="E120" s="198"/>
      <c r="F120" s="198"/>
      <c r="G120" s="198"/>
      <c r="H120" s="18" t="s">
        <v>45</v>
      </c>
      <c r="I120" s="458" t="s">
        <v>39</v>
      </c>
    </row>
    <row r="121" spans="2:9" x14ac:dyDescent="0.2">
      <c r="B121" s="19"/>
      <c r="C121" s="18"/>
      <c r="D121" s="18"/>
      <c r="E121" s="198"/>
      <c r="F121" s="198"/>
      <c r="G121" s="198"/>
      <c r="H121" s="18"/>
      <c r="I121" s="458"/>
    </row>
    <row r="122" spans="2:9" x14ac:dyDescent="0.2">
      <c r="B122" s="756" t="s">
        <v>43</v>
      </c>
      <c r="C122" s="756"/>
      <c r="D122" s="756"/>
      <c r="E122" s="756"/>
      <c r="F122" s="756"/>
      <c r="G122" s="756"/>
      <c r="H122" s="756"/>
      <c r="I122" s="458"/>
    </row>
    <row r="123" spans="2:9" x14ac:dyDescent="0.2">
      <c r="B123" s="723" t="s">
        <v>47</v>
      </c>
      <c r="C123" s="723"/>
      <c r="D123" s="723"/>
      <c r="E123" s="723"/>
      <c r="F123" s="723"/>
      <c r="G123" s="723"/>
      <c r="H123" s="723"/>
      <c r="I123" s="723"/>
    </row>
    <row r="124" spans="2:9" x14ac:dyDescent="0.2">
      <c r="B124" s="456" t="s">
        <v>33</v>
      </c>
      <c r="C124" s="26" t="s">
        <v>5</v>
      </c>
      <c r="D124" s="18" t="s">
        <v>6</v>
      </c>
      <c r="E124" s="198"/>
      <c r="F124" s="198"/>
      <c r="G124" s="198"/>
      <c r="H124" s="18" t="s">
        <v>45</v>
      </c>
      <c r="I124" s="32" t="s">
        <v>39</v>
      </c>
    </row>
    <row r="125" spans="2:9" x14ac:dyDescent="0.2">
      <c r="B125" s="459" t="s">
        <v>57</v>
      </c>
      <c r="C125" s="18" t="s">
        <v>41</v>
      </c>
      <c r="D125" s="620">
        <v>32</v>
      </c>
      <c r="E125" s="198"/>
      <c r="F125" s="198"/>
      <c r="G125" s="198"/>
      <c r="H125" s="562">
        <f>INSUMOS!E11</f>
        <v>72.75</v>
      </c>
      <c r="I125" s="583">
        <f>D125*H125</f>
        <v>2328</v>
      </c>
    </row>
    <row r="126" spans="2:9" x14ac:dyDescent="0.2">
      <c r="B126" s="756" t="s">
        <v>43</v>
      </c>
      <c r="C126" s="756"/>
      <c r="D126" s="756"/>
      <c r="E126" s="756"/>
      <c r="F126" s="756"/>
      <c r="G126" s="756"/>
      <c r="H126" s="756"/>
      <c r="I126" s="600">
        <f>SUM(I125:I125)</f>
        <v>2328</v>
      </c>
    </row>
    <row r="127" spans="2:9" x14ac:dyDescent="0.2">
      <c r="B127" s="57" t="s">
        <v>49</v>
      </c>
      <c r="C127" s="58">
        <v>1</v>
      </c>
      <c r="D127" s="827" t="s">
        <v>50</v>
      </c>
      <c r="E127" s="827"/>
      <c r="F127" s="827"/>
      <c r="G127" s="827"/>
      <c r="H127" s="827"/>
      <c r="I127" s="600">
        <f>I126+I122+I118+I114</f>
        <v>3598.36</v>
      </c>
    </row>
    <row r="128" spans="2:9" x14ac:dyDescent="0.2">
      <c r="B128" s="828"/>
      <c r="C128" s="829"/>
      <c r="D128" s="829"/>
      <c r="E128" s="829"/>
      <c r="F128" s="829"/>
      <c r="G128" s="829"/>
      <c r="H128" s="830"/>
      <c r="I128" s="600">
        <f>I127/C127</f>
        <v>3598.36</v>
      </c>
    </row>
    <row r="129" spans="2:11" x14ac:dyDescent="0.2">
      <c r="B129" s="53" t="s">
        <v>135</v>
      </c>
      <c r="C129" s="520">
        <f>BDI!C$36</f>
        <v>25</v>
      </c>
      <c r="D129" s="56" t="s">
        <v>103</v>
      </c>
      <c r="E129" s="51"/>
      <c r="F129" s="51"/>
      <c r="G129" s="51"/>
      <c r="H129" s="52"/>
      <c r="I129" s="601">
        <f>C129/100*I128</f>
        <v>899.59</v>
      </c>
    </row>
    <row r="130" spans="2:11" ht="13.5" thickBot="1" x14ac:dyDescent="0.25">
      <c r="B130" s="824" t="s">
        <v>629</v>
      </c>
      <c r="C130" s="825"/>
      <c r="D130" s="825"/>
      <c r="E130" s="825"/>
      <c r="F130" s="825"/>
      <c r="G130" s="825"/>
      <c r="H130" s="826"/>
      <c r="I130" s="662">
        <f>SUM(I128:I129)</f>
        <v>4497.95</v>
      </c>
    </row>
    <row r="131" spans="2:11" x14ac:dyDescent="0.2">
      <c r="B131" s="707" t="s">
        <v>630</v>
      </c>
      <c r="C131" s="707"/>
      <c r="D131" s="707"/>
      <c r="E131" s="707"/>
      <c r="F131" s="707"/>
      <c r="G131" s="707"/>
      <c r="H131" s="707"/>
      <c r="I131" s="520">
        <v>3</v>
      </c>
    </row>
    <row r="132" spans="2:11" ht="13.5" thickBot="1" x14ac:dyDescent="0.25">
      <c r="B132" s="708" t="s">
        <v>51</v>
      </c>
      <c r="C132" s="708"/>
      <c r="D132" s="708"/>
      <c r="E132" s="708"/>
      <c r="F132" s="708"/>
      <c r="G132" s="708"/>
      <c r="H132" s="708"/>
      <c r="I132" s="663">
        <f>I130*I131</f>
        <v>13493.85</v>
      </c>
    </row>
    <row r="133" spans="2:11" ht="13.5" thickBot="1" x14ac:dyDescent="0.25">
      <c r="B133" s="23"/>
      <c r="C133" s="48"/>
      <c r="D133" s="48"/>
      <c r="E133" s="23"/>
      <c r="F133" s="23"/>
      <c r="G133" s="23"/>
      <c r="H133" s="23"/>
      <c r="I133" s="49"/>
    </row>
    <row r="134" spans="2:11" s="47" customFormat="1" ht="30" customHeight="1" x14ac:dyDescent="0.2">
      <c r="B134" s="577" t="s">
        <v>361</v>
      </c>
      <c r="C134" s="578" t="s">
        <v>579</v>
      </c>
      <c r="D134" s="714" t="s">
        <v>30</v>
      </c>
      <c r="E134" s="714"/>
      <c r="F134" s="714"/>
      <c r="G134" s="714"/>
      <c r="H134" s="714"/>
      <c r="I134" s="714"/>
      <c r="K134" s="11"/>
    </row>
    <row r="135" spans="2:11" s="47" customFormat="1" ht="21" customHeight="1" x14ac:dyDescent="0.2">
      <c r="B135" s="718" t="s">
        <v>134</v>
      </c>
      <c r="C135" s="719"/>
      <c r="D135" s="719"/>
      <c r="E135" s="719"/>
      <c r="F135" s="719"/>
      <c r="G135" s="720"/>
      <c r="H135" s="715" t="s">
        <v>572</v>
      </c>
      <c r="I135" s="716"/>
      <c r="K135" s="11"/>
    </row>
    <row r="136" spans="2:11" s="47" customFormat="1" ht="18" customHeight="1" x14ac:dyDescent="0.2">
      <c r="B136" s="717" t="s">
        <v>324</v>
      </c>
      <c r="C136" s="717"/>
      <c r="D136" s="717"/>
      <c r="E136" s="717"/>
      <c r="F136" s="717"/>
      <c r="G136" s="717"/>
      <c r="H136" s="12" t="s">
        <v>31</v>
      </c>
      <c r="I136" s="46" t="s">
        <v>143</v>
      </c>
    </row>
    <row r="137" spans="2:11" s="47" customFormat="1" ht="21.75" customHeight="1" x14ac:dyDescent="0.2">
      <c r="B137" s="723" t="s">
        <v>32</v>
      </c>
      <c r="C137" s="723"/>
      <c r="D137" s="723"/>
      <c r="E137" s="723"/>
      <c r="F137" s="723"/>
      <c r="G137" s="723"/>
      <c r="H137" s="723"/>
      <c r="I137" s="723"/>
    </row>
    <row r="138" spans="2:11" ht="25.5" x14ac:dyDescent="0.2">
      <c r="B138" s="349" t="s">
        <v>33</v>
      </c>
      <c r="C138" s="27" t="s">
        <v>5</v>
      </c>
      <c r="D138" s="20" t="s">
        <v>6</v>
      </c>
      <c r="E138" s="20" t="s">
        <v>35</v>
      </c>
      <c r="F138" s="20" t="s">
        <v>36</v>
      </c>
      <c r="G138" s="346" t="s">
        <v>37</v>
      </c>
      <c r="H138" s="346" t="s">
        <v>38</v>
      </c>
      <c r="I138" s="30" t="s">
        <v>39</v>
      </c>
      <c r="K138" s="47"/>
    </row>
    <row r="139" spans="2:11" ht="12.95" customHeight="1" x14ac:dyDescent="0.2">
      <c r="B139" s="45" t="s">
        <v>144</v>
      </c>
      <c r="C139" s="28" t="s">
        <v>41</v>
      </c>
      <c r="D139" s="622">
        <v>5</v>
      </c>
      <c r="E139" s="20">
        <v>1</v>
      </c>
      <c r="F139" s="20"/>
      <c r="G139" s="582">
        <f>INSUMOS!E61</f>
        <v>3.17</v>
      </c>
      <c r="H139" s="20"/>
      <c r="I139" s="583">
        <f>D139*E139*G139+D139*F139*H139</f>
        <v>15.85</v>
      </c>
      <c r="K139" s="47"/>
    </row>
    <row r="140" spans="2:11" ht="12.75" customHeight="1" x14ac:dyDescent="0.2">
      <c r="B140" s="35" t="s">
        <v>42</v>
      </c>
      <c r="C140" s="34" t="s">
        <v>41</v>
      </c>
      <c r="D140" s="632">
        <v>5</v>
      </c>
      <c r="E140" s="24">
        <v>1</v>
      </c>
      <c r="F140" s="24"/>
      <c r="G140" s="582">
        <f>INSUMOS!E54</f>
        <v>15.78</v>
      </c>
      <c r="H140" s="20"/>
      <c r="I140" s="583">
        <f>D140*E140*G140+D140*F140*H140</f>
        <v>78.900000000000006</v>
      </c>
    </row>
    <row r="141" spans="2:11" s="47" customFormat="1" ht="19.5" customHeight="1" x14ac:dyDescent="0.2">
      <c r="B141" s="773" t="s">
        <v>43</v>
      </c>
      <c r="C141" s="773"/>
      <c r="D141" s="773"/>
      <c r="E141" s="773"/>
      <c r="F141" s="773"/>
      <c r="G141" s="773"/>
      <c r="H141" s="773"/>
      <c r="I141" s="584">
        <f>SUM(I139:I140)</f>
        <v>94.75</v>
      </c>
      <c r="K141" s="11"/>
    </row>
    <row r="142" spans="2:11" x14ac:dyDescent="0.2">
      <c r="B142" s="723" t="s">
        <v>44</v>
      </c>
      <c r="C142" s="723"/>
      <c r="D142" s="723"/>
      <c r="E142" s="723"/>
      <c r="F142" s="723"/>
      <c r="G142" s="723"/>
      <c r="H142" s="723"/>
      <c r="I142" s="723"/>
    </row>
    <row r="143" spans="2:11" ht="16.5" customHeight="1" x14ac:dyDescent="0.2">
      <c r="B143" s="345" t="s">
        <v>33</v>
      </c>
      <c r="C143" s="356" t="s">
        <v>5</v>
      </c>
      <c r="D143" s="24" t="s">
        <v>6</v>
      </c>
      <c r="E143" s="25"/>
      <c r="F143" s="25"/>
      <c r="G143" s="25"/>
      <c r="H143" s="24" t="s">
        <v>45</v>
      </c>
      <c r="I143" s="36" t="s">
        <v>39</v>
      </c>
      <c r="J143" s="22"/>
      <c r="K143" s="47"/>
    </row>
    <row r="144" spans="2:11" ht="15" customHeight="1" x14ac:dyDescent="0.2">
      <c r="B144" s="35" t="s">
        <v>55</v>
      </c>
      <c r="C144" s="28" t="s">
        <v>56</v>
      </c>
      <c r="D144" s="622">
        <v>20</v>
      </c>
      <c r="E144" s="20"/>
      <c r="F144" s="20"/>
      <c r="G144" s="20"/>
      <c r="H144" s="582">
        <f>INSUMOS!E78</f>
        <v>3.44</v>
      </c>
      <c r="I144" s="583">
        <f>H144*D144</f>
        <v>68.8</v>
      </c>
      <c r="J144" s="22"/>
    </row>
    <row r="145" spans="2:11" ht="16.5" customHeight="1" x14ac:dyDescent="0.2">
      <c r="B145" s="713" t="s">
        <v>43</v>
      </c>
      <c r="C145" s="713"/>
      <c r="D145" s="713"/>
      <c r="E145" s="713"/>
      <c r="F145" s="713"/>
      <c r="G145" s="713"/>
      <c r="H145" s="713"/>
      <c r="I145" s="583">
        <f>SUM(I144:I144)</f>
        <v>68.8</v>
      </c>
    </row>
    <row r="146" spans="2:11" ht="15" customHeight="1" x14ac:dyDescent="0.2">
      <c r="B146" s="723" t="s">
        <v>46</v>
      </c>
      <c r="C146" s="723"/>
      <c r="D146" s="723"/>
      <c r="E146" s="723"/>
      <c r="F146" s="723"/>
      <c r="G146" s="723"/>
      <c r="H146" s="723"/>
      <c r="I146" s="723"/>
    </row>
    <row r="147" spans="2:11" x14ac:dyDescent="0.2">
      <c r="B147" s="348" t="s">
        <v>33</v>
      </c>
      <c r="C147" s="356" t="s">
        <v>5</v>
      </c>
      <c r="D147" s="20" t="s">
        <v>6</v>
      </c>
      <c r="E147" s="21"/>
      <c r="F147" s="21"/>
      <c r="G147" s="21"/>
      <c r="H147" s="20" t="s">
        <v>45</v>
      </c>
      <c r="I147" s="36" t="s">
        <v>39</v>
      </c>
    </row>
    <row r="148" spans="2:11" s="47" customFormat="1" ht="18" customHeight="1" x14ac:dyDescent="0.2">
      <c r="B148" s="19"/>
      <c r="C148" s="20"/>
      <c r="D148" s="20"/>
      <c r="E148" s="21"/>
      <c r="F148" s="21"/>
      <c r="G148" s="21"/>
      <c r="H148" s="20"/>
      <c r="I148" s="30"/>
      <c r="K148" s="11"/>
    </row>
    <row r="149" spans="2:11" x14ac:dyDescent="0.2">
      <c r="B149" s="713" t="s">
        <v>43</v>
      </c>
      <c r="C149" s="713"/>
      <c r="D149" s="713"/>
      <c r="E149" s="713"/>
      <c r="F149" s="713"/>
      <c r="G149" s="713"/>
      <c r="H149" s="713"/>
      <c r="I149" s="30"/>
    </row>
    <row r="150" spans="2:11" x14ac:dyDescent="0.2">
      <c r="B150" s="723" t="s">
        <v>47</v>
      </c>
      <c r="C150" s="723"/>
      <c r="D150" s="723"/>
      <c r="E150" s="723"/>
      <c r="F150" s="723"/>
      <c r="G150" s="723"/>
      <c r="H150" s="723"/>
      <c r="I150" s="723"/>
      <c r="J150" s="22"/>
      <c r="K150" s="47"/>
    </row>
    <row r="151" spans="2:11" x14ac:dyDescent="0.2">
      <c r="B151" s="345" t="s">
        <v>33</v>
      </c>
      <c r="C151" s="357" t="s">
        <v>5</v>
      </c>
      <c r="D151" s="24" t="s">
        <v>6</v>
      </c>
      <c r="E151" s="25"/>
      <c r="F151" s="25"/>
      <c r="G151" s="25"/>
      <c r="H151" s="24" t="s">
        <v>45</v>
      </c>
      <c r="I151" s="36" t="s">
        <v>39</v>
      </c>
    </row>
    <row r="152" spans="2:11" s="47" customFormat="1" ht="19.5" customHeight="1" x14ac:dyDescent="0.2">
      <c r="B152" s="207" t="s">
        <v>57</v>
      </c>
      <c r="C152" s="27" t="s">
        <v>41</v>
      </c>
      <c r="D152" s="582">
        <v>5</v>
      </c>
      <c r="E152" s="21"/>
      <c r="F152" s="21"/>
      <c r="G152" s="21"/>
      <c r="H152" s="582">
        <f>INSUMOS!E11</f>
        <v>72.75</v>
      </c>
      <c r="I152" s="583">
        <f>H152*D152</f>
        <v>363.75</v>
      </c>
      <c r="K152" s="11"/>
    </row>
    <row r="153" spans="2:11" x14ac:dyDescent="0.2">
      <c r="B153" s="207" t="s">
        <v>48</v>
      </c>
      <c r="C153" s="356" t="s">
        <v>41</v>
      </c>
      <c r="D153" s="603">
        <v>5</v>
      </c>
      <c r="E153" s="25"/>
      <c r="F153" s="25"/>
      <c r="G153" s="25"/>
      <c r="H153" s="603">
        <f>INSUMOS!E13</f>
        <v>7.81</v>
      </c>
      <c r="I153" s="602">
        <f>H153*D153</f>
        <v>39.049999999999997</v>
      </c>
    </row>
    <row r="154" spans="2:11" x14ac:dyDescent="0.2">
      <c r="B154" s="713" t="s">
        <v>43</v>
      </c>
      <c r="C154" s="713"/>
      <c r="D154" s="713"/>
      <c r="E154" s="713"/>
      <c r="F154" s="713"/>
      <c r="G154" s="713"/>
      <c r="H154" s="713"/>
      <c r="I154" s="584">
        <f>SUM(I152:I153)</f>
        <v>402.8</v>
      </c>
    </row>
    <row r="155" spans="2:11" x14ac:dyDescent="0.2">
      <c r="B155" s="355" t="s">
        <v>49</v>
      </c>
      <c r="C155" s="277">
        <v>1</v>
      </c>
      <c r="D155" s="709" t="s">
        <v>50</v>
      </c>
      <c r="E155" s="710"/>
      <c r="F155" s="710"/>
      <c r="G155" s="710"/>
      <c r="H155" s="711"/>
      <c r="I155" s="584">
        <f>I154+I149+I145+I141</f>
        <v>566.35</v>
      </c>
    </row>
    <row r="156" spans="2:11" x14ac:dyDescent="0.2">
      <c r="B156" s="725"/>
      <c r="C156" s="726"/>
      <c r="D156" s="726"/>
      <c r="E156" s="726"/>
      <c r="F156" s="726"/>
      <c r="G156" s="726"/>
      <c r="H156" s="727"/>
      <c r="I156" s="584">
        <f>I155/C155</f>
        <v>566.35</v>
      </c>
    </row>
    <row r="157" spans="2:11" x14ac:dyDescent="0.2">
      <c r="B157" s="351" t="s">
        <v>135</v>
      </c>
      <c r="C157" s="520">
        <f>BDI!C$36</f>
        <v>25</v>
      </c>
      <c r="D157" s="352" t="s">
        <v>103</v>
      </c>
      <c r="E157" s="353"/>
      <c r="F157" s="353"/>
      <c r="G157" s="353"/>
      <c r="H157" s="354"/>
      <c r="I157" s="583">
        <f>C157/100*I156</f>
        <v>141.59</v>
      </c>
    </row>
    <row r="158" spans="2:11" ht="13.5" thickBot="1" x14ac:dyDescent="0.25">
      <c r="B158" s="708" t="s">
        <v>51</v>
      </c>
      <c r="C158" s="708"/>
      <c r="D158" s="708"/>
      <c r="E158" s="708"/>
      <c r="F158" s="708"/>
      <c r="G158" s="708"/>
      <c r="H158" s="708"/>
      <c r="I158" s="549">
        <f>SUM(I156:I157)</f>
        <v>707.94</v>
      </c>
    </row>
    <row r="159" spans="2:11" ht="13.5" thickBot="1" x14ac:dyDescent="0.25">
      <c r="B159" s="461"/>
      <c r="C159" s="461"/>
      <c r="D159" s="461"/>
      <c r="E159" s="461"/>
      <c r="F159" s="461"/>
      <c r="G159" s="461"/>
      <c r="H159" s="461"/>
      <c r="I159" s="429"/>
    </row>
    <row r="160" spans="2:11" ht="28.5" x14ac:dyDescent="0.2">
      <c r="B160" s="577" t="s">
        <v>361</v>
      </c>
      <c r="C160" s="580" t="s">
        <v>586</v>
      </c>
      <c r="D160" s="812" t="s">
        <v>30</v>
      </c>
      <c r="E160" s="813"/>
      <c r="F160" s="813"/>
      <c r="G160" s="813"/>
      <c r="H160" s="813"/>
      <c r="I160" s="814"/>
    </row>
    <row r="161" spans="2:9" x14ac:dyDescent="0.2">
      <c r="B161" s="718" t="s">
        <v>134</v>
      </c>
      <c r="C161" s="719"/>
      <c r="D161" s="719"/>
      <c r="E161" s="719"/>
      <c r="F161" s="719"/>
      <c r="G161" s="720"/>
      <c r="H161" s="715" t="s">
        <v>572</v>
      </c>
      <c r="I161" s="716"/>
    </row>
    <row r="162" spans="2:9" x14ac:dyDescent="0.2">
      <c r="B162" s="815" t="s">
        <v>325</v>
      </c>
      <c r="C162" s="816"/>
      <c r="D162" s="816"/>
      <c r="E162" s="816"/>
      <c r="F162" s="816"/>
      <c r="G162" s="817"/>
      <c r="H162" s="220" t="s">
        <v>31</v>
      </c>
      <c r="I162" s="221" t="s">
        <v>52</v>
      </c>
    </row>
    <row r="163" spans="2:9" x14ac:dyDescent="0.2">
      <c r="B163" s="818" t="s">
        <v>32</v>
      </c>
      <c r="C163" s="819"/>
      <c r="D163" s="819"/>
      <c r="E163" s="819"/>
      <c r="F163" s="819"/>
      <c r="G163" s="819"/>
      <c r="H163" s="819"/>
      <c r="I163" s="820"/>
    </row>
    <row r="164" spans="2:9" ht="25.5" x14ac:dyDescent="0.2">
      <c r="B164" s="222" t="s">
        <v>33</v>
      </c>
      <c r="C164" s="223" t="s">
        <v>243</v>
      </c>
      <c r="D164" s="224" t="s">
        <v>6</v>
      </c>
      <c r="E164" s="224" t="s">
        <v>35</v>
      </c>
      <c r="F164" s="224" t="s">
        <v>36</v>
      </c>
      <c r="G164" s="224" t="s">
        <v>37</v>
      </c>
      <c r="H164" s="224" t="s">
        <v>38</v>
      </c>
      <c r="I164" s="225" t="s">
        <v>39</v>
      </c>
    </row>
    <row r="165" spans="2:9" x14ac:dyDescent="0.2">
      <c r="B165" s="80"/>
      <c r="C165" s="226"/>
      <c r="D165" s="227"/>
      <c r="E165" s="59"/>
      <c r="F165" s="59"/>
      <c r="G165" s="59"/>
      <c r="H165" s="59"/>
      <c r="I165" s="77"/>
    </row>
    <row r="166" spans="2:9" x14ac:dyDescent="0.2">
      <c r="B166" s="821" t="s">
        <v>43</v>
      </c>
      <c r="C166" s="822"/>
      <c r="D166" s="822"/>
      <c r="E166" s="822"/>
      <c r="F166" s="822"/>
      <c r="G166" s="822"/>
      <c r="H166" s="823"/>
      <c r="I166" s="398"/>
    </row>
    <row r="167" spans="2:9" x14ac:dyDescent="0.2">
      <c r="B167" s="818" t="s">
        <v>44</v>
      </c>
      <c r="C167" s="819"/>
      <c r="D167" s="819"/>
      <c r="E167" s="819"/>
      <c r="F167" s="819"/>
      <c r="G167" s="819"/>
      <c r="H167" s="819"/>
      <c r="I167" s="820"/>
    </row>
    <row r="168" spans="2:9" x14ac:dyDescent="0.2">
      <c r="B168" s="399" t="s">
        <v>33</v>
      </c>
      <c r="C168" s="400" t="s">
        <v>243</v>
      </c>
      <c r="D168" s="59" t="s">
        <v>6</v>
      </c>
      <c r="E168" s="61"/>
      <c r="F168" s="61"/>
      <c r="G168" s="61"/>
      <c r="H168" s="59" t="s">
        <v>45</v>
      </c>
      <c r="I168" s="77" t="s">
        <v>39</v>
      </c>
    </row>
    <row r="169" spans="2:9" x14ac:dyDescent="0.2">
      <c r="B169" s="401"/>
      <c r="C169" s="402"/>
      <c r="D169" s="226"/>
      <c r="E169" s="61"/>
      <c r="F169" s="61"/>
      <c r="G169" s="61"/>
      <c r="H169" s="59"/>
      <c r="I169" s="77"/>
    </row>
    <row r="170" spans="2:9" x14ac:dyDescent="0.2">
      <c r="B170" s="821" t="s">
        <v>43</v>
      </c>
      <c r="C170" s="822"/>
      <c r="D170" s="822"/>
      <c r="E170" s="822"/>
      <c r="F170" s="822"/>
      <c r="G170" s="822"/>
      <c r="H170" s="823"/>
      <c r="I170" s="77"/>
    </row>
    <row r="171" spans="2:9" x14ac:dyDescent="0.2">
      <c r="B171" s="818" t="s">
        <v>46</v>
      </c>
      <c r="C171" s="819"/>
      <c r="D171" s="819"/>
      <c r="E171" s="819"/>
      <c r="F171" s="819"/>
      <c r="G171" s="819"/>
      <c r="H171" s="819"/>
      <c r="I171" s="820"/>
    </row>
    <row r="172" spans="2:9" x14ac:dyDescent="0.2">
      <c r="B172" s="377" t="s">
        <v>33</v>
      </c>
      <c r="C172" s="403" t="s">
        <v>243</v>
      </c>
      <c r="D172" s="59" t="s">
        <v>6</v>
      </c>
      <c r="E172" s="61"/>
      <c r="F172" s="61"/>
      <c r="G172" s="61"/>
      <c r="H172" s="59" t="s">
        <v>45</v>
      </c>
      <c r="I172" s="77" t="s">
        <v>39</v>
      </c>
    </row>
    <row r="173" spans="2:9" x14ac:dyDescent="0.2">
      <c r="B173" s="80"/>
      <c r="C173" s="404"/>
      <c r="D173" s="405"/>
      <c r="E173" s="61"/>
      <c r="F173" s="61"/>
      <c r="G173" s="61"/>
      <c r="H173" s="59"/>
      <c r="I173" s="77"/>
    </row>
    <row r="174" spans="2:9" x14ac:dyDescent="0.2">
      <c r="B174" s="821" t="s">
        <v>43</v>
      </c>
      <c r="C174" s="822"/>
      <c r="D174" s="822"/>
      <c r="E174" s="822"/>
      <c r="F174" s="822"/>
      <c r="G174" s="822"/>
      <c r="H174" s="823"/>
      <c r="I174" s="77"/>
    </row>
    <row r="175" spans="2:9" x14ac:dyDescent="0.2">
      <c r="B175" s="818" t="s">
        <v>47</v>
      </c>
      <c r="C175" s="819"/>
      <c r="D175" s="819"/>
      <c r="E175" s="819"/>
      <c r="F175" s="819"/>
      <c r="G175" s="819"/>
      <c r="H175" s="819"/>
      <c r="I175" s="820"/>
    </row>
    <row r="176" spans="2:9" x14ac:dyDescent="0.2">
      <c r="B176" s="399" t="s">
        <v>33</v>
      </c>
      <c r="C176" s="400" t="s">
        <v>243</v>
      </c>
      <c r="D176" s="369" t="s">
        <v>6</v>
      </c>
      <c r="E176" s="61"/>
      <c r="F176" s="61"/>
      <c r="G176" s="61"/>
      <c r="H176" s="59" t="s">
        <v>45</v>
      </c>
      <c r="I176" s="77" t="s">
        <v>39</v>
      </c>
    </row>
    <row r="177" spans="2:11" x14ac:dyDescent="0.2">
      <c r="B177" s="406" t="s">
        <v>48</v>
      </c>
      <c r="C177" s="402" t="s">
        <v>41</v>
      </c>
      <c r="D177" s="637">
        <v>0.3</v>
      </c>
      <c r="E177" s="61"/>
      <c r="F177" s="61"/>
      <c r="G177" s="61"/>
      <c r="H177" s="520">
        <f>INSUMOS!E13</f>
        <v>7.81</v>
      </c>
      <c r="I177" s="604">
        <f>H177*D177</f>
        <v>2.34</v>
      </c>
    </row>
    <row r="178" spans="2:11" x14ac:dyDescent="0.2">
      <c r="B178" s="821" t="s">
        <v>43</v>
      </c>
      <c r="C178" s="822"/>
      <c r="D178" s="822"/>
      <c r="E178" s="822"/>
      <c r="F178" s="822"/>
      <c r="G178" s="822"/>
      <c r="H178" s="823"/>
      <c r="I178" s="605">
        <f>SUM(I177:I177)</f>
        <v>2.34</v>
      </c>
    </row>
    <row r="179" spans="2:11" x14ac:dyDescent="0.2">
      <c r="B179" s="407" t="s">
        <v>49</v>
      </c>
      <c r="C179" s="330">
        <v>1</v>
      </c>
      <c r="D179" s="771" t="s">
        <v>50</v>
      </c>
      <c r="E179" s="771"/>
      <c r="F179" s="771"/>
      <c r="G179" s="771"/>
      <c r="H179" s="831"/>
      <c r="I179" s="604">
        <f>I178+I174+I170+I166</f>
        <v>2.34</v>
      </c>
    </row>
    <row r="180" spans="2:11" x14ac:dyDescent="0.2">
      <c r="B180" s="832"/>
      <c r="C180" s="833"/>
      <c r="D180" s="833"/>
      <c r="E180" s="833"/>
      <c r="F180" s="833"/>
      <c r="G180" s="833"/>
      <c r="H180" s="834"/>
      <c r="I180" s="606">
        <f>I179/C179</f>
        <v>2.34</v>
      </c>
    </row>
    <row r="181" spans="2:11" x14ac:dyDescent="0.2">
      <c r="B181" s="228" t="s">
        <v>242</v>
      </c>
      <c r="C181" s="520">
        <f>BDI!C$36</f>
        <v>25</v>
      </c>
      <c r="D181" s="745" t="s">
        <v>103</v>
      </c>
      <c r="E181" s="745"/>
      <c r="F181" s="745"/>
      <c r="G181" s="745"/>
      <c r="H181" s="745"/>
      <c r="I181" s="567">
        <f>C181/100*I180</f>
        <v>0.59</v>
      </c>
    </row>
    <row r="182" spans="2:11" ht="13.5" thickBot="1" x14ac:dyDescent="0.25">
      <c r="B182" s="752" t="s">
        <v>51</v>
      </c>
      <c r="C182" s="753"/>
      <c r="D182" s="753"/>
      <c r="E182" s="753"/>
      <c r="F182" s="753"/>
      <c r="G182" s="753"/>
      <c r="H182" s="753"/>
      <c r="I182" s="549">
        <f>SUM(I180:I181)</f>
        <v>2.93</v>
      </c>
    </row>
    <row r="183" spans="2:11" ht="13.5" thickBot="1" x14ac:dyDescent="0.25">
      <c r="B183" s="461"/>
      <c r="C183" s="461"/>
      <c r="D183" s="461"/>
      <c r="E183" s="461"/>
      <c r="F183" s="461"/>
      <c r="G183" s="461"/>
      <c r="H183" s="461"/>
      <c r="I183" s="429"/>
    </row>
    <row r="184" spans="2:11" s="47" customFormat="1" ht="30" customHeight="1" x14ac:dyDescent="0.2">
      <c r="B184" s="577" t="s">
        <v>361</v>
      </c>
      <c r="C184" s="578" t="str">
        <f>'Planilha Orçamentária'!B29</f>
        <v>2.3</v>
      </c>
      <c r="D184" s="714" t="s">
        <v>30</v>
      </c>
      <c r="E184" s="714"/>
      <c r="F184" s="714"/>
      <c r="G184" s="714"/>
      <c r="H184" s="714"/>
      <c r="I184" s="714"/>
      <c r="K184" s="11"/>
    </row>
    <row r="185" spans="2:11" x14ac:dyDescent="0.2">
      <c r="B185" s="718" t="s">
        <v>134</v>
      </c>
      <c r="C185" s="719"/>
      <c r="D185" s="719"/>
      <c r="E185" s="719"/>
      <c r="F185" s="719"/>
      <c r="G185" s="720"/>
      <c r="H185" s="715" t="s">
        <v>572</v>
      </c>
      <c r="I185" s="716"/>
    </row>
    <row r="186" spans="2:11" x14ac:dyDescent="0.2">
      <c r="B186" s="766" t="s">
        <v>172</v>
      </c>
      <c r="C186" s="766"/>
      <c r="D186" s="766"/>
      <c r="E186" s="766"/>
      <c r="F186" s="766"/>
      <c r="G186" s="766"/>
      <c r="H186" s="99" t="s">
        <v>31</v>
      </c>
      <c r="I186" s="46" t="s">
        <v>143</v>
      </c>
      <c r="K186" s="47"/>
    </row>
    <row r="187" spans="2:11" x14ac:dyDescent="0.2">
      <c r="B187" s="712" t="s">
        <v>32</v>
      </c>
      <c r="C187" s="712"/>
      <c r="D187" s="712"/>
      <c r="E187" s="712"/>
      <c r="F187" s="712"/>
      <c r="G187" s="712"/>
      <c r="H187" s="712"/>
      <c r="I187" s="712"/>
    </row>
    <row r="188" spans="2:11" ht="26.25" customHeight="1" x14ac:dyDescent="0.2">
      <c r="B188" s="358" t="s">
        <v>33</v>
      </c>
      <c r="C188" s="359" t="s">
        <v>5</v>
      </c>
      <c r="D188" s="346" t="s">
        <v>6</v>
      </c>
      <c r="E188" s="346" t="s">
        <v>35</v>
      </c>
      <c r="F188" s="346" t="s">
        <v>36</v>
      </c>
      <c r="G188" s="346" t="s">
        <v>37</v>
      </c>
      <c r="H188" s="346" t="s">
        <v>38</v>
      </c>
      <c r="I188" s="209" t="s">
        <v>39</v>
      </c>
    </row>
    <row r="189" spans="2:11" x14ac:dyDescent="0.2">
      <c r="B189" s="328" t="s">
        <v>58</v>
      </c>
      <c r="C189" s="28" t="s">
        <v>41</v>
      </c>
      <c r="D189" s="622">
        <v>4</v>
      </c>
      <c r="E189" s="20">
        <v>1</v>
      </c>
      <c r="F189" s="20"/>
      <c r="G189" s="582">
        <f>INSUMOS!E60</f>
        <v>3.17</v>
      </c>
      <c r="H189" s="20"/>
      <c r="I189" s="583">
        <f>D189*E189*G189+D189*F189*H189</f>
        <v>12.68</v>
      </c>
    </row>
    <row r="190" spans="2:11" x14ac:dyDescent="0.2">
      <c r="B190" s="713" t="s">
        <v>43</v>
      </c>
      <c r="C190" s="713"/>
      <c r="D190" s="713"/>
      <c r="E190" s="713"/>
      <c r="F190" s="713"/>
      <c r="G190" s="713"/>
      <c r="H190" s="713"/>
      <c r="I190" s="584">
        <f>SUM(I189:I189)</f>
        <v>12.68</v>
      </c>
    </row>
    <row r="191" spans="2:11" x14ac:dyDescent="0.2">
      <c r="B191" s="712" t="s">
        <v>44</v>
      </c>
      <c r="C191" s="712"/>
      <c r="D191" s="712"/>
      <c r="E191" s="712"/>
      <c r="F191" s="712"/>
      <c r="G191" s="712"/>
      <c r="H191" s="712"/>
      <c r="I191" s="712"/>
    </row>
    <row r="192" spans="2:11" s="47" customFormat="1" ht="16.5" customHeight="1" x14ac:dyDescent="0.2">
      <c r="B192" s="360" t="s">
        <v>33</v>
      </c>
      <c r="C192" s="361" t="s">
        <v>5</v>
      </c>
      <c r="D192" s="20" t="s">
        <v>6</v>
      </c>
      <c r="E192" s="21"/>
      <c r="F192" s="21"/>
      <c r="G192" s="21"/>
      <c r="H192" s="20" t="s">
        <v>45</v>
      </c>
      <c r="I192" s="30" t="s">
        <v>39</v>
      </c>
      <c r="K192" s="11"/>
    </row>
    <row r="193" spans="2:11" s="47" customFormat="1" ht="19.5" customHeight="1" x14ac:dyDescent="0.2">
      <c r="B193" s="328" t="s">
        <v>59</v>
      </c>
      <c r="C193" s="28" t="s">
        <v>56</v>
      </c>
      <c r="D193" s="622">
        <v>0.5</v>
      </c>
      <c r="E193" s="21"/>
      <c r="F193" s="21"/>
      <c r="G193" s="21"/>
      <c r="H193" s="582">
        <f>INSUMOS!E29</f>
        <v>13</v>
      </c>
      <c r="I193" s="583">
        <f>H193*D193</f>
        <v>6.5</v>
      </c>
      <c r="K193" s="11"/>
    </row>
    <row r="194" spans="2:11" s="47" customFormat="1" ht="18" customHeight="1" x14ac:dyDescent="0.2">
      <c r="B194" s="35" t="s">
        <v>60</v>
      </c>
      <c r="C194" s="28" t="s">
        <v>56</v>
      </c>
      <c r="D194" s="622">
        <v>20</v>
      </c>
      <c r="E194" s="21"/>
      <c r="F194" s="21"/>
      <c r="G194" s="21"/>
      <c r="H194" s="582">
        <f>INSUMOS!E28</f>
        <v>2.77</v>
      </c>
      <c r="I194" s="583">
        <f>H194*D194</f>
        <v>55.4</v>
      </c>
    </row>
    <row r="195" spans="2:11" s="47" customFormat="1" ht="17.25" customHeight="1" x14ac:dyDescent="0.2">
      <c r="B195" s="713" t="s">
        <v>43</v>
      </c>
      <c r="C195" s="713"/>
      <c r="D195" s="713"/>
      <c r="E195" s="713"/>
      <c r="F195" s="713"/>
      <c r="G195" s="713"/>
      <c r="H195" s="713"/>
      <c r="I195" s="583">
        <f>SUM(I193:I194)</f>
        <v>61.9</v>
      </c>
    </row>
    <row r="196" spans="2:11" x14ac:dyDescent="0.2">
      <c r="B196" s="712" t="s">
        <v>46</v>
      </c>
      <c r="C196" s="712"/>
      <c r="D196" s="712"/>
      <c r="E196" s="712"/>
      <c r="F196" s="712"/>
      <c r="G196" s="712"/>
      <c r="H196" s="712"/>
      <c r="I196" s="712"/>
      <c r="K196" s="47"/>
    </row>
    <row r="197" spans="2:11" ht="15" customHeight="1" x14ac:dyDescent="0.2">
      <c r="B197" s="348" t="s">
        <v>33</v>
      </c>
      <c r="C197" s="356" t="s">
        <v>5</v>
      </c>
      <c r="D197" s="20" t="s">
        <v>6</v>
      </c>
      <c r="E197" s="21"/>
      <c r="F197" s="21"/>
      <c r="G197" s="21"/>
      <c r="H197" s="20" t="s">
        <v>45</v>
      </c>
      <c r="I197" s="36" t="s">
        <v>39</v>
      </c>
      <c r="K197" s="47"/>
    </row>
    <row r="198" spans="2:11" ht="15" customHeight="1" x14ac:dyDescent="0.2">
      <c r="B198" s="19"/>
      <c r="C198" s="20"/>
      <c r="D198" s="20"/>
      <c r="E198" s="21"/>
      <c r="F198" s="21"/>
      <c r="G198" s="21"/>
      <c r="H198" s="20"/>
      <c r="I198" s="30"/>
    </row>
    <row r="199" spans="2:11" s="47" customFormat="1" ht="19.5" customHeight="1" x14ac:dyDescent="0.2">
      <c r="B199" s="713" t="s">
        <v>43</v>
      </c>
      <c r="C199" s="713"/>
      <c r="D199" s="713"/>
      <c r="E199" s="713"/>
      <c r="F199" s="713"/>
      <c r="G199" s="713"/>
      <c r="H199" s="713"/>
      <c r="I199" s="30"/>
      <c r="K199" s="11"/>
    </row>
    <row r="200" spans="2:11" s="47" customFormat="1" ht="15" customHeight="1" x14ac:dyDescent="0.2">
      <c r="B200" s="712" t="s">
        <v>47</v>
      </c>
      <c r="C200" s="712"/>
      <c r="D200" s="712"/>
      <c r="E200" s="712"/>
      <c r="F200" s="712"/>
      <c r="G200" s="712"/>
      <c r="H200" s="712"/>
      <c r="I200" s="712"/>
      <c r="K200" s="11"/>
    </row>
    <row r="201" spans="2:11" s="47" customFormat="1" ht="15" customHeight="1" x14ac:dyDescent="0.2">
      <c r="B201" s="360" t="s">
        <v>33</v>
      </c>
      <c r="C201" s="361" t="s">
        <v>5</v>
      </c>
      <c r="D201" s="330" t="s">
        <v>6</v>
      </c>
      <c r="E201" s="21"/>
      <c r="F201" s="21"/>
      <c r="G201" s="21"/>
      <c r="H201" s="20" t="s">
        <v>45</v>
      </c>
      <c r="I201" s="30" t="s">
        <v>39</v>
      </c>
      <c r="J201" s="81"/>
    </row>
    <row r="202" spans="2:11" s="47" customFormat="1" ht="15" customHeight="1" x14ac:dyDescent="0.2">
      <c r="B202" s="35" t="s">
        <v>61</v>
      </c>
      <c r="C202" s="27" t="s">
        <v>41</v>
      </c>
      <c r="D202" s="582">
        <v>2</v>
      </c>
      <c r="E202" s="21"/>
      <c r="F202" s="21"/>
      <c r="G202" s="21"/>
      <c r="H202" s="582">
        <f>INSUMOS!E15</f>
        <v>23.62</v>
      </c>
      <c r="I202" s="583">
        <f>H202*D202</f>
        <v>47.24</v>
      </c>
      <c r="J202" s="81"/>
    </row>
    <row r="203" spans="2:11" s="47" customFormat="1" ht="15" customHeight="1" x14ac:dyDescent="0.2">
      <c r="B203" s="207" t="s">
        <v>48</v>
      </c>
      <c r="C203" s="27" t="s">
        <v>41</v>
      </c>
      <c r="D203" s="582">
        <v>2</v>
      </c>
      <c r="E203" s="21"/>
      <c r="F203" s="21"/>
      <c r="G203" s="21"/>
      <c r="H203" s="582">
        <f>INSUMOS!E13</f>
        <v>7.81</v>
      </c>
      <c r="I203" s="583">
        <f>H203*D203</f>
        <v>15.62</v>
      </c>
      <c r="J203" s="81"/>
    </row>
    <row r="204" spans="2:11" s="47" customFormat="1" ht="15" customHeight="1" x14ac:dyDescent="0.2">
      <c r="B204" s="207" t="s">
        <v>62</v>
      </c>
      <c r="C204" s="27" t="s">
        <v>41</v>
      </c>
      <c r="D204" s="582">
        <v>2</v>
      </c>
      <c r="E204" s="21"/>
      <c r="F204" s="21"/>
      <c r="G204" s="21"/>
      <c r="H204" s="582">
        <f>INSUMOS!E12</f>
        <v>19.84</v>
      </c>
      <c r="I204" s="583">
        <f>H204*D204</f>
        <v>39.68</v>
      </c>
      <c r="J204" s="81"/>
    </row>
    <row r="205" spans="2:11" s="47" customFormat="1" ht="15" customHeight="1" x14ac:dyDescent="0.2">
      <c r="B205" s="713" t="s">
        <v>43</v>
      </c>
      <c r="C205" s="713"/>
      <c r="D205" s="713"/>
      <c r="E205" s="713"/>
      <c r="F205" s="713"/>
      <c r="G205" s="713"/>
      <c r="H205" s="713"/>
      <c r="I205" s="584">
        <f>SUM(I202:I204)</f>
        <v>102.54</v>
      </c>
    </row>
    <row r="206" spans="2:11" ht="14.1" customHeight="1" x14ac:dyDescent="0.2">
      <c r="B206" s="355" t="s">
        <v>49</v>
      </c>
      <c r="C206" s="277">
        <v>1</v>
      </c>
      <c r="D206" s="709" t="s">
        <v>50</v>
      </c>
      <c r="E206" s="710"/>
      <c r="F206" s="710"/>
      <c r="G206" s="710"/>
      <c r="H206" s="711"/>
      <c r="I206" s="584">
        <f>I205+I199+I195+I190</f>
        <v>177.12</v>
      </c>
      <c r="K206" s="47"/>
    </row>
    <row r="207" spans="2:11" ht="14.1" customHeight="1" x14ac:dyDescent="0.2">
      <c r="B207" s="725"/>
      <c r="C207" s="726"/>
      <c r="D207" s="726"/>
      <c r="E207" s="726"/>
      <c r="F207" s="726"/>
      <c r="G207" s="726"/>
      <c r="H207" s="727"/>
      <c r="I207" s="584">
        <f>I206/C206</f>
        <v>177.12</v>
      </c>
      <c r="K207" s="47"/>
    </row>
    <row r="208" spans="2:11" ht="14.1" customHeight="1" x14ac:dyDescent="0.2">
      <c r="B208" s="351" t="s">
        <v>135</v>
      </c>
      <c r="C208" s="520">
        <f>BDI!C$36</f>
        <v>25</v>
      </c>
      <c r="D208" s="352" t="s">
        <v>103</v>
      </c>
      <c r="E208" s="353"/>
      <c r="F208" s="353"/>
      <c r="G208" s="353"/>
      <c r="H208" s="354"/>
      <c r="I208" s="583">
        <f>C208/100*I207</f>
        <v>44.28</v>
      </c>
    </row>
    <row r="209" spans="2:11" s="47" customFormat="1" ht="16.5" customHeight="1" thickBot="1" x14ac:dyDescent="0.25">
      <c r="B209" s="708" t="s">
        <v>51</v>
      </c>
      <c r="C209" s="708"/>
      <c r="D209" s="708"/>
      <c r="E209" s="708"/>
      <c r="F209" s="708"/>
      <c r="G209" s="708"/>
      <c r="H209" s="708"/>
      <c r="I209" s="549">
        <f>SUM(I207:I208)</f>
        <v>221.4</v>
      </c>
      <c r="K209" s="11"/>
    </row>
    <row r="210" spans="2:11" s="47" customFormat="1" ht="19.5" customHeight="1" thickBot="1" x14ac:dyDescent="0.25">
      <c r="B210" s="461"/>
      <c r="C210" s="461"/>
      <c r="D210" s="461"/>
      <c r="E210" s="461"/>
      <c r="F210" s="461"/>
      <c r="G210" s="461"/>
      <c r="H210" s="461"/>
      <c r="I210" s="430"/>
      <c r="K210" s="11"/>
    </row>
    <row r="211" spans="2:11" s="47" customFormat="1" ht="21" customHeight="1" x14ac:dyDescent="0.2">
      <c r="B211" s="577" t="s">
        <v>361</v>
      </c>
      <c r="C211" s="578" t="s">
        <v>17</v>
      </c>
      <c r="D211" s="714" t="s">
        <v>30</v>
      </c>
      <c r="E211" s="714"/>
      <c r="F211" s="714"/>
      <c r="G211" s="714"/>
      <c r="H211" s="714"/>
      <c r="I211" s="714"/>
      <c r="K211" s="11"/>
    </row>
    <row r="212" spans="2:11" s="47" customFormat="1" ht="16.5" customHeight="1" x14ac:dyDescent="0.2">
      <c r="B212" s="718" t="s">
        <v>134</v>
      </c>
      <c r="C212" s="719"/>
      <c r="D212" s="719"/>
      <c r="E212" s="719"/>
      <c r="F212" s="719"/>
      <c r="G212" s="720"/>
      <c r="H212" s="715" t="s">
        <v>572</v>
      </c>
      <c r="I212" s="716"/>
      <c r="K212" s="11"/>
    </row>
    <row r="213" spans="2:11" s="47" customFormat="1" ht="15.75" customHeight="1" x14ac:dyDescent="0.2">
      <c r="B213" s="717" t="s">
        <v>326</v>
      </c>
      <c r="C213" s="717"/>
      <c r="D213" s="717"/>
      <c r="E213" s="717"/>
      <c r="F213" s="717"/>
      <c r="G213" s="717"/>
      <c r="H213" s="12" t="s">
        <v>31</v>
      </c>
      <c r="I213" s="214" t="s">
        <v>19</v>
      </c>
      <c r="K213" s="11"/>
    </row>
    <row r="214" spans="2:11" s="47" customFormat="1" ht="16.5" customHeight="1" x14ac:dyDescent="0.2">
      <c r="B214" s="730" t="s">
        <v>32</v>
      </c>
      <c r="C214" s="730"/>
      <c r="D214" s="730"/>
      <c r="E214" s="730"/>
      <c r="F214" s="730"/>
      <c r="G214" s="730"/>
      <c r="H214" s="730"/>
      <c r="I214" s="730"/>
      <c r="K214" s="11"/>
    </row>
    <row r="215" spans="2:11" s="47" customFormat="1" ht="25.5" customHeight="1" x14ac:dyDescent="0.2">
      <c r="B215" s="215" t="s">
        <v>33</v>
      </c>
      <c r="C215" s="216" t="s">
        <v>5</v>
      </c>
      <c r="D215" s="217" t="s">
        <v>6</v>
      </c>
      <c r="E215" s="218" t="s">
        <v>35</v>
      </c>
      <c r="F215" s="218" t="s">
        <v>36</v>
      </c>
      <c r="G215" s="218" t="s">
        <v>37</v>
      </c>
      <c r="H215" s="218" t="s">
        <v>38</v>
      </c>
      <c r="I215" s="219" t="s">
        <v>39</v>
      </c>
      <c r="K215" s="11"/>
    </row>
    <row r="216" spans="2:11" s="47" customFormat="1" ht="22.5" customHeight="1" x14ac:dyDescent="0.2">
      <c r="B216" s="328" t="s">
        <v>58</v>
      </c>
      <c r="C216" s="34" t="s">
        <v>41</v>
      </c>
      <c r="D216" s="640">
        <v>0.5</v>
      </c>
      <c r="E216" s="24">
        <v>1</v>
      </c>
      <c r="F216" s="24"/>
      <c r="G216" s="582">
        <f>INSUMOS!E61</f>
        <v>3.17</v>
      </c>
      <c r="H216" s="24"/>
      <c r="I216" s="583">
        <f>D216*E216*G216+D216*F216*H216</f>
        <v>1.59</v>
      </c>
      <c r="K216" s="11"/>
    </row>
    <row r="217" spans="2:11" s="47" customFormat="1" ht="18" customHeight="1" x14ac:dyDescent="0.2">
      <c r="B217" s="328" t="s">
        <v>63</v>
      </c>
      <c r="C217" s="34" t="s">
        <v>41</v>
      </c>
      <c r="D217" s="640">
        <v>0.5</v>
      </c>
      <c r="E217" s="24">
        <v>1</v>
      </c>
      <c r="F217" s="24"/>
      <c r="G217" s="582">
        <f>INSUMOS!E62</f>
        <v>9.44</v>
      </c>
      <c r="H217" s="24"/>
      <c r="I217" s="583">
        <f>D217*E217*G217+D217*F217*H217</f>
        <v>4.72</v>
      </c>
      <c r="K217" s="11"/>
    </row>
    <row r="218" spans="2:11" s="47" customFormat="1" ht="18.75" customHeight="1" x14ac:dyDescent="0.2">
      <c r="B218" s="713" t="s">
        <v>43</v>
      </c>
      <c r="C218" s="713"/>
      <c r="D218" s="713"/>
      <c r="E218" s="713"/>
      <c r="F218" s="713"/>
      <c r="G218" s="713"/>
      <c r="H218" s="713"/>
      <c r="I218" s="584">
        <f>SUM(I216:I217)</f>
        <v>6.31</v>
      </c>
      <c r="K218" s="11"/>
    </row>
    <row r="219" spans="2:11" s="47" customFormat="1" ht="18.75" customHeight="1" x14ac:dyDescent="0.2">
      <c r="B219" s="730" t="s">
        <v>44</v>
      </c>
      <c r="C219" s="730"/>
      <c r="D219" s="730"/>
      <c r="E219" s="730"/>
      <c r="F219" s="730"/>
      <c r="G219" s="730"/>
      <c r="H219" s="730"/>
      <c r="I219" s="730"/>
      <c r="K219" s="11"/>
    </row>
    <row r="220" spans="2:11" s="47" customFormat="1" ht="22.5" customHeight="1" x14ac:dyDescent="0.2">
      <c r="B220" s="362" t="s">
        <v>33</v>
      </c>
      <c r="C220" s="357" t="s">
        <v>5</v>
      </c>
      <c r="D220" s="25" t="s">
        <v>6</v>
      </c>
      <c r="E220" s="25"/>
      <c r="F220" s="25"/>
      <c r="G220" s="25"/>
      <c r="H220" s="24" t="s">
        <v>45</v>
      </c>
      <c r="I220" s="36" t="s">
        <v>39</v>
      </c>
      <c r="K220" s="11"/>
    </row>
    <row r="221" spans="2:11" s="47" customFormat="1" ht="18" customHeight="1" x14ac:dyDescent="0.2">
      <c r="B221" s="328" t="s">
        <v>64</v>
      </c>
      <c r="C221" s="28" t="s">
        <v>56</v>
      </c>
      <c r="D221" s="622">
        <v>0.15</v>
      </c>
      <c r="E221" s="25"/>
      <c r="F221" s="25"/>
      <c r="G221" s="25"/>
      <c r="H221" s="582">
        <f>INSUMOS!E29</f>
        <v>13</v>
      </c>
      <c r="I221" s="583">
        <f>H221*D221</f>
        <v>1.95</v>
      </c>
      <c r="K221" s="11"/>
    </row>
    <row r="222" spans="2:11" s="47" customFormat="1" ht="19.5" customHeight="1" x14ac:dyDescent="0.2">
      <c r="B222" s="328" t="s">
        <v>65</v>
      </c>
      <c r="C222" s="28" t="s">
        <v>53</v>
      </c>
      <c r="D222" s="622">
        <v>0.1</v>
      </c>
      <c r="E222" s="25"/>
      <c r="F222" s="25"/>
      <c r="G222" s="25"/>
      <c r="H222" s="603">
        <f>INSUMOS!E83</f>
        <v>19.079999999999998</v>
      </c>
      <c r="I222" s="583">
        <f>H222*D222</f>
        <v>1.91</v>
      </c>
      <c r="K222" s="11"/>
    </row>
    <row r="223" spans="2:11" s="47" customFormat="1" ht="15.75" customHeight="1" x14ac:dyDescent="0.2">
      <c r="B223" s="328" t="s">
        <v>60</v>
      </c>
      <c r="C223" s="28" t="s">
        <v>56</v>
      </c>
      <c r="D223" s="622">
        <v>6</v>
      </c>
      <c r="E223" s="25"/>
      <c r="F223" s="25"/>
      <c r="G223" s="25"/>
      <c r="H223" s="603">
        <f>INSUMOS!E28</f>
        <v>2.77</v>
      </c>
      <c r="I223" s="583">
        <f>H223*D223</f>
        <v>16.62</v>
      </c>
      <c r="K223" s="11"/>
    </row>
    <row r="224" spans="2:11" s="47" customFormat="1" ht="21.75" customHeight="1" x14ac:dyDescent="0.2">
      <c r="B224" s="713" t="s">
        <v>43</v>
      </c>
      <c r="C224" s="713"/>
      <c r="D224" s="713"/>
      <c r="E224" s="713"/>
      <c r="F224" s="713"/>
      <c r="G224" s="713"/>
      <c r="H224" s="713"/>
      <c r="I224" s="583">
        <f>SUM(I221:I223)</f>
        <v>20.48</v>
      </c>
      <c r="K224" s="11"/>
    </row>
    <row r="225" spans="2:11" s="47" customFormat="1" ht="21.75" customHeight="1" x14ac:dyDescent="0.2">
      <c r="B225" s="730" t="s">
        <v>46</v>
      </c>
      <c r="C225" s="730"/>
      <c r="D225" s="730"/>
      <c r="E225" s="730"/>
      <c r="F225" s="730"/>
      <c r="G225" s="730"/>
      <c r="H225" s="730"/>
      <c r="I225" s="730"/>
      <c r="K225" s="11"/>
    </row>
    <row r="226" spans="2:11" s="47" customFormat="1" ht="23.25" customHeight="1" x14ac:dyDescent="0.2">
      <c r="B226" s="348" t="s">
        <v>33</v>
      </c>
      <c r="C226" s="27" t="s">
        <v>5</v>
      </c>
      <c r="D226" s="21" t="s">
        <v>6</v>
      </c>
      <c r="E226" s="21"/>
      <c r="F226" s="21"/>
      <c r="G226" s="21"/>
      <c r="H226" s="20" t="s">
        <v>45</v>
      </c>
      <c r="I226" s="30" t="s">
        <v>39</v>
      </c>
      <c r="K226" s="11"/>
    </row>
    <row r="227" spans="2:11" s="47" customFormat="1" ht="17.25" customHeight="1" x14ac:dyDescent="0.2">
      <c r="B227" s="19"/>
      <c r="C227" s="20"/>
      <c r="D227" s="21"/>
      <c r="E227" s="21"/>
      <c r="F227" s="21"/>
      <c r="G227" s="21"/>
      <c r="H227" s="20"/>
      <c r="I227" s="30"/>
      <c r="K227" s="11"/>
    </row>
    <row r="228" spans="2:11" s="47" customFormat="1" ht="18" customHeight="1" x14ac:dyDescent="0.2">
      <c r="B228" s="713" t="s">
        <v>43</v>
      </c>
      <c r="C228" s="713"/>
      <c r="D228" s="713"/>
      <c r="E228" s="713"/>
      <c r="F228" s="713"/>
      <c r="G228" s="713"/>
      <c r="H228" s="713"/>
      <c r="I228" s="30"/>
      <c r="K228" s="11"/>
    </row>
    <row r="229" spans="2:11" s="47" customFormat="1" ht="21.75" customHeight="1" x14ac:dyDescent="0.2">
      <c r="B229" s="730" t="s">
        <v>47</v>
      </c>
      <c r="C229" s="730"/>
      <c r="D229" s="730"/>
      <c r="E229" s="730"/>
      <c r="F229" s="730"/>
      <c r="G229" s="730"/>
      <c r="H229" s="730"/>
      <c r="I229" s="730"/>
      <c r="K229" s="11"/>
    </row>
    <row r="230" spans="2:11" s="47" customFormat="1" ht="16.5" customHeight="1" x14ac:dyDescent="0.2">
      <c r="B230" s="362" t="s">
        <v>33</v>
      </c>
      <c r="C230" s="357" t="s">
        <v>5</v>
      </c>
      <c r="D230" s="395" t="s">
        <v>6</v>
      </c>
      <c r="E230" s="25"/>
      <c r="F230" s="25"/>
      <c r="G230" s="25"/>
      <c r="H230" s="24" t="s">
        <v>45</v>
      </c>
      <c r="I230" s="36" t="s">
        <v>39</v>
      </c>
      <c r="K230" s="11"/>
    </row>
    <row r="231" spans="2:11" s="47" customFormat="1" ht="22.5" customHeight="1" x14ac:dyDescent="0.2">
      <c r="B231" s="35" t="s">
        <v>61</v>
      </c>
      <c r="C231" s="356" t="s">
        <v>41</v>
      </c>
      <c r="D231" s="582">
        <v>1.7</v>
      </c>
      <c r="E231" s="25"/>
      <c r="F231" s="25"/>
      <c r="G231" s="25"/>
      <c r="H231" s="582">
        <f>INSUMOS!E15</f>
        <v>23.62</v>
      </c>
      <c r="I231" s="602">
        <f>H231*D231</f>
        <v>40.15</v>
      </c>
      <c r="K231" s="11"/>
    </row>
    <row r="232" spans="2:11" s="47" customFormat="1" ht="21" customHeight="1" x14ac:dyDescent="0.2">
      <c r="B232" s="207" t="s">
        <v>48</v>
      </c>
      <c r="C232" s="356" t="s">
        <v>41</v>
      </c>
      <c r="D232" s="582">
        <v>0.4</v>
      </c>
      <c r="E232" s="25"/>
      <c r="F232" s="25"/>
      <c r="G232" s="25"/>
      <c r="H232" s="582">
        <f>INSUMOS!E13</f>
        <v>7.81</v>
      </c>
      <c r="I232" s="602">
        <f>H232*D232</f>
        <v>3.12</v>
      </c>
      <c r="K232" s="11"/>
    </row>
    <row r="233" spans="2:11" s="47" customFormat="1" ht="21" customHeight="1" x14ac:dyDescent="0.2">
      <c r="B233" s="207" t="s">
        <v>66</v>
      </c>
      <c r="C233" s="356" t="s">
        <v>41</v>
      </c>
      <c r="D233" s="582">
        <v>1.7</v>
      </c>
      <c r="E233" s="25"/>
      <c r="F233" s="25"/>
      <c r="G233" s="25"/>
      <c r="H233" s="582">
        <f>INSUMOS!E19</f>
        <v>12.78</v>
      </c>
      <c r="I233" s="602">
        <f>H233*D233</f>
        <v>21.73</v>
      </c>
      <c r="K233" s="11"/>
    </row>
    <row r="234" spans="2:11" s="47" customFormat="1" ht="20.25" customHeight="1" x14ac:dyDescent="0.2">
      <c r="B234" s="713" t="s">
        <v>43</v>
      </c>
      <c r="C234" s="713"/>
      <c r="D234" s="713"/>
      <c r="E234" s="713"/>
      <c r="F234" s="713"/>
      <c r="G234" s="713"/>
      <c r="H234" s="713"/>
      <c r="I234" s="599">
        <f>SUM(I231:I233)</f>
        <v>65</v>
      </c>
      <c r="K234" s="11"/>
    </row>
    <row r="235" spans="2:11" s="47" customFormat="1" ht="17.25" customHeight="1" x14ac:dyDescent="0.2">
      <c r="B235" s="350" t="s">
        <v>49</v>
      </c>
      <c r="C235" s="20">
        <v>1</v>
      </c>
      <c r="D235" s="728" t="s">
        <v>50</v>
      </c>
      <c r="E235" s="728"/>
      <c r="F235" s="728"/>
      <c r="G235" s="728"/>
      <c r="H235" s="728"/>
      <c r="I235" s="599">
        <f>I234+I228+I224+I218</f>
        <v>91.79</v>
      </c>
      <c r="K235" s="11"/>
    </row>
    <row r="236" spans="2:11" s="47" customFormat="1" ht="15.75" customHeight="1" x14ac:dyDescent="0.2">
      <c r="B236" s="351"/>
      <c r="C236" s="396"/>
      <c r="D236" s="397"/>
      <c r="E236" s="397"/>
      <c r="F236" s="397"/>
      <c r="G236" s="397"/>
      <c r="H236" s="196"/>
      <c r="I236" s="599">
        <f>I235/C235</f>
        <v>91.79</v>
      </c>
      <c r="K236" s="11"/>
    </row>
    <row r="237" spans="2:11" s="47" customFormat="1" ht="15.75" customHeight="1" x14ac:dyDescent="0.2">
      <c r="B237" s="351" t="s">
        <v>242</v>
      </c>
      <c r="C237" s="520">
        <f>BDI!C$36</f>
        <v>25</v>
      </c>
      <c r="D237" s="353" t="s">
        <v>103</v>
      </c>
      <c r="E237" s="353"/>
      <c r="F237" s="353"/>
      <c r="G237" s="353"/>
      <c r="H237" s="354"/>
      <c r="I237" s="583">
        <f>C237/100*I236</f>
        <v>22.95</v>
      </c>
      <c r="K237" s="11"/>
    </row>
    <row r="238" spans="2:11" s="47" customFormat="1" ht="17.25" customHeight="1" thickBot="1" x14ac:dyDescent="0.25">
      <c r="B238" s="708" t="s">
        <v>51</v>
      </c>
      <c r="C238" s="729"/>
      <c r="D238" s="708"/>
      <c r="E238" s="708"/>
      <c r="F238" s="708"/>
      <c r="G238" s="708"/>
      <c r="H238" s="708"/>
      <c r="I238" s="549">
        <f>I236+I237</f>
        <v>114.74</v>
      </c>
      <c r="K238" s="11"/>
    </row>
    <row r="239" spans="2:11" ht="15" customHeight="1" thickBot="1" x14ac:dyDescent="0.25"/>
    <row r="240" spans="2:11" ht="15" customHeight="1" x14ac:dyDescent="0.2">
      <c r="B240" s="577" t="s">
        <v>361</v>
      </c>
      <c r="C240" s="578" t="str">
        <f>'Planilha Orçamentária'!B31</f>
        <v>2.5</v>
      </c>
      <c r="D240" s="714" t="s">
        <v>30</v>
      </c>
      <c r="E240" s="714"/>
      <c r="F240" s="714"/>
      <c r="G240" s="714"/>
      <c r="H240" s="714"/>
      <c r="I240" s="714"/>
      <c r="K240" s="47"/>
    </row>
    <row r="241" spans="2:11" ht="15" customHeight="1" x14ac:dyDescent="0.2">
      <c r="B241" s="718" t="s">
        <v>134</v>
      </c>
      <c r="C241" s="719"/>
      <c r="D241" s="719"/>
      <c r="E241" s="719"/>
      <c r="F241" s="719"/>
      <c r="G241" s="720"/>
      <c r="H241" s="715" t="s">
        <v>572</v>
      </c>
      <c r="I241" s="716"/>
    </row>
    <row r="242" spans="2:11" ht="15" customHeight="1" x14ac:dyDescent="0.2">
      <c r="B242" s="717" t="s">
        <v>327</v>
      </c>
      <c r="C242" s="717"/>
      <c r="D242" s="717"/>
      <c r="E242" s="717"/>
      <c r="F242" s="717"/>
      <c r="G242" s="717"/>
      <c r="H242" s="12" t="s">
        <v>31</v>
      </c>
      <c r="I242" s="46" t="s">
        <v>19</v>
      </c>
    </row>
    <row r="243" spans="2:11" ht="15" customHeight="1" x14ac:dyDescent="0.2">
      <c r="B243" s="712" t="s">
        <v>32</v>
      </c>
      <c r="C243" s="712"/>
      <c r="D243" s="712"/>
      <c r="E243" s="712"/>
      <c r="F243" s="712"/>
      <c r="G243" s="712"/>
      <c r="H243" s="712"/>
      <c r="I243" s="712"/>
    </row>
    <row r="244" spans="2:11" ht="28.5" customHeight="1" x14ac:dyDescent="0.2">
      <c r="B244" s="13" t="s">
        <v>33</v>
      </c>
      <c r="C244" s="62" t="s">
        <v>5</v>
      </c>
      <c r="D244" s="14" t="s">
        <v>6</v>
      </c>
      <c r="E244" s="14" t="s">
        <v>35</v>
      </c>
      <c r="F244" s="14" t="s">
        <v>36</v>
      </c>
      <c r="G244" s="14" t="s">
        <v>37</v>
      </c>
      <c r="H244" s="14" t="s">
        <v>38</v>
      </c>
      <c r="I244" s="15" t="s">
        <v>39</v>
      </c>
    </row>
    <row r="245" spans="2:11" s="47" customFormat="1" ht="30" customHeight="1" x14ac:dyDescent="0.2">
      <c r="B245" s="328" t="s">
        <v>63</v>
      </c>
      <c r="C245" s="28" t="s">
        <v>41</v>
      </c>
      <c r="D245" s="622">
        <v>0.4</v>
      </c>
      <c r="E245" s="20">
        <v>1</v>
      </c>
      <c r="F245" s="24"/>
      <c r="G245" s="582">
        <f>INSUMOS!E62</f>
        <v>9.44</v>
      </c>
      <c r="H245" s="24"/>
      <c r="I245" s="583">
        <f>D245*E245*G245+D245*F245*H245</f>
        <v>3.78</v>
      </c>
      <c r="K245" s="11"/>
    </row>
    <row r="246" spans="2:11" ht="15.75" customHeight="1" x14ac:dyDescent="0.2">
      <c r="B246" s="328" t="s">
        <v>58</v>
      </c>
      <c r="C246" s="28" t="s">
        <v>41</v>
      </c>
      <c r="D246" s="622">
        <v>0.4</v>
      </c>
      <c r="E246" s="20">
        <v>1</v>
      </c>
      <c r="F246" s="24"/>
      <c r="G246" s="582">
        <f>INSUMOS!E61</f>
        <v>3.17</v>
      </c>
      <c r="H246" s="24"/>
      <c r="I246" s="583">
        <f>D246*E246*G246+D246*F246*H246</f>
        <v>1.27</v>
      </c>
    </row>
    <row r="247" spans="2:11" ht="15.75" customHeight="1" x14ac:dyDescent="0.2">
      <c r="B247" s="713" t="s">
        <v>43</v>
      </c>
      <c r="C247" s="713"/>
      <c r="D247" s="713"/>
      <c r="E247" s="713"/>
      <c r="F247" s="713"/>
      <c r="G247" s="713"/>
      <c r="H247" s="713"/>
      <c r="I247" s="584">
        <f>SUM(I245:I246)</f>
        <v>5.05</v>
      </c>
      <c r="K247" s="47"/>
    </row>
    <row r="248" spans="2:11" ht="15.75" customHeight="1" x14ac:dyDescent="0.2">
      <c r="B248" s="712" t="s">
        <v>44</v>
      </c>
      <c r="C248" s="712"/>
      <c r="D248" s="712"/>
      <c r="E248" s="712"/>
      <c r="F248" s="712"/>
      <c r="G248" s="712"/>
      <c r="H248" s="712"/>
      <c r="I248" s="712"/>
    </row>
    <row r="249" spans="2:11" ht="15.75" customHeight="1" x14ac:dyDescent="0.2">
      <c r="B249" s="362" t="s">
        <v>33</v>
      </c>
      <c r="C249" s="357" t="s">
        <v>5</v>
      </c>
      <c r="D249" s="24" t="s">
        <v>6</v>
      </c>
      <c r="E249" s="25"/>
      <c r="F249" s="25"/>
      <c r="G249" s="25"/>
      <c r="H249" s="24" t="s">
        <v>45</v>
      </c>
      <c r="I249" s="36" t="s">
        <v>39</v>
      </c>
    </row>
    <row r="250" spans="2:11" ht="15.75" customHeight="1" x14ac:dyDescent="0.2">
      <c r="B250" s="328" t="s">
        <v>64</v>
      </c>
      <c r="C250" s="34" t="s">
        <v>56</v>
      </c>
      <c r="D250" s="640">
        <v>0.14000000000000001</v>
      </c>
      <c r="E250" s="25"/>
      <c r="F250" s="25"/>
      <c r="G250" s="25"/>
      <c r="H250" s="603">
        <f>INSUMOS!E29</f>
        <v>13</v>
      </c>
      <c r="I250" s="583">
        <f>H250*D250</f>
        <v>1.82</v>
      </c>
    </row>
    <row r="251" spans="2:11" x14ac:dyDescent="0.2">
      <c r="B251" s="328" t="s">
        <v>65</v>
      </c>
      <c r="C251" s="34" t="s">
        <v>53</v>
      </c>
      <c r="D251" s="640">
        <v>0.09</v>
      </c>
      <c r="E251" s="25"/>
      <c r="F251" s="25"/>
      <c r="G251" s="25"/>
      <c r="H251" s="603">
        <f>INSUMOS!E83</f>
        <v>19.079999999999998</v>
      </c>
      <c r="I251" s="583">
        <f>H251*D251</f>
        <v>1.72</v>
      </c>
    </row>
    <row r="252" spans="2:11" s="47" customFormat="1" ht="30" customHeight="1" x14ac:dyDescent="0.2">
      <c r="B252" s="328" t="s">
        <v>60</v>
      </c>
      <c r="C252" s="28" t="s">
        <v>56</v>
      </c>
      <c r="D252" s="622">
        <v>5</v>
      </c>
      <c r="E252" s="25"/>
      <c r="F252" s="25"/>
      <c r="G252" s="25"/>
      <c r="H252" s="582">
        <f>INSUMOS!E28</f>
        <v>2.77</v>
      </c>
      <c r="I252" s="583">
        <f>H252*D252</f>
        <v>13.85</v>
      </c>
      <c r="K252" s="11"/>
    </row>
    <row r="253" spans="2:11" s="47" customFormat="1" ht="20.25" customHeight="1" x14ac:dyDescent="0.2">
      <c r="B253" s="713" t="s">
        <v>43</v>
      </c>
      <c r="C253" s="713"/>
      <c r="D253" s="713"/>
      <c r="E253" s="713"/>
      <c r="F253" s="713"/>
      <c r="G253" s="713"/>
      <c r="H253" s="713"/>
      <c r="I253" s="583">
        <f>SUM(I250:I252)</f>
        <v>17.39</v>
      </c>
      <c r="K253" s="11"/>
    </row>
    <row r="254" spans="2:11" s="47" customFormat="1" ht="20.25" customHeight="1" x14ac:dyDescent="0.2">
      <c r="B254" s="712" t="s">
        <v>46</v>
      </c>
      <c r="C254" s="712"/>
      <c r="D254" s="712"/>
      <c r="E254" s="712"/>
      <c r="F254" s="712"/>
      <c r="G254" s="712"/>
      <c r="H254" s="712"/>
      <c r="I254" s="712"/>
    </row>
    <row r="255" spans="2:11" s="47" customFormat="1" ht="21" customHeight="1" x14ac:dyDescent="0.2">
      <c r="B255" s="348" t="s">
        <v>33</v>
      </c>
      <c r="C255" s="27" t="s">
        <v>5</v>
      </c>
      <c r="D255" s="20" t="s">
        <v>6</v>
      </c>
      <c r="E255" s="21"/>
      <c r="F255" s="21"/>
      <c r="G255" s="21"/>
      <c r="H255" s="20" t="s">
        <v>45</v>
      </c>
      <c r="I255" s="30" t="s">
        <v>39</v>
      </c>
    </row>
    <row r="256" spans="2:11" x14ac:dyDescent="0.2">
      <c r="B256" s="19"/>
      <c r="C256" s="20"/>
      <c r="D256" s="20"/>
      <c r="E256" s="21"/>
      <c r="F256" s="21"/>
      <c r="G256" s="21"/>
      <c r="H256" s="20"/>
      <c r="I256" s="30"/>
      <c r="K256" s="47"/>
    </row>
    <row r="257" spans="2:11" ht="15.95" customHeight="1" x14ac:dyDescent="0.2">
      <c r="B257" s="713" t="s">
        <v>43</v>
      </c>
      <c r="C257" s="713"/>
      <c r="D257" s="713"/>
      <c r="E257" s="713"/>
      <c r="F257" s="713"/>
      <c r="G257" s="713"/>
      <c r="H257" s="713"/>
      <c r="I257" s="30"/>
      <c r="J257" s="22"/>
      <c r="K257" s="47"/>
    </row>
    <row r="258" spans="2:11" ht="15.95" customHeight="1" x14ac:dyDescent="0.2">
      <c r="B258" s="712" t="s">
        <v>47</v>
      </c>
      <c r="C258" s="712"/>
      <c r="D258" s="712"/>
      <c r="E258" s="712"/>
      <c r="F258" s="712"/>
      <c r="G258" s="712"/>
      <c r="H258" s="712"/>
      <c r="I258" s="712"/>
    </row>
    <row r="259" spans="2:11" ht="15.95" customHeight="1" x14ac:dyDescent="0.2">
      <c r="B259" s="362" t="s">
        <v>33</v>
      </c>
      <c r="C259" s="357" t="s">
        <v>5</v>
      </c>
      <c r="D259" s="363" t="s">
        <v>6</v>
      </c>
      <c r="E259" s="25"/>
      <c r="F259" s="25"/>
      <c r="G259" s="25"/>
      <c r="H259" s="24" t="s">
        <v>45</v>
      </c>
      <c r="I259" s="36" t="s">
        <v>39</v>
      </c>
    </row>
    <row r="260" spans="2:11" s="47" customFormat="1" ht="17.25" customHeight="1" x14ac:dyDescent="0.2">
      <c r="B260" s="35" t="s">
        <v>61</v>
      </c>
      <c r="C260" s="27" t="s">
        <v>41</v>
      </c>
      <c r="D260" s="582">
        <v>1.5</v>
      </c>
      <c r="E260" s="21"/>
      <c r="F260" s="21"/>
      <c r="G260" s="21"/>
      <c r="H260" s="582">
        <f>INSUMOS!E15</f>
        <v>23.62</v>
      </c>
      <c r="I260" s="583">
        <f>H260*D260</f>
        <v>35.43</v>
      </c>
      <c r="K260" s="11"/>
    </row>
    <row r="261" spans="2:11" ht="15.95" customHeight="1" x14ac:dyDescent="0.2">
      <c r="B261" s="207" t="s">
        <v>48</v>
      </c>
      <c r="C261" s="27" t="s">
        <v>41</v>
      </c>
      <c r="D261" s="582">
        <v>0.35</v>
      </c>
      <c r="E261" s="21"/>
      <c r="F261" s="21"/>
      <c r="G261" s="21"/>
      <c r="H261" s="582">
        <f>INSUMOS!E13</f>
        <v>7.81</v>
      </c>
      <c r="I261" s="583">
        <f>H261*D261</f>
        <v>2.73</v>
      </c>
    </row>
    <row r="262" spans="2:11" ht="15.95" customHeight="1" x14ac:dyDescent="0.2">
      <c r="B262" s="207" t="s">
        <v>66</v>
      </c>
      <c r="C262" s="27" t="s">
        <v>41</v>
      </c>
      <c r="D262" s="582">
        <v>1.5</v>
      </c>
      <c r="E262" s="21"/>
      <c r="F262" s="21"/>
      <c r="G262" s="21"/>
      <c r="H262" s="582">
        <f>INSUMOS!E19</f>
        <v>12.78</v>
      </c>
      <c r="I262" s="583">
        <f>H262*D262</f>
        <v>19.170000000000002</v>
      </c>
      <c r="K262" s="47"/>
    </row>
    <row r="263" spans="2:11" s="47" customFormat="1" ht="15.75" customHeight="1" x14ac:dyDescent="0.2">
      <c r="B263" s="713" t="s">
        <v>43</v>
      </c>
      <c r="C263" s="713"/>
      <c r="D263" s="713"/>
      <c r="E263" s="713"/>
      <c r="F263" s="713"/>
      <c r="G263" s="713"/>
      <c r="H263" s="713"/>
      <c r="I263" s="584">
        <f>SUM(I260:I262)</f>
        <v>57.33</v>
      </c>
      <c r="K263" s="11"/>
    </row>
    <row r="264" spans="2:11" ht="15.95" customHeight="1" x14ac:dyDescent="0.2">
      <c r="B264" s="355" t="s">
        <v>49</v>
      </c>
      <c r="C264" s="277">
        <v>1</v>
      </c>
      <c r="D264" s="709" t="s">
        <v>50</v>
      </c>
      <c r="E264" s="710"/>
      <c r="F264" s="710"/>
      <c r="G264" s="710"/>
      <c r="H264" s="711"/>
      <c r="I264" s="584">
        <f>I263+I257+I253+I247</f>
        <v>79.77</v>
      </c>
    </row>
    <row r="265" spans="2:11" ht="11.25" customHeight="1" x14ac:dyDescent="0.2">
      <c r="B265" s="725"/>
      <c r="C265" s="726"/>
      <c r="D265" s="726"/>
      <c r="E265" s="726"/>
      <c r="F265" s="726"/>
      <c r="G265" s="726"/>
      <c r="H265" s="727"/>
      <c r="I265" s="599">
        <f>I264/C264</f>
        <v>79.77</v>
      </c>
      <c r="K265" s="47"/>
    </row>
    <row r="266" spans="2:11" ht="15.95" customHeight="1" x14ac:dyDescent="0.2">
      <c r="B266" s="351" t="s">
        <v>135</v>
      </c>
      <c r="C266" s="520">
        <f>BDI!C$36</f>
        <v>25</v>
      </c>
      <c r="D266" s="352" t="s">
        <v>103</v>
      </c>
      <c r="E266" s="353"/>
      <c r="F266" s="353"/>
      <c r="G266" s="353"/>
      <c r="H266" s="354"/>
      <c r="I266" s="583">
        <f>C266/100*I265</f>
        <v>19.940000000000001</v>
      </c>
    </row>
    <row r="267" spans="2:11" s="47" customFormat="1" ht="15" customHeight="1" thickBot="1" x14ac:dyDescent="0.25">
      <c r="B267" s="708" t="s">
        <v>51</v>
      </c>
      <c r="C267" s="708"/>
      <c r="D267" s="708"/>
      <c r="E267" s="708"/>
      <c r="F267" s="708"/>
      <c r="G267" s="708"/>
      <c r="H267" s="708"/>
      <c r="I267" s="549">
        <f>SUM(I265:I266)</f>
        <v>99.71</v>
      </c>
      <c r="K267" s="11"/>
    </row>
    <row r="268" spans="2:11" s="47" customFormat="1" ht="15" customHeight="1" thickBot="1" x14ac:dyDescent="0.25">
      <c r="B268" s="461"/>
      <c r="C268" s="461"/>
      <c r="D268" s="461"/>
      <c r="E268" s="461"/>
      <c r="F268" s="461"/>
      <c r="G268" s="461"/>
      <c r="H268" s="461"/>
      <c r="I268" s="429"/>
      <c r="K268" s="11"/>
    </row>
    <row r="269" spans="2:11" s="47" customFormat="1" ht="15" customHeight="1" x14ac:dyDescent="0.2">
      <c r="B269" s="577" t="s">
        <v>361</v>
      </c>
      <c r="C269" s="578" t="s">
        <v>582</v>
      </c>
      <c r="D269" s="714" t="s">
        <v>30</v>
      </c>
      <c r="E269" s="714"/>
      <c r="F269" s="714"/>
      <c r="G269" s="714"/>
      <c r="H269" s="714"/>
      <c r="I269" s="714"/>
    </row>
    <row r="270" spans="2:11" s="47" customFormat="1" ht="15" customHeight="1" x14ac:dyDescent="0.2">
      <c r="B270" s="718" t="s">
        <v>134</v>
      </c>
      <c r="C270" s="719"/>
      <c r="D270" s="719"/>
      <c r="E270" s="719"/>
      <c r="F270" s="719"/>
      <c r="G270" s="720"/>
      <c r="H270" s="715" t="s">
        <v>572</v>
      </c>
      <c r="I270" s="716"/>
    </row>
    <row r="271" spans="2:11" s="47" customFormat="1" ht="15" customHeight="1" x14ac:dyDescent="0.2">
      <c r="B271" s="763" t="s">
        <v>328</v>
      </c>
      <c r="C271" s="764"/>
      <c r="D271" s="764"/>
      <c r="E271" s="764"/>
      <c r="F271" s="764"/>
      <c r="G271" s="765"/>
      <c r="H271" s="12" t="s">
        <v>31</v>
      </c>
      <c r="I271" s="46" t="s">
        <v>19</v>
      </c>
    </row>
    <row r="272" spans="2:11" s="47" customFormat="1" ht="15" customHeight="1" x14ac:dyDescent="0.2">
      <c r="B272" s="712" t="s">
        <v>32</v>
      </c>
      <c r="C272" s="712"/>
      <c r="D272" s="712"/>
      <c r="E272" s="712"/>
      <c r="F272" s="712"/>
      <c r="G272" s="712"/>
      <c r="H272" s="712"/>
      <c r="I272" s="712"/>
    </row>
    <row r="273" spans="2:9" s="47" customFormat="1" ht="28.5" customHeight="1" x14ac:dyDescent="0.2">
      <c r="B273" s="13" t="s">
        <v>33</v>
      </c>
      <c r="C273" s="62" t="s">
        <v>5</v>
      </c>
      <c r="D273" s="14" t="s">
        <v>6</v>
      </c>
      <c r="E273" s="14" t="s">
        <v>35</v>
      </c>
      <c r="F273" s="14" t="s">
        <v>36</v>
      </c>
      <c r="G273" s="14" t="s">
        <v>37</v>
      </c>
      <c r="H273" s="14" t="s">
        <v>38</v>
      </c>
      <c r="I273" s="15" t="s">
        <v>39</v>
      </c>
    </row>
    <row r="274" spans="2:9" s="47" customFormat="1" ht="15" customHeight="1" x14ac:dyDescent="0.2">
      <c r="B274" s="328"/>
      <c r="C274" s="34"/>
      <c r="D274" s="54"/>
      <c r="E274" s="24"/>
      <c r="F274" s="24"/>
      <c r="G274" s="24"/>
      <c r="H274" s="24"/>
      <c r="I274" s="30"/>
    </row>
    <row r="275" spans="2:9" s="47" customFormat="1" ht="15" customHeight="1" x14ac:dyDescent="0.2">
      <c r="B275" s="713" t="s">
        <v>43</v>
      </c>
      <c r="C275" s="713"/>
      <c r="D275" s="713"/>
      <c r="E275" s="713"/>
      <c r="F275" s="713"/>
      <c r="G275" s="713"/>
      <c r="H275" s="713"/>
      <c r="I275" s="344"/>
    </row>
    <row r="276" spans="2:9" s="47" customFormat="1" ht="15" customHeight="1" x14ac:dyDescent="0.2">
      <c r="B276" s="712" t="s">
        <v>44</v>
      </c>
      <c r="C276" s="712"/>
      <c r="D276" s="712"/>
      <c r="E276" s="712"/>
      <c r="F276" s="712"/>
      <c r="G276" s="712"/>
      <c r="H276" s="712"/>
      <c r="I276" s="712"/>
    </row>
    <row r="277" spans="2:9" s="47" customFormat="1" ht="15" customHeight="1" x14ac:dyDescent="0.2">
      <c r="B277" s="360" t="s">
        <v>33</v>
      </c>
      <c r="C277" s="361" t="s">
        <v>5</v>
      </c>
      <c r="D277" s="20" t="s">
        <v>6</v>
      </c>
      <c r="E277" s="21"/>
      <c r="F277" s="21"/>
      <c r="G277" s="21"/>
      <c r="H277" s="20" t="s">
        <v>45</v>
      </c>
      <c r="I277" s="30" t="s">
        <v>39</v>
      </c>
    </row>
    <row r="278" spans="2:9" s="47" customFormat="1" ht="15" customHeight="1" x14ac:dyDescent="0.2">
      <c r="B278" s="193" t="s">
        <v>617</v>
      </c>
      <c r="C278" s="194" t="s">
        <v>19</v>
      </c>
      <c r="D278" s="636">
        <v>1</v>
      </c>
      <c r="E278" s="21"/>
      <c r="F278" s="21"/>
      <c r="G278" s="21"/>
      <c r="H278" s="582">
        <f>INSUMOS!E58</f>
        <v>74.81</v>
      </c>
      <c r="I278" s="583">
        <f>H278*D278</f>
        <v>74.81</v>
      </c>
    </row>
    <row r="279" spans="2:9" s="47" customFormat="1" ht="15" customHeight="1" x14ac:dyDescent="0.2">
      <c r="B279" s="98" t="s">
        <v>60</v>
      </c>
      <c r="C279" s="195" t="s">
        <v>56</v>
      </c>
      <c r="D279" s="634">
        <v>0.2</v>
      </c>
      <c r="E279" s="196"/>
      <c r="F279" s="21"/>
      <c r="G279" s="21"/>
      <c r="H279" s="582">
        <f>INSUMOS!E28</f>
        <v>2.77</v>
      </c>
      <c r="I279" s="583">
        <f>H279*D279</f>
        <v>0.55000000000000004</v>
      </c>
    </row>
    <row r="280" spans="2:9" s="47" customFormat="1" ht="15" customHeight="1" x14ac:dyDescent="0.2">
      <c r="B280" s="98" t="s">
        <v>218</v>
      </c>
      <c r="C280" s="195" t="s">
        <v>56</v>
      </c>
      <c r="D280" s="634">
        <v>0.01</v>
      </c>
      <c r="E280" s="196"/>
      <c r="F280" s="21"/>
      <c r="G280" s="21"/>
      <c r="H280" s="582">
        <f>INSUMOS!E29</f>
        <v>13</v>
      </c>
      <c r="I280" s="583">
        <f>H280*D280</f>
        <v>0.13</v>
      </c>
    </row>
    <row r="281" spans="2:9" s="47" customFormat="1" ht="15" customHeight="1" x14ac:dyDescent="0.2">
      <c r="B281" s="713" t="s">
        <v>43</v>
      </c>
      <c r="C281" s="713"/>
      <c r="D281" s="713"/>
      <c r="E281" s="713"/>
      <c r="F281" s="713"/>
      <c r="G281" s="713"/>
      <c r="H281" s="713"/>
      <c r="I281" s="583">
        <f>SUM(I278:I280)</f>
        <v>75.489999999999995</v>
      </c>
    </row>
    <row r="282" spans="2:9" s="47" customFormat="1" ht="15" customHeight="1" x14ac:dyDescent="0.2">
      <c r="B282" s="712" t="s">
        <v>46</v>
      </c>
      <c r="C282" s="712"/>
      <c r="D282" s="712"/>
      <c r="E282" s="712"/>
      <c r="F282" s="712"/>
      <c r="G282" s="712"/>
      <c r="H282" s="712"/>
      <c r="I282" s="712"/>
    </row>
    <row r="283" spans="2:9" s="47" customFormat="1" ht="15" customHeight="1" x14ac:dyDescent="0.2">
      <c r="B283" s="348" t="s">
        <v>33</v>
      </c>
      <c r="C283" s="27" t="s">
        <v>5</v>
      </c>
      <c r="D283" s="20" t="s">
        <v>6</v>
      </c>
      <c r="E283" s="21"/>
      <c r="F283" s="21"/>
      <c r="G283" s="21"/>
      <c r="H283" s="20" t="s">
        <v>45</v>
      </c>
      <c r="I283" s="30" t="s">
        <v>39</v>
      </c>
    </row>
    <row r="284" spans="2:9" s="47" customFormat="1" ht="15" customHeight="1" x14ac:dyDescent="0.2">
      <c r="B284" s="19"/>
      <c r="C284" s="20"/>
      <c r="D284" s="20"/>
      <c r="E284" s="21"/>
      <c r="F284" s="21"/>
      <c r="G284" s="21"/>
      <c r="H284" s="20"/>
      <c r="I284" s="30"/>
    </row>
    <row r="285" spans="2:9" s="47" customFormat="1" ht="15" customHeight="1" x14ac:dyDescent="0.2">
      <c r="B285" s="713" t="s">
        <v>43</v>
      </c>
      <c r="C285" s="713"/>
      <c r="D285" s="713"/>
      <c r="E285" s="713"/>
      <c r="F285" s="713"/>
      <c r="G285" s="713"/>
      <c r="H285" s="713"/>
      <c r="I285" s="30"/>
    </row>
    <row r="286" spans="2:9" s="47" customFormat="1" ht="15" customHeight="1" x14ac:dyDescent="0.2">
      <c r="B286" s="712" t="s">
        <v>47</v>
      </c>
      <c r="C286" s="712"/>
      <c r="D286" s="712"/>
      <c r="E286" s="712"/>
      <c r="F286" s="712"/>
      <c r="G286" s="712"/>
      <c r="H286" s="712"/>
      <c r="I286" s="712"/>
    </row>
    <row r="287" spans="2:9" s="47" customFormat="1" ht="15" customHeight="1" x14ac:dyDescent="0.2">
      <c r="B287" s="360" t="s">
        <v>33</v>
      </c>
      <c r="C287" s="361" t="s">
        <v>5</v>
      </c>
      <c r="D287" s="330" t="s">
        <v>6</v>
      </c>
      <c r="E287" s="21"/>
      <c r="F287" s="21"/>
      <c r="G287" s="21"/>
      <c r="H287" s="20" t="s">
        <v>45</v>
      </c>
      <c r="I287" s="30" t="s">
        <v>39</v>
      </c>
    </row>
    <row r="288" spans="2:9" s="47" customFormat="1" ht="15" customHeight="1" x14ac:dyDescent="0.2">
      <c r="B288" s="35" t="s">
        <v>61</v>
      </c>
      <c r="C288" s="27" t="s">
        <v>41</v>
      </c>
      <c r="D288" s="582">
        <v>0.8</v>
      </c>
      <c r="E288" s="21"/>
      <c r="F288" s="21"/>
      <c r="G288" s="21"/>
      <c r="H288" s="582">
        <f>INSUMOS!E15</f>
        <v>23.62</v>
      </c>
      <c r="I288" s="583">
        <f>H288*D288</f>
        <v>18.899999999999999</v>
      </c>
    </row>
    <row r="289" spans="2:9" s="47" customFormat="1" ht="15" customHeight="1" x14ac:dyDescent="0.2">
      <c r="B289" s="207" t="s">
        <v>48</v>
      </c>
      <c r="C289" s="27" t="s">
        <v>41</v>
      </c>
      <c r="D289" s="582">
        <v>0.8</v>
      </c>
      <c r="E289" s="21"/>
      <c r="F289" s="21"/>
      <c r="G289" s="21"/>
      <c r="H289" s="582">
        <f>INSUMOS!E13</f>
        <v>7.81</v>
      </c>
      <c r="I289" s="583">
        <f>H289*D289</f>
        <v>6.25</v>
      </c>
    </row>
    <row r="290" spans="2:9" s="47" customFormat="1" ht="15" customHeight="1" x14ac:dyDescent="0.2">
      <c r="B290" s="756" t="s">
        <v>43</v>
      </c>
      <c r="C290" s="756"/>
      <c r="D290" s="756"/>
      <c r="E290" s="756"/>
      <c r="F290" s="756"/>
      <c r="G290" s="756"/>
      <c r="H290" s="756"/>
      <c r="I290" s="599">
        <f>SUM(I288:I289)</f>
        <v>25.15</v>
      </c>
    </row>
    <row r="291" spans="2:9" s="47" customFormat="1" ht="15" customHeight="1" x14ac:dyDescent="0.2">
      <c r="B291" s="57" t="s">
        <v>49</v>
      </c>
      <c r="C291" s="58">
        <v>1</v>
      </c>
      <c r="D291" s="700" t="s">
        <v>50</v>
      </c>
      <c r="E291" s="701"/>
      <c r="F291" s="701"/>
      <c r="G291" s="701"/>
      <c r="H291" s="702"/>
      <c r="I291" s="599">
        <f>I275+I281+I285+I290</f>
        <v>100.64</v>
      </c>
    </row>
    <row r="292" spans="2:9" s="47" customFormat="1" ht="15" customHeight="1" x14ac:dyDescent="0.2">
      <c r="B292" s="703"/>
      <c r="C292" s="704"/>
      <c r="D292" s="704"/>
      <c r="E292" s="704"/>
      <c r="F292" s="704"/>
      <c r="G292" s="704"/>
      <c r="H292" s="705"/>
      <c r="I292" s="599">
        <f>I291/C291</f>
        <v>100.64</v>
      </c>
    </row>
    <row r="293" spans="2:9" s="47" customFormat="1" ht="15" customHeight="1" x14ac:dyDescent="0.2">
      <c r="B293" s="53" t="s">
        <v>135</v>
      </c>
      <c r="C293" s="520">
        <f>BDI!C$36</f>
        <v>25</v>
      </c>
      <c r="D293" s="56" t="s">
        <v>103</v>
      </c>
      <c r="E293" s="51"/>
      <c r="F293" s="51"/>
      <c r="G293" s="51"/>
      <c r="H293" s="52"/>
      <c r="I293" s="583">
        <f>C293/100*I292</f>
        <v>25.16</v>
      </c>
    </row>
    <row r="294" spans="2:9" s="47" customFormat="1" ht="15" customHeight="1" thickBot="1" x14ac:dyDescent="0.25">
      <c r="B294" s="804" t="s">
        <v>51</v>
      </c>
      <c r="C294" s="805"/>
      <c r="D294" s="805"/>
      <c r="E294" s="805"/>
      <c r="F294" s="805"/>
      <c r="G294" s="805"/>
      <c r="H294" s="806"/>
      <c r="I294" s="549">
        <f>SUM(I292:I293)</f>
        <v>125.8</v>
      </c>
    </row>
    <row r="295" spans="2:9" s="47" customFormat="1" ht="15" customHeight="1" thickBot="1" x14ac:dyDescent="0.25">
      <c r="B295" s="461"/>
      <c r="C295" s="461"/>
      <c r="D295" s="461"/>
      <c r="E295" s="461"/>
      <c r="F295" s="461"/>
      <c r="G295" s="461"/>
      <c r="H295" s="461"/>
      <c r="I295" s="429"/>
    </row>
    <row r="296" spans="2:9" s="47" customFormat="1" ht="15" customHeight="1" x14ac:dyDescent="0.2">
      <c r="B296" s="577" t="s">
        <v>361</v>
      </c>
      <c r="C296" s="578" t="s">
        <v>646</v>
      </c>
      <c r="D296" s="714" t="s">
        <v>30</v>
      </c>
      <c r="E296" s="714"/>
      <c r="F296" s="714"/>
      <c r="G296" s="714"/>
      <c r="H296" s="714"/>
      <c r="I296" s="714"/>
    </row>
    <row r="297" spans="2:9" s="47" customFormat="1" ht="15" customHeight="1" x14ac:dyDescent="0.2">
      <c r="B297" s="718" t="s">
        <v>134</v>
      </c>
      <c r="C297" s="719"/>
      <c r="D297" s="719"/>
      <c r="E297" s="719"/>
      <c r="F297" s="719"/>
      <c r="G297" s="720"/>
      <c r="H297" s="715" t="s">
        <v>572</v>
      </c>
      <c r="I297" s="716"/>
    </row>
    <row r="298" spans="2:9" s="47" customFormat="1" ht="15" customHeight="1" x14ac:dyDescent="0.2">
      <c r="B298" s="717" t="s">
        <v>575</v>
      </c>
      <c r="C298" s="717"/>
      <c r="D298" s="717"/>
      <c r="E298" s="717"/>
      <c r="F298" s="717"/>
      <c r="G298" s="717"/>
      <c r="H298" s="12" t="s">
        <v>31</v>
      </c>
      <c r="I298" s="46" t="s">
        <v>23</v>
      </c>
    </row>
    <row r="299" spans="2:9" s="47" customFormat="1" ht="15" customHeight="1" x14ac:dyDescent="0.2">
      <c r="B299" s="712" t="s">
        <v>32</v>
      </c>
      <c r="C299" s="712"/>
      <c r="D299" s="712"/>
      <c r="E299" s="712"/>
      <c r="F299" s="712"/>
      <c r="G299" s="712"/>
      <c r="H299" s="712"/>
      <c r="I299" s="712"/>
    </row>
    <row r="300" spans="2:9" s="47" customFormat="1" ht="28.5" customHeight="1" x14ac:dyDescent="0.2">
      <c r="B300" s="13" t="s">
        <v>33</v>
      </c>
      <c r="C300" s="62" t="s">
        <v>5</v>
      </c>
      <c r="D300" s="14" t="s">
        <v>6</v>
      </c>
      <c r="E300" s="14" t="s">
        <v>35</v>
      </c>
      <c r="F300" s="14" t="s">
        <v>36</v>
      </c>
      <c r="G300" s="14" t="s">
        <v>37</v>
      </c>
      <c r="H300" s="14" t="s">
        <v>38</v>
      </c>
      <c r="I300" s="15" t="s">
        <v>39</v>
      </c>
    </row>
    <row r="301" spans="2:9" s="47" customFormat="1" ht="15" customHeight="1" x14ac:dyDescent="0.2">
      <c r="B301" s="45" t="s">
        <v>71</v>
      </c>
      <c r="C301" s="28" t="s">
        <v>41</v>
      </c>
      <c r="D301" s="635">
        <v>0.71399999999999997</v>
      </c>
      <c r="E301" s="20"/>
      <c r="F301" s="20"/>
      <c r="G301" s="582">
        <f>INSUMOS!E44</f>
        <v>1.98</v>
      </c>
      <c r="H301" s="417"/>
      <c r="I301" s="583">
        <f>G301*D301</f>
        <v>1.41</v>
      </c>
    </row>
    <row r="302" spans="2:9" s="47" customFormat="1" ht="15" customHeight="1" x14ac:dyDescent="0.2">
      <c r="B302" s="713" t="s">
        <v>43</v>
      </c>
      <c r="C302" s="713"/>
      <c r="D302" s="713"/>
      <c r="E302" s="713"/>
      <c r="F302" s="713"/>
      <c r="G302" s="713"/>
      <c r="H302" s="713"/>
      <c r="I302" s="584">
        <f>SUM(I301:I301)</f>
        <v>1.41</v>
      </c>
    </row>
    <row r="303" spans="2:9" s="47" customFormat="1" ht="15" customHeight="1" x14ac:dyDescent="0.2">
      <c r="B303" s="712" t="s">
        <v>44</v>
      </c>
      <c r="C303" s="712"/>
      <c r="D303" s="712"/>
      <c r="E303" s="712"/>
      <c r="F303" s="712"/>
      <c r="G303" s="712"/>
      <c r="H303" s="712"/>
      <c r="I303" s="712"/>
    </row>
    <row r="304" spans="2:9" s="47" customFormat="1" ht="15" customHeight="1" x14ac:dyDescent="0.2">
      <c r="B304" s="360" t="s">
        <v>33</v>
      </c>
      <c r="C304" s="361" t="s">
        <v>5</v>
      </c>
      <c r="D304" s="20" t="s">
        <v>6</v>
      </c>
      <c r="E304" s="21"/>
      <c r="F304" s="21"/>
      <c r="G304" s="21"/>
      <c r="H304" s="20" t="s">
        <v>45</v>
      </c>
      <c r="I304" s="30" t="s">
        <v>39</v>
      </c>
    </row>
    <row r="305" spans="2:9" s="47" customFormat="1" ht="15" customHeight="1" x14ac:dyDescent="0.2">
      <c r="B305" s="328" t="s">
        <v>619</v>
      </c>
      <c r="C305" s="28" t="s">
        <v>53</v>
      </c>
      <c r="D305" s="622">
        <v>473</v>
      </c>
      <c r="E305" s="21"/>
      <c r="F305" s="21"/>
      <c r="G305" s="21"/>
      <c r="H305" s="582">
        <f>INSUMOS!E34</f>
        <v>0.5</v>
      </c>
      <c r="I305" s="583">
        <f>H305*D305</f>
        <v>236.5</v>
      </c>
    </row>
    <row r="306" spans="2:9" s="47" customFormat="1" ht="15" customHeight="1" x14ac:dyDescent="0.2">
      <c r="B306" s="328" t="s">
        <v>308</v>
      </c>
      <c r="C306" s="28" t="s">
        <v>23</v>
      </c>
      <c r="D306" s="635">
        <v>1.2969999999999999</v>
      </c>
      <c r="E306" s="21"/>
      <c r="F306" s="21"/>
      <c r="G306" s="21"/>
      <c r="H306" s="582">
        <f>INSUMOS!E37</f>
        <v>59</v>
      </c>
      <c r="I306" s="583">
        <f>H306*D306</f>
        <v>76.52</v>
      </c>
    </row>
    <row r="307" spans="2:9" s="47" customFormat="1" ht="15" customHeight="1" x14ac:dyDescent="0.2">
      <c r="B307" s="713"/>
      <c r="C307" s="713"/>
      <c r="D307" s="713"/>
      <c r="E307" s="713"/>
      <c r="F307" s="713"/>
      <c r="G307" s="713"/>
      <c r="H307" s="713"/>
      <c r="I307" s="583">
        <f>SUM(I305:I306)</f>
        <v>313.02</v>
      </c>
    </row>
    <row r="308" spans="2:9" s="47" customFormat="1" ht="15" customHeight="1" x14ac:dyDescent="0.2">
      <c r="B308" s="712" t="s">
        <v>46</v>
      </c>
      <c r="C308" s="712"/>
      <c r="D308" s="712"/>
      <c r="E308" s="712"/>
      <c r="F308" s="712"/>
      <c r="G308" s="712"/>
      <c r="H308" s="712"/>
      <c r="I308" s="712"/>
    </row>
    <row r="309" spans="2:9" s="47" customFormat="1" ht="15" customHeight="1" x14ac:dyDescent="0.2">
      <c r="B309" s="348" t="s">
        <v>33</v>
      </c>
      <c r="C309" s="27" t="s">
        <v>5</v>
      </c>
      <c r="D309" s="20" t="s">
        <v>6</v>
      </c>
      <c r="E309" s="21"/>
      <c r="F309" s="21"/>
      <c r="G309" s="21"/>
      <c r="H309" s="20" t="s">
        <v>45</v>
      </c>
      <c r="I309" s="30" t="s">
        <v>39</v>
      </c>
    </row>
    <row r="310" spans="2:9" s="47" customFormat="1" ht="15" customHeight="1" x14ac:dyDescent="0.2">
      <c r="B310" s="328"/>
      <c r="C310" s="20"/>
      <c r="D310" s="20"/>
      <c r="E310" s="21"/>
      <c r="F310" s="21"/>
      <c r="G310" s="21"/>
      <c r="H310" s="20"/>
      <c r="I310" s="30"/>
    </row>
    <row r="311" spans="2:9" s="47" customFormat="1" ht="15" customHeight="1" x14ac:dyDescent="0.2">
      <c r="B311" s="713" t="s">
        <v>43</v>
      </c>
      <c r="C311" s="713"/>
      <c r="D311" s="713"/>
      <c r="E311" s="713"/>
      <c r="F311" s="713"/>
      <c r="G311" s="713"/>
      <c r="H311" s="713"/>
      <c r="I311" s="30"/>
    </row>
    <row r="312" spans="2:9" s="47" customFormat="1" ht="15" customHeight="1" x14ac:dyDescent="0.2">
      <c r="B312" s="712" t="s">
        <v>47</v>
      </c>
      <c r="C312" s="712"/>
      <c r="D312" s="712"/>
      <c r="E312" s="712"/>
      <c r="F312" s="712"/>
      <c r="G312" s="712"/>
      <c r="H312" s="712"/>
      <c r="I312" s="712"/>
    </row>
    <row r="313" spans="2:9" s="47" customFormat="1" ht="15" customHeight="1" x14ac:dyDescent="0.2">
      <c r="B313" s="360" t="s">
        <v>33</v>
      </c>
      <c r="C313" s="361" t="s">
        <v>5</v>
      </c>
      <c r="D313" s="330" t="s">
        <v>6</v>
      </c>
      <c r="E313" s="21"/>
      <c r="F313" s="21"/>
      <c r="G313" s="21"/>
      <c r="H313" s="20" t="s">
        <v>45</v>
      </c>
      <c r="I313" s="30" t="s">
        <v>39</v>
      </c>
    </row>
    <row r="314" spans="2:9" s="47" customFormat="1" ht="15" customHeight="1" x14ac:dyDescent="0.2">
      <c r="B314" s="35" t="s">
        <v>48</v>
      </c>
      <c r="C314" s="27" t="s">
        <v>41</v>
      </c>
      <c r="D314" s="582">
        <v>6</v>
      </c>
      <c r="E314" s="21"/>
      <c r="F314" s="21"/>
      <c r="G314" s="21"/>
      <c r="H314" s="582">
        <f>INSUMOS!E13</f>
        <v>7.81</v>
      </c>
      <c r="I314" s="583">
        <f>H314*D314</f>
        <v>46.86</v>
      </c>
    </row>
    <row r="315" spans="2:9" s="47" customFormat="1" ht="15" customHeight="1" x14ac:dyDescent="0.2">
      <c r="B315" s="713" t="s">
        <v>43</v>
      </c>
      <c r="C315" s="713"/>
      <c r="D315" s="713"/>
      <c r="E315" s="713"/>
      <c r="F315" s="713"/>
      <c r="G315" s="713"/>
      <c r="H315" s="713"/>
      <c r="I315" s="584">
        <f>SUM(I314:I314)</f>
        <v>46.86</v>
      </c>
    </row>
    <row r="316" spans="2:9" s="47" customFormat="1" ht="15" customHeight="1" x14ac:dyDescent="0.2">
      <c r="B316" s="355" t="s">
        <v>49</v>
      </c>
      <c r="C316" s="277">
        <v>1</v>
      </c>
      <c r="D316" s="709" t="s">
        <v>50</v>
      </c>
      <c r="E316" s="710"/>
      <c r="F316" s="710"/>
      <c r="G316" s="710"/>
      <c r="H316" s="711"/>
      <c r="I316" s="584">
        <f>I302+I307+I311+I315</f>
        <v>361.29</v>
      </c>
    </row>
    <row r="317" spans="2:9" s="47" customFormat="1" ht="15" customHeight="1" x14ac:dyDescent="0.2">
      <c r="B317" s="725"/>
      <c r="C317" s="726"/>
      <c r="D317" s="726"/>
      <c r="E317" s="726"/>
      <c r="F317" s="726"/>
      <c r="G317" s="726"/>
      <c r="H317" s="727"/>
      <c r="I317" s="584">
        <f>I316/C316</f>
        <v>361.29</v>
      </c>
    </row>
    <row r="318" spans="2:9" s="47" customFormat="1" ht="15" customHeight="1" x14ac:dyDescent="0.2">
      <c r="B318" s="351" t="s">
        <v>135</v>
      </c>
      <c r="C318" s="520">
        <f>BDI!C$36</f>
        <v>25</v>
      </c>
      <c r="D318" s="352" t="s">
        <v>103</v>
      </c>
      <c r="E318" s="353"/>
      <c r="F318" s="353"/>
      <c r="G318" s="353"/>
      <c r="H318" s="354"/>
      <c r="I318" s="583">
        <f>C318/100*I317</f>
        <v>90.32</v>
      </c>
    </row>
    <row r="319" spans="2:9" s="47" customFormat="1" ht="15" customHeight="1" thickBot="1" x14ac:dyDescent="0.25">
      <c r="B319" s="708" t="s">
        <v>51</v>
      </c>
      <c r="C319" s="708"/>
      <c r="D319" s="708"/>
      <c r="E319" s="708"/>
      <c r="F319" s="708"/>
      <c r="G319" s="708"/>
      <c r="H319" s="708"/>
      <c r="I319" s="549">
        <f>SUM(I317:I318)</f>
        <v>451.61</v>
      </c>
    </row>
    <row r="320" spans="2:9" s="47" customFormat="1" ht="15" customHeight="1" thickBot="1" x14ac:dyDescent="0.25">
      <c r="B320" s="461"/>
      <c r="C320" s="461"/>
      <c r="D320" s="461"/>
      <c r="E320" s="461"/>
      <c r="F320" s="461"/>
      <c r="G320" s="461"/>
      <c r="H320" s="461"/>
      <c r="I320" s="429"/>
    </row>
    <row r="321" spans="2:9" s="47" customFormat="1" ht="15" customHeight="1" x14ac:dyDescent="0.2">
      <c r="B321" s="577" t="s">
        <v>361</v>
      </c>
      <c r="C321" s="578" t="s">
        <v>647</v>
      </c>
      <c r="D321" s="714" t="s">
        <v>30</v>
      </c>
      <c r="E321" s="714"/>
      <c r="F321" s="714"/>
      <c r="G321" s="714"/>
      <c r="H321" s="714"/>
      <c r="I321" s="714"/>
    </row>
    <row r="322" spans="2:9" s="47" customFormat="1" ht="15" customHeight="1" x14ac:dyDescent="0.2">
      <c r="B322" s="718" t="s">
        <v>134</v>
      </c>
      <c r="C322" s="719"/>
      <c r="D322" s="719"/>
      <c r="E322" s="719"/>
      <c r="F322" s="719"/>
      <c r="G322" s="720"/>
      <c r="H322" s="715" t="s">
        <v>572</v>
      </c>
      <c r="I322" s="716"/>
    </row>
    <row r="323" spans="2:9" s="47" customFormat="1" ht="32.25" customHeight="1" x14ac:dyDescent="0.2">
      <c r="B323" s="766" t="s">
        <v>329</v>
      </c>
      <c r="C323" s="766"/>
      <c r="D323" s="766"/>
      <c r="E323" s="766"/>
      <c r="F323" s="766"/>
      <c r="G323" s="766"/>
      <c r="H323" s="99" t="s">
        <v>31</v>
      </c>
      <c r="I323" s="46" t="s">
        <v>143</v>
      </c>
    </row>
    <row r="324" spans="2:9" s="47" customFormat="1" ht="15" customHeight="1" x14ac:dyDescent="0.2">
      <c r="B324" s="712" t="s">
        <v>32</v>
      </c>
      <c r="C324" s="712"/>
      <c r="D324" s="712"/>
      <c r="E324" s="712"/>
      <c r="F324" s="712"/>
      <c r="G324" s="712"/>
      <c r="H324" s="712"/>
      <c r="I324" s="712"/>
    </row>
    <row r="325" spans="2:9" s="47" customFormat="1" ht="26.25" customHeight="1" x14ac:dyDescent="0.2">
      <c r="B325" s="13" t="s">
        <v>33</v>
      </c>
      <c r="C325" s="62" t="s">
        <v>5</v>
      </c>
      <c r="D325" s="14" t="s">
        <v>6</v>
      </c>
      <c r="E325" s="14" t="s">
        <v>35</v>
      </c>
      <c r="F325" s="14" t="s">
        <v>36</v>
      </c>
      <c r="G325" s="14" t="s">
        <v>37</v>
      </c>
      <c r="H325" s="14" t="s">
        <v>38</v>
      </c>
      <c r="I325" s="15" t="s">
        <v>39</v>
      </c>
    </row>
    <row r="326" spans="2:9" s="47" customFormat="1" ht="15" customHeight="1" x14ac:dyDescent="0.2">
      <c r="B326" s="328" t="s">
        <v>63</v>
      </c>
      <c r="C326" s="28" t="s">
        <v>41</v>
      </c>
      <c r="D326" s="635">
        <v>3</v>
      </c>
      <c r="E326" s="24"/>
      <c r="F326" s="24"/>
      <c r="G326" s="582">
        <f>INSUMOS!E62</f>
        <v>9.44</v>
      </c>
      <c r="H326" s="365"/>
      <c r="I326" s="583">
        <f>G326*D326</f>
        <v>28.32</v>
      </c>
    </row>
    <row r="327" spans="2:9" s="47" customFormat="1" ht="15" customHeight="1" x14ac:dyDescent="0.2">
      <c r="B327" s="713" t="s">
        <v>43</v>
      </c>
      <c r="C327" s="713"/>
      <c r="D327" s="713"/>
      <c r="E327" s="713"/>
      <c r="F327" s="713"/>
      <c r="G327" s="713"/>
      <c r="H327" s="713"/>
      <c r="I327" s="584">
        <f>SUM(I326:I326)</f>
        <v>28.32</v>
      </c>
    </row>
    <row r="328" spans="2:9" s="47" customFormat="1" ht="15" customHeight="1" x14ac:dyDescent="0.2">
      <c r="B328" s="712" t="s">
        <v>44</v>
      </c>
      <c r="C328" s="712"/>
      <c r="D328" s="712"/>
      <c r="E328" s="712"/>
      <c r="F328" s="712"/>
      <c r="G328" s="712"/>
      <c r="H328" s="712"/>
      <c r="I328" s="712"/>
    </row>
    <row r="329" spans="2:9" s="47" customFormat="1" ht="15" customHeight="1" x14ac:dyDescent="0.2">
      <c r="B329" s="360" t="s">
        <v>33</v>
      </c>
      <c r="C329" s="361" t="s">
        <v>5</v>
      </c>
      <c r="D329" s="20" t="s">
        <v>6</v>
      </c>
      <c r="E329" s="21"/>
      <c r="F329" s="21"/>
      <c r="G329" s="21"/>
      <c r="H329" s="20" t="s">
        <v>45</v>
      </c>
      <c r="I329" s="30" t="s">
        <v>39</v>
      </c>
    </row>
    <row r="330" spans="2:9" s="47" customFormat="1" ht="15" customHeight="1" x14ac:dyDescent="0.2">
      <c r="B330" s="328" t="s">
        <v>60</v>
      </c>
      <c r="C330" s="28" t="s">
        <v>56</v>
      </c>
      <c r="D330" s="622">
        <v>8</v>
      </c>
      <c r="E330" s="21"/>
      <c r="F330" s="21"/>
      <c r="G330" s="21"/>
      <c r="H330" s="582">
        <f>INSUMOS!E28</f>
        <v>2.77</v>
      </c>
      <c r="I330" s="583">
        <f>H330*D330</f>
        <v>22.16</v>
      </c>
    </row>
    <row r="331" spans="2:9" s="47" customFormat="1" ht="15" customHeight="1" x14ac:dyDescent="0.2">
      <c r="B331" s="328" t="s">
        <v>67</v>
      </c>
      <c r="C331" s="28" t="s">
        <v>56</v>
      </c>
      <c r="D331" s="622">
        <v>0.25</v>
      </c>
      <c r="E331" s="21"/>
      <c r="F331" s="21"/>
      <c r="G331" s="21"/>
      <c r="H331" s="582">
        <f>INSUMOS!E29</f>
        <v>13</v>
      </c>
      <c r="I331" s="583">
        <f>H331*D331</f>
        <v>3.25</v>
      </c>
    </row>
    <row r="332" spans="2:9" s="47" customFormat="1" ht="15" customHeight="1" x14ac:dyDescent="0.2">
      <c r="B332" s="713" t="s">
        <v>43</v>
      </c>
      <c r="C332" s="713"/>
      <c r="D332" s="713"/>
      <c r="E332" s="713"/>
      <c r="F332" s="713"/>
      <c r="G332" s="713"/>
      <c r="H332" s="713"/>
      <c r="I332" s="583">
        <f>SUM(I330:I331)</f>
        <v>25.41</v>
      </c>
    </row>
    <row r="333" spans="2:9" s="47" customFormat="1" ht="15" customHeight="1" x14ac:dyDescent="0.2">
      <c r="B333" s="712" t="s">
        <v>46</v>
      </c>
      <c r="C333" s="712"/>
      <c r="D333" s="712"/>
      <c r="E333" s="712"/>
      <c r="F333" s="712"/>
      <c r="G333" s="712"/>
      <c r="H333" s="712"/>
      <c r="I333" s="712"/>
    </row>
    <row r="334" spans="2:9" s="47" customFormat="1" ht="15" customHeight="1" x14ac:dyDescent="0.2">
      <c r="B334" s="348" t="s">
        <v>33</v>
      </c>
      <c r="C334" s="27" t="s">
        <v>5</v>
      </c>
      <c r="D334" s="20" t="s">
        <v>6</v>
      </c>
      <c r="E334" s="21"/>
      <c r="F334" s="21"/>
      <c r="G334" s="21"/>
      <c r="H334" s="20" t="s">
        <v>45</v>
      </c>
      <c r="I334" s="30" t="s">
        <v>39</v>
      </c>
    </row>
    <row r="335" spans="2:9" s="47" customFormat="1" ht="15" customHeight="1" x14ac:dyDescent="0.2">
      <c r="B335" s="19"/>
      <c r="C335" s="20"/>
      <c r="D335" s="20"/>
      <c r="E335" s="21"/>
      <c r="F335" s="21"/>
      <c r="G335" s="21"/>
      <c r="H335" s="20"/>
      <c r="I335" s="30"/>
    </row>
    <row r="336" spans="2:9" s="47" customFormat="1" ht="15" customHeight="1" x14ac:dyDescent="0.2">
      <c r="B336" s="713" t="s">
        <v>43</v>
      </c>
      <c r="C336" s="713"/>
      <c r="D336" s="713"/>
      <c r="E336" s="713"/>
      <c r="F336" s="713"/>
      <c r="G336" s="713"/>
      <c r="H336" s="713"/>
      <c r="I336" s="30"/>
    </row>
    <row r="337" spans="2:9" s="47" customFormat="1" ht="15" customHeight="1" x14ac:dyDescent="0.2">
      <c r="B337" s="712" t="s">
        <v>47</v>
      </c>
      <c r="C337" s="712"/>
      <c r="D337" s="712"/>
      <c r="E337" s="712"/>
      <c r="F337" s="712"/>
      <c r="G337" s="712"/>
      <c r="H337" s="712"/>
      <c r="I337" s="712"/>
    </row>
    <row r="338" spans="2:9" s="47" customFormat="1" ht="15" customHeight="1" x14ac:dyDescent="0.2">
      <c r="B338" s="360" t="s">
        <v>33</v>
      </c>
      <c r="C338" s="361" t="s">
        <v>5</v>
      </c>
      <c r="D338" s="330" t="s">
        <v>6</v>
      </c>
      <c r="E338" s="21"/>
      <c r="F338" s="21"/>
      <c r="G338" s="21"/>
      <c r="H338" s="20" t="s">
        <v>45</v>
      </c>
      <c r="I338" s="30" t="s">
        <v>39</v>
      </c>
    </row>
    <row r="339" spans="2:9" s="47" customFormat="1" ht="15" customHeight="1" x14ac:dyDescent="0.2">
      <c r="B339" s="35" t="s">
        <v>68</v>
      </c>
      <c r="C339" s="27" t="s">
        <v>41</v>
      </c>
      <c r="D339" s="582">
        <v>1</v>
      </c>
      <c r="E339" s="25"/>
      <c r="F339" s="25"/>
      <c r="G339" s="25"/>
      <c r="H339" s="582">
        <f>INSUMOS!E20</f>
        <v>12.29</v>
      </c>
      <c r="I339" s="602">
        <f>H339*D339</f>
        <v>12.29</v>
      </c>
    </row>
    <row r="340" spans="2:9" s="47" customFormat="1" ht="15" customHeight="1" x14ac:dyDescent="0.2">
      <c r="B340" s="207" t="s">
        <v>48</v>
      </c>
      <c r="C340" s="27" t="s">
        <v>41</v>
      </c>
      <c r="D340" s="582">
        <v>2</v>
      </c>
      <c r="E340" s="25"/>
      <c r="F340" s="25"/>
      <c r="G340" s="25"/>
      <c r="H340" s="582">
        <f>INSUMOS!E13</f>
        <v>7.81</v>
      </c>
      <c r="I340" s="583">
        <f>H340*D340</f>
        <v>15.62</v>
      </c>
    </row>
    <row r="341" spans="2:9" s="47" customFormat="1" ht="15" customHeight="1" x14ac:dyDescent="0.2">
      <c r="B341" s="713" t="s">
        <v>43</v>
      </c>
      <c r="C341" s="713"/>
      <c r="D341" s="713"/>
      <c r="E341" s="713"/>
      <c r="F341" s="713"/>
      <c r="G341" s="713"/>
      <c r="H341" s="713"/>
      <c r="I341" s="584">
        <f>SUM(I339:I340)</f>
        <v>27.91</v>
      </c>
    </row>
    <row r="342" spans="2:9" s="47" customFormat="1" ht="15" customHeight="1" x14ac:dyDescent="0.2">
      <c r="B342" s="355" t="s">
        <v>49</v>
      </c>
      <c r="C342" s="277">
        <v>1</v>
      </c>
      <c r="D342" s="709" t="s">
        <v>50</v>
      </c>
      <c r="E342" s="710"/>
      <c r="F342" s="710"/>
      <c r="G342" s="710"/>
      <c r="H342" s="711"/>
      <c r="I342" s="584">
        <f>I327+I332+I336+I341</f>
        <v>81.64</v>
      </c>
    </row>
    <row r="343" spans="2:9" s="47" customFormat="1" ht="15" customHeight="1" x14ac:dyDescent="0.2">
      <c r="B343" s="725"/>
      <c r="C343" s="726"/>
      <c r="D343" s="726"/>
      <c r="E343" s="726"/>
      <c r="F343" s="726"/>
      <c r="G343" s="726"/>
      <c r="H343" s="727"/>
      <c r="I343" s="584">
        <f>I342/C342</f>
        <v>81.64</v>
      </c>
    </row>
    <row r="344" spans="2:9" s="47" customFormat="1" ht="15" customHeight="1" x14ac:dyDescent="0.2">
      <c r="B344" s="351" t="s">
        <v>135</v>
      </c>
      <c r="C344" s="520">
        <f>BDI!C$36</f>
        <v>25</v>
      </c>
      <c r="D344" s="352" t="s">
        <v>103</v>
      </c>
      <c r="E344" s="353"/>
      <c r="F344" s="353"/>
      <c r="G344" s="353"/>
      <c r="H344" s="354"/>
      <c r="I344" s="583">
        <f>C344/100*I343</f>
        <v>20.41</v>
      </c>
    </row>
    <row r="345" spans="2:9" s="47" customFormat="1" ht="15" customHeight="1" thickBot="1" x14ac:dyDescent="0.25">
      <c r="B345" s="708" t="s">
        <v>51</v>
      </c>
      <c r="C345" s="708"/>
      <c r="D345" s="708"/>
      <c r="E345" s="708"/>
      <c r="F345" s="708"/>
      <c r="G345" s="708"/>
      <c r="H345" s="708"/>
      <c r="I345" s="549">
        <f>SUM(I343:I344)</f>
        <v>102.05</v>
      </c>
    </row>
    <row r="346" spans="2:9" s="47" customFormat="1" ht="15" customHeight="1" thickBot="1" x14ac:dyDescent="0.25">
      <c r="B346" s="11"/>
      <c r="C346" s="11"/>
      <c r="D346" s="11"/>
      <c r="E346" s="11"/>
      <c r="F346" s="11"/>
      <c r="G346" s="11"/>
      <c r="H346" s="11"/>
      <c r="I346" s="11"/>
    </row>
    <row r="347" spans="2:9" s="47" customFormat="1" ht="15" customHeight="1" x14ac:dyDescent="0.2">
      <c r="B347" s="577" t="s">
        <v>361</v>
      </c>
      <c r="C347" s="578" t="s">
        <v>648</v>
      </c>
      <c r="D347" s="714" t="s">
        <v>30</v>
      </c>
      <c r="E347" s="714"/>
      <c r="F347" s="714"/>
      <c r="G347" s="714"/>
      <c r="H347" s="714"/>
      <c r="I347" s="714"/>
    </row>
    <row r="348" spans="2:9" s="47" customFormat="1" ht="15" customHeight="1" x14ac:dyDescent="0.2">
      <c r="B348" s="718" t="s">
        <v>134</v>
      </c>
      <c r="C348" s="719"/>
      <c r="D348" s="719"/>
      <c r="E348" s="719"/>
      <c r="F348" s="719"/>
      <c r="G348" s="720"/>
      <c r="H348" s="715" t="s">
        <v>572</v>
      </c>
      <c r="I348" s="716"/>
    </row>
    <row r="349" spans="2:9" s="47" customFormat="1" ht="34.5" customHeight="1" x14ac:dyDescent="0.2">
      <c r="B349" s="766" t="s">
        <v>330</v>
      </c>
      <c r="C349" s="766"/>
      <c r="D349" s="766"/>
      <c r="E349" s="766"/>
      <c r="F349" s="766"/>
      <c r="G349" s="766"/>
      <c r="H349" s="99" t="s">
        <v>31</v>
      </c>
      <c r="I349" s="46" t="s">
        <v>143</v>
      </c>
    </row>
    <row r="350" spans="2:9" s="47" customFormat="1" ht="15" customHeight="1" x14ac:dyDescent="0.2">
      <c r="B350" s="712" t="s">
        <v>32</v>
      </c>
      <c r="C350" s="712"/>
      <c r="D350" s="712"/>
      <c r="E350" s="712"/>
      <c r="F350" s="712"/>
      <c r="G350" s="712"/>
      <c r="H350" s="712"/>
      <c r="I350" s="712"/>
    </row>
    <row r="351" spans="2:9" s="47" customFormat="1" ht="24" customHeight="1" x14ac:dyDescent="0.2">
      <c r="B351" s="13" t="s">
        <v>33</v>
      </c>
      <c r="C351" s="62" t="s">
        <v>5</v>
      </c>
      <c r="D351" s="14" t="s">
        <v>6</v>
      </c>
      <c r="E351" s="14" t="s">
        <v>35</v>
      </c>
      <c r="F351" s="14" t="s">
        <v>36</v>
      </c>
      <c r="G351" s="14" t="s">
        <v>37</v>
      </c>
      <c r="H351" s="14" t="s">
        <v>38</v>
      </c>
      <c r="I351" s="15" t="s">
        <v>39</v>
      </c>
    </row>
    <row r="352" spans="2:9" s="47" customFormat="1" ht="15" customHeight="1" x14ac:dyDescent="0.2">
      <c r="B352" s="328" t="s">
        <v>63</v>
      </c>
      <c r="C352" s="28" t="s">
        <v>41</v>
      </c>
      <c r="D352" s="635">
        <v>6</v>
      </c>
      <c r="E352" s="24"/>
      <c r="F352" s="24"/>
      <c r="G352" s="582">
        <f>INSUMOS!E62</f>
        <v>9.44</v>
      </c>
      <c r="H352" s="365"/>
      <c r="I352" s="583">
        <f>G352*D352</f>
        <v>56.64</v>
      </c>
    </row>
    <row r="353" spans="2:9" s="47" customFormat="1" ht="15" customHeight="1" x14ac:dyDescent="0.2">
      <c r="B353" s="713" t="s">
        <v>43</v>
      </c>
      <c r="C353" s="713"/>
      <c r="D353" s="713"/>
      <c r="E353" s="713"/>
      <c r="F353" s="713"/>
      <c r="G353" s="713"/>
      <c r="H353" s="713"/>
      <c r="I353" s="584">
        <f>SUM(I352:I352)</f>
        <v>56.64</v>
      </c>
    </row>
    <row r="354" spans="2:9" s="47" customFormat="1" ht="15" customHeight="1" x14ac:dyDescent="0.2">
      <c r="B354" s="712" t="s">
        <v>44</v>
      </c>
      <c r="C354" s="712"/>
      <c r="D354" s="712"/>
      <c r="E354" s="712"/>
      <c r="F354" s="712"/>
      <c r="G354" s="712"/>
      <c r="H354" s="712"/>
      <c r="I354" s="712"/>
    </row>
    <row r="355" spans="2:9" s="47" customFormat="1" ht="15" customHeight="1" x14ac:dyDescent="0.2">
      <c r="B355" s="360" t="s">
        <v>33</v>
      </c>
      <c r="C355" s="361" t="s">
        <v>5</v>
      </c>
      <c r="D355" s="20" t="s">
        <v>6</v>
      </c>
      <c r="E355" s="21"/>
      <c r="F355" s="21"/>
      <c r="G355" s="21"/>
      <c r="H355" s="20" t="s">
        <v>45</v>
      </c>
      <c r="I355" s="30" t="s">
        <v>39</v>
      </c>
    </row>
    <row r="356" spans="2:9" s="47" customFormat="1" ht="15" customHeight="1" x14ac:dyDescent="0.2">
      <c r="B356" s="328" t="s">
        <v>60</v>
      </c>
      <c r="C356" s="28" t="s">
        <v>56</v>
      </c>
      <c r="D356" s="622">
        <v>10</v>
      </c>
      <c r="E356" s="21"/>
      <c r="F356" s="21"/>
      <c r="G356" s="21"/>
      <c r="H356" s="582">
        <f>INSUMOS!E28</f>
        <v>2.77</v>
      </c>
      <c r="I356" s="583">
        <f>H356*D356</f>
        <v>27.7</v>
      </c>
    </row>
    <row r="357" spans="2:9" s="47" customFormat="1" ht="15" customHeight="1" x14ac:dyDescent="0.2">
      <c r="B357" s="328" t="s">
        <v>67</v>
      </c>
      <c r="C357" s="28" t="s">
        <v>56</v>
      </c>
      <c r="D357" s="622">
        <v>0.2</v>
      </c>
      <c r="E357" s="21"/>
      <c r="F357" s="21"/>
      <c r="G357" s="21"/>
      <c r="H357" s="582">
        <f>INSUMOS!E29</f>
        <v>13</v>
      </c>
      <c r="I357" s="583">
        <f>H357*D357</f>
        <v>2.6</v>
      </c>
    </row>
    <row r="358" spans="2:9" s="47" customFormat="1" ht="15" customHeight="1" x14ac:dyDescent="0.2">
      <c r="B358" s="713" t="s">
        <v>43</v>
      </c>
      <c r="C358" s="713"/>
      <c r="D358" s="713"/>
      <c r="E358" s="713"/>
      <c r="F358" s="713"/>
      <c r="G358" s="713"/>
      <c r="H358" s="713"/>
      <c r="I358" s="583">
        <f>SUM(I356:I357)</f>
        <v>30.3</v>
      </c>
    </row>
    <row r="359" spans="2:9" s="47" customFormat="1" ht="15" customHeight="1" x14ac:dyDescent="0.2">
      <c r="B359" s="712" t="s">
        <v>46</v>
      </c>
      <c r="C359" s="712"/>
      <c r="D359" s="712"/>
      <c r="E359" s="712"/>
      <c r="F359" s="712"/>
      <c r="G359" s="712"/>
      <c r="H359" s="712"/>
      <c r="I359" s="712"/>
    </row>
    <row r="360" spans="2:9" s="47" customFormat="1" ht="15" customHeight="1" x14ac:dyDescent="0.2">
      <c r="B360" s="348" t="s">
        <v>33</v>
      </c>
      <c r="C360" s="27" t="s">
        <v>5</v>
      </c>
      <c r="D360" s="20" t="s">
        <v>6</v>
      </c>
      <c r="E360" s="21"/>
      <c r="F360" s="21"/>
      <c r="G360" s="21"/>
      <c r="H360" s="20" t="s">
        <v>45</v>
      </c>
      <c r="I360" s="30" t="s">
        <v>39</v>
      </c>
    </row>
    <row r="361" spans="2:9" s="47" customFormat="1" ht="15" customHeight="1" x14ac:dyDescent="0.2">
      <c r="B361" s="19"/>
      <c r="C361" s="20"/>
      <c r="D361" s="20"/>
      <c r="E361" s="21"/>
      <c r="F361" s="21"/>
      <c r="G361" s="21"/>
      <c r="H361" s="20"/>
      <c r="I361" s="30"/>
    </row>
    <row r="362" spans="2:9" s="47" customFormat="1" ht="15" customHeight="1" x14ac:dyDescent="0.2">
      <c r="B362" s="713" t="s">
        <v>43</v>
      </c>
      <c r="C362" s="713"/>
      <c r="D362" s="713"/>
      <c r="E362" s="713"/>
      <c r="F362" s="713"/>
      <c r="G362" s="713"/>
      <c r="H362" s="713"/>
      <c r="I362" s="30"/>
    </row>
    <row r="363" spans="2:9" s="47" customFormat="1" ht="15" customHeight="1" x14ac:dyDescent="0.2">
      <c r="B363" s="712" t="s">
        <v>47</v>
      </c>
      <c r="C363" s="712"/>
      <c r="D363" s="712"/>
      <c r="E363" s="712"/>
      <c r="F363" s="712"/>
      <c r="G363" s="712"/>
      <c r="H363" s="712"/>
      <c r="I363" s="712"/>
    </row>
    <row r="364" spans="2:9" s="47" customFormat="1" ht="15" customHeight="1" x14ac:dyDescent="0.2">
      <c r="B364" s="360" t="s">
        <v>33</v>
      </c>
      <c r="C364" s="361" t="s">
        <v>5</v>
      </c>
      <c r="D364" s="330" t="s">
        <v>6</v>
      </c>
      <c r="E364" s="21"/>
      <c r="F364" s="21"/>
      <c r="G364" s="21"/>
      <c r="H364" s="20" t="s">
        <v>45</v>
      </c>
      <c r="I364" s="30" t="s">
        <v>39</v>
      </c>
    </row>
    <row r="365" spans="2:9" s="47" customFormat="1" ht="15" customHeight="1" x14ac:dyDescent="0.2">
      <c r="B365" s="35" t="s">
        <v>121</v>
      </c>
      <c r="C365" s="27" t="s">
        <v>41</v>
      </c>
      <c r="D365" s="582">
        <v>2</v>
      </c>
      <c r="E365" s="21"/>
      <c r="F365" s="21"/>
      <c r="G365" s="21"/>
      <c r="H365" s="582">
        <f>INSUMOS!E20</f>
        <v>12.29</v>
      </c>
      <c r="I365" s="583">
        <f>H365*D365</f>
        <v>24.58</v>
      </c>
    </row>
    <row r="366" spans="2:9" s="47" customFormat="1" ht="15" customHeight="1" x14ac:dyDescent="0.2">
      <c r="B366" s="207" t="s">
        <v>48</v>
      </c>
      <c r="C366" s="27" t="s">
        <v>41</v>
      </c>
      <c r="D366" s="582">
        <v>4</v>
      </c>
      <c r="E366" s="21"/>
      <c r="F366" s="21"/>
      <c r="G366" s="21"/>
      <c r="H366" s="582">
        <f>INSUMOS!E13</f>
        <v>7.81</v>
      </c>
      <c r="I366" s="583">
        <f>H366*D366</f>
        <v>31.24</v>
      </c>
    </row>
    <row r="367" spans="2:9" s="47" customFormat="1" ht="15" customHeight="1" x14ac:dyDescent="0.2">
      <c r="B367" s="713" t="s">
        <v>43</v>
      </c>
      <c r="C367" s="713"/>
      <c r="D367" s="713"/>
      <c r="E367" s="713"/>
      <c r="F367" s="713"/>
      <c r="G367" s="713"/>
      <c r="H367" s="713"/>
      <c r="I367" s="584">
        <f>SUM(I365:I366)</f>
        <v>55.82</v>
      </c>
    </row>
    <row r="368" spans="2:9" s="47" customFormat="1" ht="15" customHeight="1" x14ac:dyDescent="0.2">
      <c r="B368" s="355" t="s">
        <v>49</v>
      </c>
      <c r="C368" s="277">
        <v>1</v>
      </c>
      <c r="D368" s="709" t="s">
        <v>50</v>
      </c>
      <c r="E368" s="710"/>
      <c r="F368" s="710"/>
      <c r="G368" s="710"/>
      <c r="H368" s="711"/>
      <c r="I368" s="584">
        <f>I353+I358+I362+I367</f>
        <v>142.76</v>
      </c>
    </row>
    <row r="369" spans="2:9" s="47" customFormat="1" ht="15" customHeight="1" x14ac:dyDescent="0.2">
      <c r="B369" s="725"/>
      <c r="C369" s="726"/>
      <c r="D369" s="726"/>
      <c r="E369" s="726"/>
      <c r="F369" s="726"/>
      <c r="G369" s="726"/>
      <c r="H369" s="727"/>
      <c r="I369" s="584">
        <f>I368/C368</f>
        <v>142.76</v>
      </c>
    </row>
    <row r="370" spans="2:9" s="47" customFormat="1" ht="15" customHeight="1" x14ac:dyDescent="0.2">
      <c r="B370" s="351" t="s">
        <v>135</v>
      </c>
      <c r="C370" s="520">
        <f>BDI!C$36</f>
        <v>25</v>
      </c>
      <c r="D370" s="352" t="s">
        <v>103</v>
      </c>
      <c r="E370" s="353"/>
      <c r="F370" s="353"/>
      <c r="G370" s="353"/>
      <c r="H370" s="354"/>
      <c r="I370" s="583">
        <f>C370/100*I369</f>
        <v>35.69</v>
      </c>
    </row>
    <row r="371" spans="2:9" s="47" customFormat="1" ht="15" customHeight="1" thickBot="1" x14ac:dyDescent="0.25">
      <c r="B371" s="708" t="s">
        <v>51</v>
      </c>
      <c r="C371" s="708"/>
      <c r="D371" s="708"/>
      <c r="E371" s="708"/>
      <c r="F371" s="708"/>
      <c r="G371" s="708"/>
      <c r="H371" s="708"/>
      <c r="I371" s="549">
        <f>SUM(I369:I370)</f>
        <v>178.45</v>
      </c>
    </row>
    <row r="372" spans="2:9" s="47" customFormat="1" ht="15" customHeight="1" thickBot="1" x14ac:dyDescent="0.25">
      <c r="B372" s="11"/>
      <c r="C372" s="11"/>
      <c r="D372" s="11"/>
      <c r="E372" s="11"/>
      <c r="F372" s="11"/>
      <c r="G372" s="11"/>
      <c r="H372" s="11"/>
      <c r="I372" s="11"/>
    </row>
    <row r="373" spans="2:9" s="47" customFormat="1" ht="15" customHeight="1" x14ac:dyDescent="0.2">
      <c r="B373" s="577" t="s">
        <v>361</v>
      </c>
      <c r="C373" s="578" t="s">
        <v>580</v>
      </c>
      <c r="D373" s="714" t="s">
        <v>30</v>
      </c>
      <c r="E373" s="714"/>
      <c r="F373" s="714"/>
      <c r="G373" s="714"/>
      <c r="H373" s="714"/>
      <c r="I373" s="714"/>
    </row>
    <row r="374" spans="2:9" s="47" customFormat="1" ht="15" customHeight="1" x14ac:dyDescent="0.2">
      <c r="B374" s="718" t="s">
        <v>134</v>
      </c>
      <c r="C374" s="719"/>
      <c r="D374" s="719"/>
      <c r="E374" s="719"/>
      <c r="F374" s="719"/>
      <c r="G374" s="720"/>
      <c r="H374" s="715" t="s">
        <v>572</v>
      </c>
      <c r="I374" s="716"/>
    </row>
    <row r="375" spans="2:9" s="47" customFormat="1" ht="33" customHeight="1" x14ac:dyDescent="0.2">
      <c r="B375" s="763" t="s">
        <v>331</v>
      </c>
      <c r="C375" s="764"/>
      <c r="D375" s="764"/>
      <c r="E375" s="764"/>
      <c r="F375" s="764"/>
      <c r="G375" s="765"/>
      <c r="H375" s="12" t="s">
        <v>31</v>
      </c>
      <c r="I375" s="46" t="s">
        <v>143</v>
      </c>
    </row>
    <row r="376" spans="2:9" s="47" customFormat="1" ht="15" customHeight="1" x14ac:dyDescent="0.2">
      <c r="B376" s="712" t="s">
        <v>32</v>
      </c>
      <c r="C376" s="712"/>
      <c r="D376" s="712"/>
      <c r="E376" s="712"/>
      <c r="F376" s="712"/>
      <c r="G376" s="712"/>
      <c r="H376" s="712"/>
      <c r="I376" s="712"/>
    </row>
    <row r="377" spans="2:9" s="47" customFormat="1" ht="27" customHeight="1" x14ac:dyDescent="0.2">
      <c r="B377" s="13" t="s">
        <v>33</v>
      </c>
      <c r="C377" s="62" t="s">
        <v>5</v>
      </c>
      <c r="D377" s="14" t="s">
        <v>6</v>
      </c>
      <c r="E377" s="14" t="s">
        <v>35</v>
      </c>
      <c r="F377" s="14" t="s">
        <v>36</v>
      </c>
      <c r="G377" s="14" t="s">
        <v>37</v>
      </c>
      <c r="H377" s="14" t="s">
        <v>38</v>
      </c>
      <c r="I377" s="15" t="s">
        <v>39</v>
      </c>
    </row>
    <row r="378" spans="2:9" s="47" customFormat="1" ht="15" customHeight="1" x14ac:dyDescent="0.2">
      <c r="B378" s="328"/>
      <c r="C378" s="34"/>
      <c r="D378" s="54"/>
      <c r="E378" s="24"/>
      <c r="F378" s="24"/>
      <c r="G378" s="24"/>
      <c r="H378" s="24"/>
      <c r="I378" s="30"/>
    </row>
    <row r="379" spans="2:9" s="47" customFormat="1" ht="15" customHeight="1" x14ac:dyDescent="0.2">
      <c r="B379" s="713" t="s">
        <v>43</v>
      </c>
      <c r="C379" s="713"/>
      <c r="D379" s="713"/>
      <c r="E379" s="713"/>
      <c r="F379" s="713"/>
      <c r="G379" s="713"/>
      <c r="H379" s="713"/>
      <c r="I379" s="344"/>
    </row>
    <row r="380" spans="2:9" s="47" customFormat="1" ht="15" customHeight="1" x14ac:dyDescent="0.2">
      <c r="B380" s="712" t="s">
        <v>44</v>
      </c>
      <c r="C380" s="712"/>
      <c r="D380" s="712"/>
      <c r="E380" s="712"/>
      <c r="F380" s="712"/>
      <c r="G380" s="712"/>
      <c r="H380" s="712"/>
      <c r="I380" s="712"/>
    </row>
    <row r="381" spans="2:9" s="47" customFormat="1" ht="15" customHeight="1" x14ac:dyDescent="0.2">
      <c r="B381" s="362" t="s">
        <v>33</v>
      </c>
      <c r="C381" s="357" t="s">
        <v>5</v>
      </c>
      <c r="D381" s="24" t="s">
        <v>6</v>
      </c>
      <c r="E381" s="25"/>
      <c r="F381" s="25"/>
      <c r="G381" s="25"/>
      <c r="H381" s="24" t="s">
        <v>45</v>
      </c>
      <c r="I381" s="36" t="s">
        <v>39</v>
      </c>
    </row>
    <row r="382" spans="2:9" s="47" customFormat="1" ht="15" customHeight="1" x14ac:dyDescent="0.2">
      <c r="B382" s="328" t="s">
        <v>620</v>
      </c>
      <c r="C382" s="59" t="s">
        <v>143</v>
      </c>
      <c r="D382" s="622">
        <v>1</v>
      </c>
      <c r="E382" s="21"/>
      <c r="F382" s="21"/>
      <c r="G382" s="21"/>
      <c r="H382" s="582">
        <f>INSUMOS!E56</f>
        <v>48.73</v>
      </c>
      <c r="I382" s="583">
        <f>H382*D382</f>
        <v>48.73</v>
      </c>
    </row>
    <row r="383" spans="2:9" s="47" customFormat="1" ht="15" customHeight="1" x14ac:dyDescent="0.2">
      <c r="B383" s="328" t="s">
        <v>236</v>
      </c>
      <c r="C383" s="28" t="s">
        <v>56</v>
      </c>
      <c r="D383" s="622">
        <v>0.01</v>
      </c>
      <c r="E383" s="21"/>
      <c r="F383" s="21"/>
      <c r="G383" s="21"/>
      <c r="H383" s="582">
        <f>INSUMOS!E29</f>
        <v>13</v>
      </c>
      <c r="I383" s="583">
        <f>H383*D383</f>
        <v>0.13</v>
      </c>
    </row>
    <row r="384" spans="2:9" s="47" customFormat="1" ht="15" customHeight="1" x14ac:dyDescent="0.2">
      <c r="B384" s="35" t="s">
        <v>237</v>
      </c>
      <c r="C384" s="59" t="s">
        <v>143</v>
      </c>
      <c r="D384" s="622">
        <v>1</v>
      </c>
      <c r="E384" s="21"/>
      <c r="F384" s="21"/>
      <c r="G384" s="21"/>
      <c r="H384" s="582">
        <f>INSUMOS!E57</f>
        <v>11.1</v>
      </c>
      <c r="I384" s="583">
        <f>H384*D384</f>
        <v>11.1</v>
      </c>
    </row>
    <row r="385" spans="2:11" s="47" customFormat="1" ht="15" customHeight="1" x14ac:dyDescent="0.2">
      <c r="B385" s="713" t="s">
        <v>43</v>
      </c>
      <c r="C385" s="713"/>
      <c r="D385" s="713"/>
      <c r="E385" s="713"/>
      <c r="F385" s="713"/>
      <c r="G385" s="713"/>
      <c r="H385" s="713"/>
      <c r="I385" s="583">
        <f>SUM(I382:I384)</f>
        <v>59.96</v>
      </c>
    </row>
    <row r="386" spans="2:11" s="47" customFormat="1" ht="15" customHeight="1" x14ac:dyDescent="0.2">
      <c r="B386" s="712" t="s">
        <v>46</v>
      </c>
      <c r="C386" s="712"/>
      <c r="D386" s="712"/>
      <c r="E386" s="712"/>
      <c r="F386" s="712"/>
      <c r="G386" s="712"/>
      <c r="H386" s="712"/>
      <c r="I386" s="712"/>
    </row>
    <row r="387" spans="2:11" s="47" customFormat="1" ht="15" customHeight="1" x14ac:dyDescent="0.2">
      <c r="B387" s="348" t="s">
        <v>33</v>
      </c>
      <c r="C387" s="356" t="s">
        <v>5</v>
      </c>
      <c r="D387" s="20" t="s">
        <v>6</v>
      </c>
      <c r="E387" s="21"/>
      <c r="F387" s="21"/>
      <c r="G387" s="21"/>
      <c r="H387" s="20" t="s">
        <v>45</v>
      </c>
      <c r="I387" s="36" t="s">
        <v>39</v>
      </c>
    </row>
    <row r="388" spans="2:11" s="47" customFormat="1" ht="15" customHeight="1" x14ac:dyDescent="0.2">
      <c r="B388" s="19"/>
      <c r="C388" s="20"/>
      <c r="D388" s="20"/>
      <c r="E388" s="21"/>
      <c r="F388" s="21"/>
      <c r="G388" s="21"/>
      <c r="H388" s="20"/>
      <c r="I388" s="30"/>
    </row>
    <row r="389" spans="2:11" s="47" customFormat="1" ht="15" customHeight="1" x14ac:dyDescent="0.2">
      <c r="B389" s="713" t="s">
        <v>43</v>
      </c>
      <c r="C389" s="713"/>
      <c r="D389" s="713"/>
      <c r="E389" s="713"/>
      <c r="F389" s="713"/>
      <c r="G389" s="713"/>
      <c r="H389" s="713"/>
      <c r="I389" s="30"/>
    </row>
    <row r="390" spans="2:11" s="47" customFormat="1" ht="15" customHeight="1" x14ac:dyDescent="0.2">
      <c r="B390" s="712" t="s">
        <v>47</v>
      </c>
      <c r="C390" s="712"/>
      <c r="D390" s="712"/>
      <c r="E390" s="712"/>
      <c r="F390" s="712"/>
      <c r="G390" s="712"/>
      <c r="H390" s="712"/>
      <c r="I390" s="712"/>
    </row>
    <row r="391" spans="2:11" s="47" customFormat="1" ht="15" customHeight="1" x14ac:dyDescent="0.2">
      <c r="B391" s="362" t="s">
        <v>33</v>
      </c>
      <c r="C391" s="357" t="s">
        <v>5</v>
      </c>
      <c r="D391" s="363" t="s">
        <v>6</v>
      </c>
      <c r="E391" s="25"/>
      <c r="F391" s="25"/>
      <c r="G391" s="25"/>
      <c r="H391" s="24" t="s">
        <v>45</v>
      </c>
      <c r="I391" s="36" t="s">
        <v>39</v>
      </c>
    </row>
    <row r="392" spans="2:11" s="47" customFormat="1" ht="15" customHeight="1" x14ac:dyDescent="0.2">
      <c r="B392" s="35" t="s">
        <v>61</v>
      </c>
      <c r="C392" s="27" t="s">
        <v>41</v>
      </c>
      <c r="D392" s="582">
        <v>0.1</v>
      </c>
      <c r="E392" s="25"/>
      <c r="F392" s="25"/>
      <c r="G392" s="25"/>
      <c r="H392" s="582">
        <f>INSUMOS!E15</f>
        <v>23.62</v>
      </c>
      <c r="I392" s="583">
        <f>H392*D392</f>
        <v>2.36</v>
      </c>
    </row>
    <row r="393" spans="2:11" s="47" customFormat="1" ht="15" customHeight="1" x14ac:dyDescent="0.2">
      <c r="B393" s="207" t="s">
        <v>48</v>
      </c>
      <c r="C393" s="27" t="s">
        <v>41</v>
      </c>
      <c r="D393" s="582">
        <v>0.1</v>
      </c>
      <c r="E393" s="25"/>
      <c r="F393" s="25"/>
      <c r="G393" s="25"/>
      <c r="H393" s="582">
        <f>INSUMOS!E13</f>
        <v>7.81</v>
      </c>
      <c r="I393" s="583">
        <f>H393*D393</f>
        <v>0.78</v>
      </c>
    </row>
    <row r="394" spans="2:11" s="47" customFormat="1" ht="15" customHeight="1" x14ac:dyDescent="0.2">
      <c r="B394" s="713" t="s">
        <v>43</v>
      </c>
      <c r="C394" s="713"/>
      <c r="D394" s="713"/>
      <c r="E394" s="713"/>
      <c r="F394" s="713"/>
      <c r="G394" s="713"/>
      <c r="H394" s="713"/>
      <c r="I394" s="584">
        <f>SUM(I392:I393)</f>
        <v>3.14</v>
      </c>
    </row>
    <row r="395" spans="2:11" s="47" customFormat="1" ht="15" customHeight="1" x14ac:dyDescent="0.2">
      <c r="B395" s="355" t="s">
        <v>49</v>
      </c>
      <c r="C395" s="277">
        <v>1</v>
      </c>
      <c r="D395" s="709" t="s">
        <v>50</v>
      </c>
      <c r="E395" s="710"/>
      <c r="F395" s="710"/>
      <c r="G395" s="710"/>
      <c r="H395" s="711"/>
      <c r="I395" s="584">
        <f>I379+I385+I389+I394</f>
        <v>63.1</v>
      </c>
    </row>
    <row r="396" spans="2:11" s="47" customFormat="1" ht="15" customHeight="1" x14ac:dyDescent="0.2">
      <c r="B396" s="725"/>
      <c r="C396" s="726"/>
      <c r="D396" s="726"/>
      <c r="E396" s="726"/>
      <c r="F396" s="726"/>
      <c r="G396" s="726"/>
      <c r="H396" s="727"/>
      <c r="I396" s="584">
        <f>I395/C395</f>
        <v>63.1</v>
      </c>
    </row>
    <row r="397" spans="2:11" s="47" customFormat="1" ht="15" customHeight="1" x14ac:dyDescent="0.2">
      <c r="B397" s="351" t="s">
        <v>135</v>
      </c>
      <c r="C397" s="520">
        <f>BDI!C$36</f>
        <v>25</v>
      </c>
      <c r="D397" s="352" t="s">
        <v>103</v>
      </c>
      <c r="E397" s="353"/>
      <c r="F397" s="353"/>
      <c r="G397" s="353"/>
      <c r="H397" s="354"/>
      <c r="I397" s="583">
        <f>C397/100*I396</f>
        <v>15.78</v>
      </c>
    </row>
    <row r="398" spans="2:11" s="47" customFormat="1" ht="15" customHeight="1" thickBot="1" x14ac:dyDescent="0.25">
      <c r="B398" s="708" t="s">
        <v>51</v>
      </c>
      <c r="C398" s="708"/>
      <c r="D398" s="708"/>
      <c r="E398" s="708"/>
      <c r="F398" s="708"/>
      <c r="G398" s="708"/>
      <c r="H398" s="708"/>
      <c r="I398" s="549">
        <f>SUM(I396:I397)</f>
        <v>78.88</v>
      </c>
    </row>
    <row r="399" spans="2:11" s="47" customFormat="1" ht="15" customHeight="1" thickBot="1" x14ac:dyDescent="0.25">
      <c r="B399" s="461"/>
      <c r="C399" s="461"/>
      <c r="D399" s="461"/>
      <c r="E399" s="461"/>
      <c r="F399" s="461"/>
      <c r="G399" s="461"/>
      <c r="H399" s="461"/>
      <c r="I399" s="429"/>
    </row>
    <row r="400" spans="2:11" ht="15.95" customHeight="1" x14ac:dyDescent="0.2">
      <c r="B400" s="577" t="s">
        <v>361</v>
      </c>
      <c r="C400" s="578" t="s">
        <v>649</v>
      </c>
      <c r="D400" s="714" t="s">
        <v>30</v>
      </c>
      <c r="E400" s="714"/>
      <c r="F400" s="714"/>
      <c r="G400" s="714"/>
      <c r="H400" s="714"/>
      <c r="I400" s="714"/>
      <c r="K400" s="47"/>
    </row>
    <row r="401" spans="2:11" ht="15.95" customHeight="1" x14ac:dyDescent="0.2">
      <c r="B401" s="718" t="s">
        <v>134</v>
      </c>
      <c r="C401" s="719"/>
      <c r="D401" s="719"/>
      <c r="E401" s="719"/>
      <c r="F401" s="719"/>
      <c r="G401" s="720"/>
      <c r="H401" s="715" t="s">
        <v>572</v>
      </c>
      <c r="I401" s="716"/>
      <c r="K401" s="47"/>
    </row>
    <row r="402" spans="2:11" ht="26.25" customHeight="1" x14ac:dyDescent="0.2">
      <c r="B402" s="766" t="s">
        <v>332</v>
      </c>
      <c r="C402" s="766"/>
      <c r="D402" s="766"/>
      <c r="E402" s="766"/>
      <c r="F402" s="766"/>
      <c r="G402" s="766"/>
      <c r="H402" s="12" t="s">
        <v>31</v>
      </c>
      <c r="I402" s="46" t="s">
        <v>143</v>
      </c>
    </row>
    <row r="403" spans="2:11" ht="15.95" customHeight="1" x14ac:dyDescent="0.2">
      <c r="B403" s="712" t="s">
        <v>32</v>
      </c>
      <c r="C403" s="712"/>
      <c r="D403" s="712"/>
      <c r="E403" s="712"/>
      <c r="F403" s="712"/>
      <c r="G403" s="712"/>
      <c r="H403" s="712"/>
      <c r="I403" s="712"/>
    </row>
    <row r="404" spans="2:11" ht="25.5" customHeight="1" x14ac:dyDescent="0.2">
      <c r="B404" s="13" t="s">
        <v>33</v>
      </c>
      <c r="C404" s="62" t="s">
        <v>5</v>
      </c>
      <c r="D404" s="14" t="s">
        <v>6</v>
      </c>
      <c r="E404" s="14" t="s">
        <v>35</v>
      </c>
      <c r="F404" s="14" t="s">
        <v>36</v>
      </c>
      <c r="G404" s="14" t="s">
        <v>37</v>
      </c>
      <c r="H404" s="14" t="s">
        <v>38</v>
      </c>
      <c r="I404" s="15" t="s">
        <v>39</v>
      </c>
    </row>
    <row r="405" spans="2:11" ht="15.95" customHeight="1" x14ac:dyDescent="0.2">
      <c r="B405" s="328" t="s">
        <v>63</v>
      </c>
      <c r="C405" s="28" t="s">
        <v>41</v>
      </c>
      <c r="D405" s="635">
        <v>2</v>
      </c>
      <c r="E405" s="20"/>
      <c r="F405" s="20"/>
      <c r="G405" s="582">
        <f>INSUMOS!E62</f>
        <v>9.44</v>
      </c>
      <c r="H405" s="365"/>
      <c r="I405" s="583">
        <f>G405*D405</f>
        <v>18.88</v>
      </c>
    </row>
    <row r="406" spans="2:11" s="47" customFormat="1" ht="30" customHeight="1" x14ac:dyDescent="0.2">
      <c r="B406" s="713" t="s">
        <v>43</v>
      </c>
      <c r="C406" s="713"/>
      <c r="D406" s="713"/>
      <c r="E406" s="713"/>
      <c r="F406" s="713"/>
      <c r="G406" s="713"/>
      <c r="H406" s="713"/>
      <c r="I406" s="584">
        <f>SUM(I405:I405)</f>
        <v>18.88</v>
      </c>
      <c r="K406" s="11"/>
    </row>
    <row r="407" spans="2:11" x14ac:dyDescent="0.2">
      <c r="B407" s="712" t="s">
        <v>44</v>
      </c>
      <c r="C407" s="712"/>
      <c r="D407" s="712"/>
      <c r="E407" s="712"/>
      <c r="F407" s="712"/>
      <c r="G407" s="712"/>
      <c r="H407" s="712"/>
      <c r="I407" s="712"/>
    </row>
    <row r="408" spans="2:11" x14ac:dyDescent="0.2">
      <c r="B408" s="360" t="s">
        <v>33</v>
      </c>
      <c r="C408" s="361" t="s">
        <v>5</v>
      </c>
      <c r="D408" s="20" t="s">
        <v>6</v>
      </c>
      <c r="E408" s="21"/>
      <c r="F408" s="21"/>
      <c r="G408" s="21"/>
      <c r="H408" s="20" t="s">
        <v>45</v>
      </c>
      <c r="I408" s="30" t="s">
        <v>39</v>
      </c>
      <c r="K408" s="47"/>
    </row>
    <row r="409" spans="2:11" x14ac:dyDescent="0.2">
      <c r="B409" s="328" t="s">
        <v>60</v>
      </c>
      <c r="C409" s="28" t="s">
        <v>56</v>
      </c>
      <c r="D409" s="29">
        <v>8</v>
      </c>
      <c r="E409" s="21"/>
      <c r="F409" s="21"/>
      <c r="G409" s="21"/>
      <c r="H409" s="582">
        <f>INSUMOS!E28</f>
        <v>2.77</v>
      </c>
      <c r="I409" s="583">
        <f>H409*D409</f>
        <v>22.16</v>
      </c>
    </row>
    <row r="410" spans="2:11" x14ac:dyDescent="0.2">
      <c r="B410" s="328" t="s">
        <v>67</v>
      </c>
      <c r="C410" s="194" t="s">
        <v>56</v>
      </c>
      <c r="D410" s="636">
        <v>0.2</v>
      </c>
      <c r="E410" s="366"/>
      <c r="F410" s="21"/>
      <c r="G410" s="21"/>
      <c r="H410" s="582">
        <f>INSUMOS!E29</f>
        <v>13</v>
      </c>
      <c r="I410" s="583">
        <f>H410*D410</f>
        <v>2.6</v>
      </c>
    </row>
    <row r="411" spans="2:11" x14ac:dyDescent="0.2">
      <c r="B411" s="367" t="s">
        <v>138</v>
      </c>
      <c r="C411" s="59" t="s">
        <v>53</v>
      </c>
      <c r="D411" s="634">
        <v>0.4</v>
      </c>
      <c r="E411" s="61"/>
      <c r="F411" s="196"/>
      <c r="G411" s="196"/>
      <c r="H411" s="607">
        <f>INSUMOS!E31</f>
        <v>4.42</v>
      </c>
      <c r="I411" s="583">
        <f>H411*D411</f>
        <v>1.77</v>
      </c>
    </row>
    <row r="412" spans="2:11" x14ac:dyDescent="0.2">
      <c r="B412" s="713" t="s">
        <v>43</v>
      </c>
      <c r="C412" s="735"/>
      <c r="D412" s="735"/>
      <c r="E412" s="735"/>
      <c r="F412" s="713"/>
      <c r="G412" s="713"/>
      <c r="H412" s="713"/>
      <c r="I412" s="583">
        <f>SUM(I409:I411)</f>
        <v>26.53</v>
      </c>
    </row>
    <row r="413" spans="2:11" x14ac:dyDescent="0.2">
      <c r="B413" s="712" t="s">
        <v>46</v>
      </c>
      <c r="C413" s="712"/>
      <c r="D413" s="712"/>
      <c r="E413" s="712"/>
      <c r="F413" s="712"/>
      <c r="G413" s="712"/>
      <c r="H413" s="712"/>
      <c r="I413" s="712"/>
    </row>
    <row r="414" spans="2:11" s="47" customFormat="1" ht="30" customHeight="1" x14ac:dyDescent="0.2">
      <c r="B414" s="348" t="s">
        <v>33</v>
      </c>
      <c r="C414" s="356" t="s">
        <v>5</v>
      </c>
      <c r="D414" s="20" t="s">
        <v>6</v>
      </c>
      <c r="E414" s="21"/>
      <c r="F414" s="21"/>
      <c r="G414" s="21"/>
      <c r="H414" s="20" t="s">
        <v>45</v>
      </c>
      <c r="I414" s="36" t="s">
        <v>39</v>
      </c>
      <c r="K414" s="11"/>
    </row>
    <row r="415" spans="2:11" s="47" customFormat="1" ht="15" customHeight="1" x14ac:dyDescent="0.2">
      <c r="B415" s="19"/>
      <c r="C415" s="20"/>
      <c r="D415" s="20"/>
      <c r="E415" s="21"/>
      <c r="F415" s="21"/>
      <c r="G415" s="21"/>
      <c r="H415" s="20"/>
      <c r="I415" s="30"/>
      <c r="K415" s="11"/>
    </row>
    <row r="416" spans="2:11" s="47" customFormat="1" ht="14.25" customHeight="1" x14ac:dyDescent="0.2">
      <c r="B416" s="713" t="s">
        <v>43</v>
      </c>
      <c r="C416" s="713"/>
      <c r="D416" s="713"/>
      <c r="E416" s="713"/>
      <c r="F416" s="713"/>
      <c r="G416" s="713"/>
      <c r="H416" s="713"/>
      <c r="I416" s="30"/>
    </row>
    <row r="417" spans="2:11" s="47" customFormat="1" ht="30" customHeight="1" x14ac:dyDescent="0.2">
      <c r="B417" s="712" t="s">
        <v>47</v>
      </c>
      <c r="C417" s="712"/>
      <c r="D417" s="712"/>
      <c r="E417" s="712"/>
      <c r="F417" s="712"/>
      <c r="G417" s="712"/>
      <c r="H417" s="712"/>
      <c r="I417" s="712"/>
    </row>
    <row r="418" spans="2:11" x14ac:dyDescent="0.2">
      <c r="B418" s="360" t="s">
        <v>33</v>
      </c>
      <c r="C418" s="361" t="s">
        <v>5</v>
      </c>
      <c r="D418" s="330" t="s">
        <v>6</v>
      </c>
      <c r="E418" s="21"/>
      <c r="F418" s="21"/>
      <c r="G418" s="21"/>
      <c r="H418" s="20" t="s">
        <v>45</v>
      </c>
      <c r="I418" s="30" t="s">
        <v>39</v>
      </c>
      <c r="K418" s="47"/>
    </row>
    <row r="419" spans="2:11" ht="12.75" customHeight="1" x14ac:dyDescent="0.2">
      <c r="B419" s="35" t="s">
        <v>68</v>
      </c>
      <c r="C419" s="27" t="s">
        <v>41</v>
      </c>
      <c r="D419" s="582">
        <v>0.5</v>
      </c>
      <c r="E419" s="21"/>
      <c r="F419" s="21"/>
      <c r="G419" s="21"/>
      <c r="H419" s="582">
        <f>INSUMOS!E20</f>
        <v>12.29</v>
      </c>
      <c r="I419" s="583">
        <f>H419*D419</f>
        <v>6.15</v>
      </c>
      <c r="K419" s="47"/>
    </row>
    <row r="420" spans="2:11" ht="12.75" customHeight="1" x14ac:dyDescent="0.2">
      <c r="B420" s="207" t="s">
        <v>48</v>
      </c>
      <c r="C420" s="27" t="s">
        <v>41</v>
      </c>
      <c r="D420" s="582">
        <v>2</v>
      </c>
      <c r="E420" s="21"/>
      <c r="F420" s="21"/>
      <c r="G420" s="21"/>
      <c r="H420" s="582">
        <f>INSUMOS!E13</f>
        <v>7.81</v>
      </c>
      <c r="I420" s="583">
        <f>H420*D420</f>
        <v>15.62</v>
      </c>
    </row>
    <row r="421" spans="2:11" x14ac:dyDescent="0.2">
      <c r="B421" s="713" t="s">
        <v>43</v>
      </c>
      <c r="C421" s="713"/>
      <c r="D421" s="713"/>
      <c r="E421" s="713"/>
      <c r="F421" s="713"/>
      <c r="G421" s="713"/>
      <c r="H421" s="713"/>
      <c r="I421" s="584">
        <f>SUM(I419:I420)</f>
        <v>21.77</v>
      </c>
    </row>
    <row r="422" spans="2:11" x14ac:dyDescent="0.2">
      <c r="B422" s="355" t="s">
        <v>49</v>
      </c>
      <c r="C422" s="277">
        <v>1</v>
      </c>
      <c r="D422" s="709" t="s">
        <v>50</v>
      </c>
      <c r="E422" s="710"/>
      <c r="F422" s="710"/>
      <c r="G422" s="710"/>
      <c r="H422" s="711"/>
      <c r="I422" s="584">
        <f>I406+I412+I416+I421</f>
        <v>67.180000000000007</v>
      </c>
      <c r="K422" s="47"/>
    </row>
    <row r="423" spans="2:11" ht="12.75" customHeight="1" x14ac:dyDescent="0.2">
      <c r="B423" s="725"/>
      <c r="C423" s="726"/>
      <c r="D423" s="726"/>
      <c r="E423" s="726"/>
      <c r="F423" s="726"/>
      <c r="G423" s="726"/>
      <c r="H423" s="727"/>
      <c r="I423" s="584">
        <f>I422/C422</f>
        <v>67.180000000000007</v>
      </c>
    </row>
    <row r="424" spans="2:11" s="47" customFormat="1" ht="16.5" customHeight="1" x14ac:dyDescent="0.2">
      <c r="B424" s="351" t="s">
        <v>135</v>
      </c>
      <c r="C424" s="520">
        <f>BDI!C$36</f>
        <v>25</v>
      </c>
      <c r="D424" s="352" t="s">
        <v>103</v>
      </c>
      <c r="E424" s="353"/>
      <c r="F424" s="353"/>
      <c r="G424" s="353"/>
      <c r="H424" s="354"/>
      <c r="I424" s="583">
        <f>C424/100*I423</f>
        <v>16.8</v>
      </c>
      <c r="K424" s="11"/>
    </row>
    <row r="425" spans="2:11" ht="13.5" thickBot="1" x14ac:dyDescent="0.25">
      <c r="B425" s="708" t="s">
        <v>51</v>
      </c>
      <c r="C425" s="708"/>
      <c r="D425" s="708"/>
      <c r="E425" s="708"/>
      <c r="F425" s="708"/>
      <c r="G425" s="708"/>
      <c r="H425" s="708"/>
      <c r="I425" s="549">
        <f>SUM(I423:I424)</f>
        <v>83.98</v>
      </c>
    </row>
    <row r="426" spans="2:11" ht="13.5" thickBot="1" x14ac:dyDescent="0.25">
      <c r="K426" s="47"/>
    </row>
    <row r="427" spans="2:11" ht="15.95" customHeight="1" x14ac:dyDescent="0.2">
      <c r="B427" s="577" t="s">
        <v>361</v>
      </c>
      <c r="C427" s="578" t="s">
        <v>650</v>
      </c>
      <c r="D427" s="714" t="s">
        <v>30</v>
      </c>
      <c r="E427" s="714"/>
      <c r="F427" s="714"/>
      <c r="G427" s="714"/>
      <c r="H427" s="714"/>
      <c r="I427" s="714"/>
    </row>
    <row r="428" spans="2:11" ht="15.95" customHeight="1" x14ac:dyDescent="0.2">
      <c r="B428" s="718" t="s">
        <v>134</v>
      </c>
      <c r="C428" s="719"/>
      <c r="D428" s="719"/>
      <c r="E428" s="719"/>
      <c r="F428" s="719"/>
      <c r="G428" s="720"/>
      <c r="H428" s="715" t="s">
        <v>572</v>
      </c>
      <c r="I428" s="716"/>
    </row>
    <row r="429" spans="2:11" ht="24.75" customHeight="1" x14ac:dyDescent="0.2">
      <c r="B429" s="717" t="s">
        <v>563</v>
      </c>
      <c r="C429" s="717"/>
      <c r="D429" s="717"/>
      <c r="E429" s="717"/>
      <c r="F429" s="717"/>
      <c r="G429" s="717"/>
      <c r="H429" s="12" t="s">
        <v>31</v>
      </c>
      <c r="I429" s="46" t="s">
        <v>143</v>
      </c>
    </row>
    <row r="430" spans="2:11" ht="15.95" customHeight="1" x14ac:dyDescent="0.2">
      <c r="B430" s="712" t="s">
        <v>32</v>
      </c>
      <c r="C430" s="712"/>
      <c r="D430" s="712"/>
      <c r="E430" s="712"/>
      <c r="F430" s="712"/>
      <c r="G430" s="712"/>
      <c r="H430" s="712"/>
      <c r="I430" s="712"/>
    </row>
    <row r="431" spans="2:11" ht="25.5" customHeight="1" x14ac:dyDescent="0.2">
      <c r="B431" s="13" t="s">
        <v>33</v>
      </c>
      <c r="C431" s="62" t="s">
        <v>5</v>
      </c>
      <c r="D431" s="14" t="s">
        <v>6</v>
      </c>
      <c r="E431" s="14" t="s">
        <v>35</v>
      </c>
      <c r="F431" s="14" t="s">
        <v>36</v>
      </c>
      <c r="G431" s="14" t="s">
        <v>37</v>
      </c>
      <c r="H431" s="14" t="s">
        <v>38</v>
      </c>
      <c r="I431" s="15" t="s">
        <v>39</v>
      </c>
    </row>
    <row r="432" spans="2:11" ht="15.95" customHeight="1" x14ac:dyDescent="0.2">
      <c r="B432" s="328" t="s">
        <v>621</v>
      </c>
      <c r="C432" s="28" t="s">
        <v>41</v>
      </c>
      <c r="D432" s="622">
        <v>4</v>
      </c>
      <c r="E432" s="20"/>
      <c r="F432" s="20"/>
      <c r="G432" s="582">
        <f>INSUMOS!E54</f>
        <v>15.78</v>
      </c>
      <c r="H432" s="365"/>
      <c r="I432" s="583">
        <f>G432*D432</f>
        <v>63.12</v>
      </c>
    </row>
    <row r="433" spans="2:11" ht="15.95" customHeight="1" x14ac:dyDescent="0.2">
      <c r="B433" s="713" t="s">
        <v>43</v>
      </c>
      <c r="C433" s="713"/>
      <c r="D433" s="713"/>
      <c r="E433" s="713"/>
      <c r="F433" s="713"/>
      <c r="G433" s="713"/>
      <c r="H433" s="713"/>
      <c r="I433" s="584">
        <f>SUM(I432:I432)</f>
        <v>63.12</v>
      </c>
    </row>
    <row r="434" spans="2:11" s="47" customFormat="1" ht="30" customHeight="1" x14ac:dyDescent="0.2">
      <c r="B434" s="712" t="s">
        <v>44</v>
      </c>
      <c r="C434" s="712"/>
      <c r="D434" s="712"/>
      <c r="E434" s="712"/>
      <c r="F434" s="712"/>
      <c r="G434" s="712"/>
      <c r="H434" s="712"/>
      <c r="I434" s="712"/>
      <c r="K434" s="11"/>
    </row>
    <row r="435" spans="2:11" x14ac:dyDescent="0.2">
      <c r="B435" s="362" t="s">
        <v>33</v>
      </c>
      <c r="C435" s="357" t="s">
        <v>5</v>
      </c>
      <c r="D435" s="24" t="s">
        <v>6</v>
      </c>
      <c r="E435" s="25"/>
      <c r="F435" s="25"/>
      <c r="G435" s="25"/>
      <c r="H435" s="24" t="s">
        <v>45</v>
      </c>
      <c r="I435" s="36" t="s">
        <v>39</v>
      </c>
    </row>
    <row r="436" spans="2:11" x14ac:dyDescent="0.2">
      <c r="B436" s="328"/>
      <c r="C436" s="28"/>
      <c r="D436" s="29"/>
      <c r="E436" s="21"/>
      <c r="F436" s="21"/>
      <c r="G436" s="21"/>
      <c r="H436" s="20"/>
      <c r="I436" s="30"/>
      <c r="K436" s="47"/>
    </row>
    <row r="437" spans="2:11" x14ac:dyDescent="0.2">
      <c r="B437" s="713" t="s">
        <v>43</v>
      </c>
      <c r="C437" s="713"/>
      <c r="D437" s="713"/>
      <c r="E437" s="713"/>
      <c r="F437" s="713"/>
      <c r="G437" s="713"/>
      <c r="H437" s="713"/>
      <c r="I437" s="30"/>
    </row>
    <row r="438" spans="2:11" x14ac:dyDescent="0.2">
      <c r="B438" s="712" t="s">
        <v>46</v>
      </c>
      <c r="C438" s="712"/>
      <c r="D438" s="712"/>
      <c r="E438" s="712"/>
      <c r="F438" s="712"/>
      <c r="G438" s="712"/>
      <c r="H438" s="712"/>
      <c r="I438" s="712"/>
    </row>
    <row r="439" spans="2:11" x14ac:dyDescent="0.2">
      <c r="B439" s="348" t="s">
        <v>33</v>
      </c>
      <c r="C439" s="27" t="s">
        <v>5</v>
      </c>
      <c r="D439" s="20" t="s">
        <v>6</v>
      </c>
      <c r="E439" s="21"/>
      <c r="F439" s="21"/>
      <c r="G439" s="21"/>
      <c r="H439" s="20" t="s">
        <v>45</v>
      </c>
      <c r="I439" s="30" t="s">
        <v>39</v>
      </c>
    </row>
    <row r="440" spans="2:11" x14ac:dyDescent="0.2">
      <c r="B440" s="328" t="s">
        <v>69</v>
      </c>
      <c r="C440" s="59" t="s">
        <v>143</v>
      </c>
      <c r="D440" s="582">
        <v>1</v>
      </c>
      <c r="E440" s="21"/>
      <c r="F440" s="21"/>
      <c r="G440" s="21"/>
      <c r="H440" s="582">
        <f>INSUMOS!E68+INSUMOS!E67</f>
        <v>176.02</v>
      </c>
      <c r="I440" s="583">
        <f>D440*H440</f>
        <v>176.02</v>
      </c>
    </row>
    <row r="441" spans="2:11" x14ac:dyDescent="0.2">
      <c r="B441" s="713" t="s">
        <v>43</v>
      </c>
      <c r="C441" s="713"/>
      <c r="D441" s="713"/>
      <c r="E441" s="713"/>
      <c r="F441" s="713"/>
      <c r="G441" s="713"/>
      <c r="H441" s="713"/>
      <c r="I441" s="583">
        <f>SUM(I440:I440)</f>
        <v>176.02</v>
      </c>
    </row>
    <row r="442" spans="2:11" s="47" customFormat="1" ht="30" customHeight="1" x14ac:dyDescent="0.2">
      <c r="B442" s="712" t="s">
        <v>47</v>
      </c>
      <c r="C442" s="712"/>
      <c r="D442" s="712"/>
      <c r="E442" s="712"/>
      <c r="F442" s="712"/>
      <c r="G442" s="712"/>
      <c r="H442" s="712"/>
      <c r="I442" s="712"/>
      <c r="K442" s="11"/>
    </row>
    <row r="443" spans="2:11" s="47" customFormat="1" ht="30" customHeight="1" x14ac:dyDescent="0.2">
      <c r="B443" s="362" t="s">
        <v>33</v>
      </c>
      <c r="C443" s="357" t="s">
        <v>5</v>
      </c>
      <c r="D443" s="363" t="s">
        <v>6</v>
      </c>
      <c r="E443" s="25"/>
      <c r="F443" s="25"/>
      <c r="G443" s="25"/>
      <c r="H443" s="24" t="s">
        <v>45</v>
      </c>
      <c r="I443" s="36" t="s">
        <v>39</v>
      </c>
      <c r="K443" s="11"/>
    </row>
    <row r="444" spans="2:11" s="47" customFormat="1" ht="16.5" customHeight="1" x14ac:dyDescent="0.2">
      <c r="B444" s="35" t="s">
        <v>62</v>
      </c>
      <c r="C444" s="27" t="s">
        <v>41</v>
      </c>
      <c r="D444" s="582">
        <v>4</v>
      </c>
      <c r="E444" s="25"/>
      <c r="F444" s="25"/>
      <c r="G444" s="25"/>
      <c r="H444" s="582">
        <f>INSUMOS!E12</f>
        <v>19.84</v>
      </c>
      <c r="I444" s="583">
        <f>H444*D444</f>
        <v>79.36</v>
      </c>
    </row>
    <row r="445" spans="2:11" s="47" customFormat="1" ht="15" customHeight="1" x14ac:dyDescent="0.2">
      <c r="B445" s="207" t="s">
        <v>48</v>
      </c>
      <c r="C445" s="27" t="s">
        <v>41</v>
      </c>
      <c r="D445" s="582">
        <v>0.2</v>
      </c>
      <c r="E445" s="25"/>
      <c r="F445" s="25"/>
      <c r="G445" s="25"/>
      <c r="H445" s="582">
        <f>INSUMOS!E13</f>
        <v>7.81</v>
      </c>
      <c r="I445" s="583">
        <f>H445*D445</f>
        <v>1.56</v>
      </c>
    </row>
    <row r="446" spans="2:11" ht="15.95" customHeight="1" x14ac:dyDescent="0.2">
      <c r="B446" s="713" t="s">
        <v>43</v>
      </c>
      <c r="C446" s="713"/>
      <c r="D446" s="713"/>
      <c r="E446" s="713"/>
      <c r="F446" s="713"/>
      <c r="G446" s="713"/>
      <c r="H446" s="713"/>
      <c r="I446" s="584">
        <f>SUM(I444:I445)</f>
        <v>80.92</v>
      </c>
      <c r="K446" s="47"/>
    </row>
    <row r="447" spans="2:11" ht="15.95" customHeight="1" x14ac:dyDescent="0.2">
      <c r="B447" s="355" t="s">
        <v>49</v>
      </c>
      <c r="C447" s="277">
        <v>1</v>
      </c>
      <c r="D447" s="709" t="s">
        <v>50</v>
      </c>
      <c r="E447" s="710"/>
      <c r="F447" s="710"/>
      <c r="G447" s="710"/>
      <c r="H447" s="711"/>
      <c r="I447" s="584">
        <f>I433+I437+I441+I446</f>
        <v>320.06</v>
      </c>
      <c r="K447" s="33"/>
    </row>
    <row r="448" spans="2:11" s="47" customFormat="1" ht="16.5" customHeight="1" x14ac:dyDescent="0.2">
      <c r="B448" s="725"/>
      <c r="C448" s="726"/>
      <c r="D448" s="726"/>
      <c r="E448" s="726"/>
      <c r="F448" s="726"/>
      <c r="G448" s="726"/>
      <c r="H448" s="727"/>
      <c r="I448" s="584">
        <f>I447/C447</f>
        <v>320.06</v>
      </c>
      <c r="K448" s="11"/>
    </row>
    <row r="449" spans="2:11" ht="15.95" customHeight="1" x14ac:dyDescent="0.2">
      <c r="B449" s="351" t="s">
        <v>135</v>
      </c>
      <c r="C449" s="520">
        <f>BDI!C$36</f>
        <v>25</v>
      </c>
      <c r="D449" s="352" t="s">
        <v>103</v>
      </c>
      <c r="E449" s="353"/>
      <c r="F449" s="353"/>
      <c r="G449" s="353"/>
      <c r="H449" s="354"/>
      <c r="I449" s="583">
        <f>C449/100*I448</f>
        <v>80.02</v>
      </c>
    </row>
    <row r="450" spans="2:11" ht="15.95" customHeight="1" thickBot="1" x14ac:dyDescent="0.25">
      <c r="B450" s="708" t="s">
        <v>51</v>
      </c>
      <c r="C450" s="708"/>
      <c r="D450" s="708"/>
      <c r="E450" s="708"/>
      <c r="F450" s="708"/>
      <c r="G450" s="708"/>
      <c r="H450" s="708"/>
      <c r="I450" s="549">
        <f>SUM(I448:I449)</f>
        <v>400.08</v>
      </c>
      <c r="K450" s="47"/>
    </row>
    <row r="451" spans="2:11" ht="15.95" customHeight="1" thickBot="1" x14ac:dyDescent="0.25"/>
    <row r="452" spans="2:11" s="47" customFormat="1" ht="30" customHeight="1" x14ac:dyDescent="0.2">
      <c r="B452" s="577" t="s">
        <v>361</v>
      </c>
      <c r="C452" s="578" t="s">
        <v>152</v>
      </c>
      <c r="D452" s="714" t="s">
        <v>30</v>
      </c>
      <c r="E452" s="714"/>
      <c r="F452" s="714"/>
      <c r="G452" s="714"/>
      <c r="H452" s="714"/>
      <c r="I452" s="714"/>
      <c r="K452" s="11"/>
    </row>
    <row r="453" spans="2:11" ht="15.95" customHeight="1" x14ac:dyDescent="0.2">
      <c r="B453" s="718" t="s">
        <v>134</v>
      </c>
      <c r="C453" s="719"/>
      <c r="D453" s="719"/>
      <c r="E453" s="719"/>
      <c r="F453" s="719"/>
      <c r="G453" s="720"/>
      <c r="H453" s="715" t="s">
        <v>572</v>
      </c>
      <c r="I453" s="716"/>
    </row>
    <row r="454" spans="2:11" ht="30" customHeight="1" x14ac:dyDescent="0.2">
      <c r="B454" s="768" t="s">
        <v>333</v>
      </c>
      <c r="C454" s="769"/>
      <c r="D454" s="769"/>
      <c r="E454" s="769"/>
      <c r="F454" s="769"/>
      <c r="G454" s="770"/>
      <c r="H454" s="12" t="s">
        <v>31</v>
      </c>
      <c r="I454" s="46" t="s">
        <v>143</v>
      </c>
      <c r="K454" s="47"/>
    </row>
    <row r="455" spans="2:11" ht="15.95" customHeight="1" x14ac:dyDescent="0.2">
      <c r="B455" s="712" t="s">
        <v>32</v>
      </c>
      <c r="C455" s="712"/>
      <c r="D455" s="712"/>
      <c r="E455" s="712"/>
      <c r="F455" s="712"/>
      <c r="G455" s="712"/>
      <c r="H455" s="712"/>
      <c r="I455" s="712"/>
    </row>
    <row r="456" spans="2:11" s="47" customFormat="1" ht="30" customHeight="1" x14ac:dyDescent="0.2">
      <c r="B456" s="13" t="s">
        <v>33</v>
      </c>
      <c r="C456" s="62" t="s">
        <v>5</v>
      </c>
      <c r="D456" s="14" t="s">
        <v>6</v>
      </c>
      <c r="E456" s="14" t="s">
        <v>35</v>
      </c>
      <c r="F456" s="14" t="s">
        <v>36</v>
      </c>
      <c r="G456" s="14" t="s">
        <v>37</v>
      </c>
      <c r="H456" s="14" t="s">
        <v>38</v>
      </c>
      <c r="I456" s="15" t="s">
        <v>39</v>
      </c>
      <c r="K456" s="11"/>
    </row>
    <row r="457" spans="2:11" ht="15.95" customHeight="1" x14ac:dyDescent="0.2">
      <c r="B457" s="328" t="s">
        <v>63</v>
      </c>
      <c r="C457" s="28" t="s">
        <v>41</v>
      </c>
      <c r="D457" s="635">
        <v>12</v>
      </c>
      <c r="E457" s="24"/>
      <c r="F457" s="24"/>
      <c r="G457" s="582">
        <f>INSUMOS!E62</f>
        <v>9.44</v>
      </c>
      <c r="H457" s="365"/>
      <c r="I457" s="583">
        <f>G457*D457</f>
        <v>113.28</v>
      </c>
    </row>
    <row r="458" spans="2:11" ht="15.95" customHeight="1" x14ac:dyDescent="0.2">
      <c r="B458" s="713" t="s">
        <v>43</v>
      </c>
      <c r="C458" s="713"/>
      <c r="D458" s="713"/>
      <c r="E458" s="713"/>
      <c r="F458" s="713"/>
      <c r="G458" s="713"/>
      <c r="H458" s="713"/>
      <c r="I458" s="584">
        <f>SUM(I457:I457)</f>
        <v>113.28</v>
      </c>
      <c r="K458" s="47"/>
    </row>
    <row r="459" spans="2:11" ht="15.95" customHeight="1" x14ac:dyDescent="0.2">
      <c r="B459" s="712" t="s">
        <v>44</v>
      </c>
      <c r="C459" s="712"/>
      <c r="D459" s="712"/>
      <c r="E459" s="712"/>
      <c r="F459" s="712"/>
      <c r="G459" s="712"/>
      <c r="H459" s="712"/>
      <c r="I459" s="712"/>
    </row>
    <row r="460" spans="2:11" ht="15.95" customHeight="1" x14ac:dyDescent="0.2">
      <c r="B460" s="362" t="s">
        <v>33</v>
      </c>
      <c r="C460" s="357" t="s">
        <v>5</v>
      </c>
      <c r="D460" s="24" t="s">
        <v>6</v>
      </c>
      <c r="E460" s="25"/>
      <c r="F460" s="25"/>
      <c r="G460" s="25"/>
      <c r="H460" s="24" t="s">
        <v>45</v>
      </c>
      <c r="I460" s="36" t="s">
        <v>39</v>
      </c>
    </row>
    <row r="461" spans="2:11" ht="15.95" customHeight="1" x14ac:dyDescent="0.2">
      <c r="B461" s="328" t="s">
        <v>60</v>
      </c>
      <c r="C461" s="28" t="s">
        <v>56</v>
      </c>
      <c r="D461" s="622">
        <v>12</v>
      </c>
      <c r="E461" s="21"/>
      <c r="F461" s="21"/>
      <c r="G461" s="21"/>
      <c r="H461" s="582">
        <f>INSUMOS!E28</f>
        <v>2.77</v>
      </c>
      <c r="I461" s="583">
        <f>H461*D461</f>
        <v>33.24</v>
      </c>
    </row>
    <row r="462" spans="2:11" ht="15.95" customHeight="1" x14ac:dyDescent="0.2">
      <c r="B462" s="328" t="s">
        <v>67</v>
      </c>
      <c r="C462" s="28" t="s">
        <v>56</v>
      </c>
      <c r="D462" s="622">
        <v>0.3</v>
      </c>
      <c r="E462" s="21"/>
      <c r="F462" s="21"/>
      <c r="G462" s="21"/>
      <c r="H462" s="582">
        <f>INSUMOS!E29</f>
        <v>13</v>
      </c>
      <c r="I462" s="583">
        <f>H462*D462</f>
        <v>3.9</v>
      </c>
    </row>
    <row r="463" spans="2:11" ht="15.95" customHeight="1" x14ac:dyDescent="0.2">
      <c r="B463" s="713" t="s">
        <v>43</v>
      </c>
      <c r="C463" s="713"/>
      <c r="D463" s="713"/>
      <c r="E463" s="713"/>
      <c r="F463" s="713"/>
      <c r="G463" s="713"/>
      <c r="H463" s="713"/>
      <c r="I463" s="583">
        <f>SUM(I461:I462)</f>
        <v>37.14</v>
      </c>
    </row>
    <row r="464" spans="2:11" ht="15.95" customHeight="1" x14ac:dyDescent="0.2">
      <c r="B464" s="712" t="s">
        <v>46</v>
      </c>
      <c r="C464" s="712"/>
      <c r="D464" s="712"/>
      <c r="E464" s="712"/>
      <c r="F464" s="712"/>
      <c r="G464" s="712"/>
      <c r="H464" s="712"/>
      <c r="I464" s="712"/>
    </row>
    <row r="465" spans="1:11" ht="15.95" customHeight="1" x14ac:dyDescent="0.2">
      <c r="B465" s="348" t="s">
        <v>33</v>
      </c>
      <c r="C465" s="356" t="s">
        <v>5</v>
      </c>
      <c r="D465" s="20" t="s">
        <v>6</v>
      </c>
      <c r="E465" s="21"/>
      <c r="F465" s="21"/>
      <c r="G465" s="21"/>
      <c r="H465" s="20" t="s">
        <v>45</v>
      </c>
      <c r="I465" s="36" t="s">
        <v>39</v>
      </c>
    </row>
    <row r="466" spans="1:11" s="47" customFormat="1" ht="30" customHeight="1" x14ac:dyDescent="0.2">
      <c r="B466" s="19"/>
      <c r="C466" s="20"/>
      <c r="D466" s="20"/>
      <c r="E466" s="21"/>
      <c r="F466" s="21"/>
      <c r="G466" s="21"/>
      <c r="H466" s="20"/>
      <c r="I466" s="30"/>
      <c r="K466" s="11"/>
    </row>
    <row r="467" spans="1:11" x14ac:dyDescent="0.2">
      <c r="B467" s="713" t="s">
        <v>43</v>
      </c>
      <c r="C467" s="713"/>
      <c r="D467" s="713"/>
      <c r="E467" s="713"/>
      <c r="F467" s="713"/>
      <c r="G467" s="713"/>
      <c r="H467" s="713"/>
      <c r="I467" s="30"/>
    </row>
    <row r="468" spans="1:11" x14ac:dyDescent="0.2">
      <c r="B468" s="712" t="s">
        <v>47</v>
      </c>
      <c r="C468" s="712"/>
      <c r="D468" s="712"/>
      <c r="E468" s="712"/>
      <c r="F468" s="712"/>
      <c r="G468" s="712"/>
      <c r="H468" s="712"/>
      <c r="I468" s="712"/>
      <c r="K468" s="47"/>
    </row>
    <row r="469" spans="1:11" x14ac:dyDescent="0.2">
      <c r="B469" s="362" t="s">
        <v>33</v>
      </c>
      <c r="C469" s="357" t="s">
        <v>5</v>
      </c>
      <c r="D469" s="363" t="s">
        <v>6</v>
      </c>
      <c r="E469" s="25"/>
      <c r="F469" s="25"/>
      <c r="G469" s="25"/>
      <c r="H469" s="24" t="s">
        <v>45</v>
      </c>
      <c r="I469" s="36" t="s">
        <v>39</v>
      </c>
    </row>
    <row r="470" spans="1:11" x14ac:dyDescent="0.2">
      <c r="B470" s="35" t="s">
        <v>68</v>
      </c>
      <c r="C470" s="27" t="s">
        <v>41</v>
      </c>
      <c r="D470" s="582">
        <v>6</v>
      </c>
      <c r="E470" s="21"/>
      <c r="F470" s="21"/>
      <c r="G470" s="21"/>
      <c r="H470" s="582">
        <f>INSUMOS!E20</f>
        <v>12.29</v>
      </c>
      <c r="I470" s="583">
        <f>H470*D470</f>
        <v>73.739999999999995</v>
      </c>
    </row>
    <row r="471" spans="1:11" x14ac:dyDescent="0.2">
      <c r="B471" s="207" t="s">
        <v>48</v>
      </c>
      <c r="C471" s="27" t="s">
        <v>41</v>
      </c>
      <c r="D471" s="582">
        <v>6</v>
      </c>
      <c r="E471" s="21"/>
      <c r="F471" s="21"/>
      <c r="G471" s="21"/>
      <c r="H471" s="582">
        <f>INSUMOS!E13</f>
        <v>7.81</v>
      </c>
      <c r="I471" s="583">
        <f>H471*D471</f>
        <v>46.86</v>
      </c>
    </row>
    <row r="472" spans="1:11" x14ac:dyDescent="0.2">
      <c r="B472" s="713" t="s">
        <v>43</v>
      </c>
      <c r="C472" s="713"/>
      <c r="D472" s="713"/>
      <c r="E472" s="713"/>
      <c r="F472" s="713"/>
      <c r="G472" s="713"/>
      <c r="H472" s="713"/>
      <c r="I472" s="584">
        <f>SUM(I470:I471)</f>
        <v>120.6</v>
      </c>
    </row>
    <row r="473" spans="1:11" s="47" customFormat="1" ht="17.25" customHeight="1" x14ac:dyDescent="0.2">
      <c r="B473" s="355" t="s">
        <v>49</v>
      </c>
      <c r="C473" s="277">
        <v>1</v>
      </c>
      <c r="D473" s="709" t="s">
        <v>50</v>
      </c>
      <c r="E473" s="710"/>
      <c r="F473" s="710"/>
      <c r="G473" s="710"/>
      <c r="H473" s="711"/>
      <c r="I473" s="584">
        <f>I458+I463+I467+I472</f>
        <v>271.02</v>
      </c>
      <c r="K473" s="11"/>
    </row>
    <row r="474" spans="1:11" s="47" customFormat="1" ht="15.75" customHeight="1" x14ac:dyDescent="0.2">
      <c r="B474" s="725"/>
      <c r="C474" s="726"/>
      <c r="D474" s="726"/>
      <c r="E474" s="726"/>
      <c r="F474" s="726"/>
      <c r="G474" s="726"/>
      <c r="H474" s="727"/>
      <c r="I474" s="584">
        <f>I473/C473</f>
        <v>271.02</v>
      </c>
      <c r="K474" s="11"/>
    </row>
    <row r="475" spans="1:11" s="47" customFormat="1" ht="15.75" customHeight="1" x14ac:dyDescent="0.2">
      <c r="B475" s="351" t="s">
        <v>135</v>
      </c>
      <c r="C475" s="520">
        <f>BDI!C$36</f>
        <v>25</v>
      </c>
      <c r="D475" s="352" t="s">
        <v>103</v>
      </c>
      <c r="E475" s="353"/>
      <c r="F475" s="353"/>
      <c r="G475" s="353"/>
      <c r="H475" s="354"/>
      <c r="I475" s="583">
        <f>C475/100*I474</f>
        <v>67.760000000000005</v>
      </c>
    </row>
    <row r="476" spans="1:11" s="47" customFormat="1" ht="19.5" customHeight="1" thickBot="1" x14ac:dyDescent="0.25">
      <c r="B476" s="708" t="s">
        <v>51</v>
      </c>
      <c r="C476" s="708"/>
      <c r="D476" s="708"/>
      <c r="E476" s="708"/>
      <c r="F476" s="708"/>
      <c r="G476" s="708"/>
      <c r="H476" s="708"/>
      <c r="I476" s="549">
        <f>SUM(I474:I475)</f>
        <v>338.78</v>
      </c>
    </row>
    <row r="477" spans="1:11" x14ac:dyDescent="0.2">
      <c r="A477" s="33"/>
      <c r="B477" s="365"/>
      <c r="C477" s="368"/>
      <c r="D477" s="368"/>
      <c r="E477" s="365"/>
      <c r="F477" s="365"/>
      <c r="G477" s="365"/>
      <c r="H477" s="365"/>
      <c r="I477" s="368"/>
      <c r="K477" s="47"/>
    </row>
    <row r="478" spans="1:11" ht="15.95" customHeight="1" thickBot="1" x14ac:dyDescent="0.25">
      <c r="K478" s="47"/>
    </row>
    <row r="479" spans="1:11" ht="15.95" customHeight="1" x14ac:dyDescent="0.2">
      <c r="B479" s="577" t="s">
        <v>361</v>
      </c>
      <c r="C479" s="578" t="s">
        <v>651</v>
      </c>
      <c r="D479" s="714" t="s">
        <v>30</v>
      </c>
      <c r="E479" s="714"/>
      <c r="F479" s="714"/>
      <c r="G479" s="714"/>
      <c r="H479" s="714"/>
      <c r="I479" s="714"/>
    </row>
    <row r="480" spans="1:11" s="47" customFormat="1" ht="20.25" customHeight="1" x14ac:dyDescent="0.2">
      <c r="B480" s="718" t="s">
        <v>134</v>
      </c>
      <c r="C480" s="719"/>
      <c r="D480" s="719"/>
      <c r="E480" s="719"/>
      <c r="F480" s="719"/>
      <c r="G480" s="720"/>
      <c r="H480" s="715" t="s">
        <v>572</v>
      </c>
      <c r="I480" s="716"/>
      <c r="K480" s="11"/>
    </row>
    <row r="481" spans="2:11" ht="15.95" customHeight="1" x14ac:dyDescent="0.2">
      <c r="B481" s="717" t="s">
        <v>334</v>
      </c>
      <c r="C481" s="717"/>
      <c r="D481" s="717"/>
      <c r="E481" s="717"/>
      <c r="F481" s="717"/>
      <c r="G481" s="717"/>
      <c r="H481" s="12" t="s">
        <v>31</v>
      </c>
      <c r="I481" s="46" t="s">
        <v>143</v>
      </c>
    </row>
    <row r="482" spans="2:11" ht="15.95" customHeight="1" x14ac:dyDescent="0.2">
      <c r="B482" s="712" t="s">
        <v>32</v>
      </c>
      <c r="C482" s="712"/>
      <c r="D482" s="712"/>
      <c r="E482" s="712"/>
      <c r="F482" s="712"/>
      <c r="G482" s="712"/>
      <c r="H482" s="712"/>
      <c r="I482" s="712"/>
      <c r="K482" s="47"/>
    </row>
    <row r="483" spans="2:11" ht="25.5" customHeight="1" x14ac:dyDescent="0.2">
      <c r="B483" s="13" t="s">
        <v>33</v>
      </c>
      <c r="C483" s="62" t="s">
        <v>5</v>
      </c>
      <c r="D483" s="14" t="s">
        <v>6</v>
      </c>
      <c r="E483" s="14" t="s">
        <v>35</v>
      </c>
      <c r="F483" s="14" t="s">
        <v>36</v>
      </c>
      <c r="G483" s="14" t="s">
        <v>37</v>
      </c>
      <c r="H483" s="14" t="s">
        <v>38</v>
      </c>
      <c r="I483" s="15" t="s">
        <v>39</v>
      </c>
    </row>
    <row r="484" spans="2:11" ht="15.95" customHeight="1" x14ac:dyDescent="0.2">
      <c r="B484" s="328"/>
      <c r="C484" s="34"/>
      <c r="D484" s="54"/>
      <c r="E484" s="24"/>
      <c r="F484" s="24"/>
      <c r="G484" s="24"/>
      <c r="H484" s="24"/>
      <c r="I484" s="36"/>
    </row>
    <row r="485" spans="2:11" ht="15.95" customHeight="1" x14ac:dyDescent="0.2">
      <c r="B485" s="713" t="s">
        <v>43</v>
      </c>
      <c r="C485" s="713"/>
      <c r="D485" s="713"/>
      <c r="E485" s="713"/>
      <c r="F485" s="713"/>
      <c r="G485" s="713"/>
      <c r="H485" s="713"/>
      <c r="I485" s="344"/>
    </row>
    <row r="486" spans="2:11" s="47" customFormat="1" ht="30" customHeight="1" x14ac:dyDescent="0.2">
      <c r="B486" s="712" t="s">
        <v>44</v>
      </c>
      <c r="C486" s="712"/>
      <c r="D486" s="712"/>
      <c r="E486" s="712"/>
      <c r="F486" s="712"/>
      <c r="G486" s="712"/>
      <c r="H486" s="712"/>
      <c r="I486" s="712"/>
      <c r="K486" s="11"/>
    </row>
    <row r="487" spans="2:11" ht="15.95" customHeight="1" x14ac:dyDescent="0.2">
      <c r="B487" s="362" t="s">
        <v>33</v>
      </c>
      <c r="C487" s="357" t="s">
        <v>5</v>
      </c>
      <c r="D487" s="20" t="s">
        <v>6</v>
      </c>
      <c r="E487" s="25"/>
      <c r="F487" s="25"/>
      <c r="G487" s="25"/>
      <c r="H487" s="24" t="s">
        <v>45</v>
      </c>
      <c r="I487" s="36" t="s">
        <v>39</v>
      </c>
    </row>
    <row r="488" spans="2:11" ht="15.95" customHeight="1" x14ac:dyDescent="0.2">
      <c r="B488" s="328"/>
      <c r="C488" s="28"/>
      <c r="D488" s="29"/>
      <c r="E488" s="21"/>
      <c r="F488" s="21"/>
      <c r="G488" s="21"/>
      <c r="H488" s="20"/>
      <c r="I488" s="30"/>
      <c r="K488" s="47"/>
    </row>
    <row r="489" spans="2:11" ht="15.95" customHeight="1" x14ac:dyDescent="0.2">
      <c r="B489" s="713" t="s">
        <v>43</v>
      </c>
      <c r="C489" s="713"/>
      <c r="D489" s="713"/>
      <c r="E489" s="713"/>
      <c r="F489" s="713"/>
      <c r="G489" s="713"/>
      <c r="H489" s="713"/>
      <c r="I489" s="30"/>
    </row>
    <row r="490" spans="2:11" s="47" customFormat="1" ht="30" customHeight="1" x14ac:dyDescent="0.2">
      <c r="B490" s="712" t="s">
        <v>46</v>
      </c>
      <c r="C490" s="712"/>
      <c r="D490" s="712"/>
      <c r="E490" s="712"/>
      <c r="F490" s="712"/>
      <c r="G490" s="712"/>
      <c r="H490" s="712"/>
      <c r="I490" s="712"/>
      <c r="K490" s="11"/>
    </row>
    <row r="491" spans="2:11" ht="15.95" customHeight="1" x14ac:dyDescent="0.2">
      <c r="B491" s="348" t="s">
        <v>33</v>
      </c>
      <c r="C491" s="356" t="s">
        <v>5</v>
      </c>
      <c r="D491" s="20" t="s">
        <v>6</v>
      </c>
      <c r="E491" s="21"/>
      <c r="F491" s="21"/>
      <c r="G491" s="21"/>
      <c r="H491" s="20" t="s">
        <v>45</v>
      </c>
      <c r="I491" s="36" t="s">
        <v>39</v>
      </c>
    </row>
    <row r="492" spans="2:11" ht="15.95" customHeight="1" x14ac:dyDescent="0.2">
      <c r="B492" s="328" t="s">
        <v>165</v>
      </c>
      <c r="C492" s="59" t="s">
        <v>143</v>
      </c>
      <c r="D492" s="582">
        <v>1</v>
      </c>
      <c r="E492" s="21"/>
      <c r="F492" s="21"/>
      <c r="G492" s="21"/>
      <c r="H492" s="582">
        <f>INSUMOS!E71</f>
        <v>599.1</v>
      </c>
      <c r="I492" s="583">
        <f>D492*H492</f>
        <v>599.1</v>
      </c>
      <c r="K492" s="47"/>
    </row>
    <row r="493" spans="2:11" ht="15.95" customHeight="1" x14ac:dyDescent="0.2">
      <c r="B493" s="713" t="s">
        <v>43</v>
      </c>
      <c r="C493" s="713"/>
      <c r="D493" s="713"/>
      <c r="E493" s="713"/>
      <c r="F493" s="713"/>
      <c r="G493" s="713"/>
      <c r="H493" s="713"/>
      <c r="I493" s="583">
        <f>SUM(I492:I492)</f>
        <v>599.1</v>
      </c>
    </row>
    <row r="494" spans="2:11" ht="15.95" customHeight="1" x14ac:dyDescent="0.2">
      <c r="B494" s="712" t="s">
        <v>47</v>
      </c>
      <c r="C494" s="712"/>
      <c r="D494" s="712"/>
      <c r="E494" s="712"/>
      <c r="F494" s="712"/>
      <c r="G494" s="712"/>
      <c r="H494" s="712"/>
      <c r="I494" s="712"/>
    </row>
    <row r="495" spans="2:11" ht="15.95" customHeight="1" x14ac:dyDescent="0.2">
      <c r="B495" s="362" t="s">
        <v>33</v>
      </c>
      <c r="C495" s="357" t="s">
        <v>5</v>
      </c>
      <c r="D495" s="363" t="s">
        <v>6</v>
      </c>
      <c r="E495" s="25"/>
      <c r="F495" s="25"/>
      <c r="G495" s="25"/>
      <c r="H495" s="24" t="s">
        <v>45</v>
      </c>
      <c r="I495" s="36" t="s">
        <v>39</v>
      </c>
    </row>
    <row r="496" spans="2:11" ht="15.95" customHeight="1" x14ac:dyDescent="0.2">
      <c r="B496" s="207"/>
      <c r="C496" s="356"/>
      <c r="D496" s="24"/>
      <c r="E496" s="25"/>
      <c r="F496" s="25"/>
      <c r="G496" s="25"/>
      <c r="H496" s="24"/>
      <c r="I496" s="36"/>
    </row>
    <row r="497" spans="1:11" ht="15.95" customHeight="1" x14ac:dyDescent="0.2">
      <c r="B497" s="767"/>
      <c r="C497" s="767"/>
      <c r="D497" s="767"/>
      <c r="E497" s="767"/>
      <c r="F497" s="767"/>
      <c r="G497" s="767"/>
      <c r="H497" s="767"/>
      <c r="I497" s="30"/>
    </row>
    <row r="498" spans="1:11" ht="15.95" customHeight="1" x14ac:dyDescent="0.2">
      <c r="B498" s="713" t="s">
        <v>43</v>
      </c>
      <c r="C498" s="713"/>
      <c r="D498" s="713"/>
      <c r="E498" s="713"/>
      <c r="F498" s="713"/>
      <c r="G498" s="713"/>
      <c r="H498" s="713"/>
      <c r="I498" s="364"/>
    </row>
    <row r="499" spans="1:11" ht="15.95" customHeight="1" x14ac:dyDescent="0.2">
      <c r="B499" s="350" t="s">
        <v>49</v>
      </c>
      <c r="C499" s="20">
        <v>1</v>
      </c>
      <c r="D499" s="728" t="s">
        <v>50</v>
      </c>
      <c r="E499" s="728"/>
      <c r="F499" s="728"/>
      <c r="G499" s="728"/>
      <c r="H499" s="728"/>
      <c r="I499" s="584">
        <f>I498+I493+I489+I485</f>
        <v>599.1</v>
      </c>
    </row>
    <row r="500" spans="1:11" s="47" customFormat="1" ht="19.5" customHeight="1" x14ac:dyDescent="0.2">
      <c r="B500" s="725"/>
      <c r="C500" s="726"/>
      <c r="D500" s="726"/>
      <c r="E500" s="726"/>
      <c r="F500" s="726"/>
      <c r="G500" s="726"/>
      <c r="H500" s="727"/>
      <c r="I500" s="584">
        <f>I499/C499</f>
        <v>599.1</v>
      </c>
      <c r="K500" s="11"/>
    </row>
    <row r="501" spans="1:11" ht="19.5" customHeight="1" x14ac:dyDescent="0.2">
      <c r="B501" s="351" t="s">
        <v>135</v>
      </c>
      <c r="C501" s="520">
        <f>BDI!C$36</f>
        <v>25</v>
      </c>
      <c r="D501" s="352" t="s">
        <v>103</v>
      </c>
      <c r="E501" s="353"/>
      <c r="F501" s="353"/>
      <c r="G501" s="353"/>
      <c r="H501" s="354"/>
      <c r="I501" s="583">
        <f>C501/100*I500</f>
        <v>149.78</v>
      </c>
    </row>
    <row r="502" spans="1:11" ht="13.5" thickBot="1" x14ac:dyDescent="0.25">
      <c r="B502" s="708" t="s">
        <v>51</v>
      </c>
      <c r="C502" s="708"/>
      <c r="D502" s="708"/>
      <c r="E502" s="708"/>
      <c r="F502" s="708"/>
      <c r="G502" s="708"/>
      <c r="H502" s="708"/>
      <c r="I502" s="549">
        <f>SUM(I500:I501)</f>
        <v>748.88</v>
      </c>
      <c r="K502" s="47"/>
    </row>
    <row r="503" spans="1:11" ht="13.5" thickBot="1" x14ac:dyDescent="0.25"/>
    <row r="504" spans="1:11" ht="15.75" x14ac:dyDescent="0.2">
      <c r="B504" s="577" t="s">
        <v>361</v>
      </c>
      <c r="C504" s="578" t="s">
        <v>652</v>
      </c>
      <c r="D504" s="714" t="s">
        <v>30</v>
      </c>
      <c r="E504" s="714"/>
      <c r="F504" s="714"/>
      <c r="G504" s="714"/>
      <c r="H504" s="714"/>
      <c r="I504" s="714"/>
    </row>
    <row r="505" spans="1:11" ht="17.25" customHeight="1" x14ac:dyDescent="0.2">
      <c r="B505" s="718" t="s">
        <v>134</v>
      </c>
      <c r="C505" s="719"/>
      <c r="D505" s="719"/>
      <c r="E505" s="719"/>
      <c r="F505" s="719"/>
      <c r="G505" s="720"/>
      <c r="H505" s="715" t="s">
        <v>572</v>
      </c>
      <c r="I505" s="716"/>
    </row>
    <row r="506" spans="1:11" s="47" customFormat="1" ht="42.75" customHeight="1" x14ac:dyDescent="0.2">
      <c r="B506" s="792" t="s">
        <v>335</v>
      </c>
      <c r="C506" s="793"/>
      <c r="D506" s="793"/>
      <c r="E506" s="793"/>
      <c r="F506" s="793"/>
      <c r="G506" s="794"/>
      <c r="H506" s="12" t="s">
        <v>31</v>
      </c>
      <c r="I506" s="46" t="s">
        <v>23</v>
      </c>
      <c r="K506" s="11"/>
    </row>
    <row r="507" spans="1:11" s="47" customFormat="1" ht="30" customHeight="1" x14ac:dyDescent="0.2">
      <c r="B507" s="723" t="s">
        <v>32</v>
      </c>
      <c r="C507" s="723"/>
      <c r="D507" s="723"/>
      <c r="E507" s="723"/>
      <c r="F507" s="723"/>
      <c r="G507" s="723"/>
      <c r="H507" s="723"/>
      <c r="I507" s="723"/>
      <c r="K507" s="11"/>
    </row>
    <row r="508" spans="1:11" s="47" customFormat="1" ht="30" customHeight="1" x14ac:dyDescent="0.2">
      <c r="B508" s="13" t="s">
        <v>33</v>
      </c>
      <c r="C508" s="14" t="s">
        <v>34</v>
      </c>
      <c r="D508" s="14" t="s">
        <v>6</v>
      </c>
      <c r="E508" s="14" t="s">
        <v>35</v>
      </c>
      <c r="F508" s="14" t="s">
        <v>36</v>
      </c>
      <c r="G508" s="14" t="s">
        <v>37</v>
      </c>
      <c r="H508" s="14" t="s">
        <v>38</v>
      </c>
      <c r="I508" s="15" t="s">
        <v>39</v>
      </c>
    </row>
    <row r="509" spans="1:11" s="47" customFormat="1" ht="24" customHeight="1" x14ac:dyDescent="0.2">
      <c r="B509" s="328" t="s">
        <v>71</v>
      </c>
      <c r="C509" s="28" t="s">
        <v>41</v>
      </c>
      <c r="D509" s="622">
        <v>0.6</v>
      </c>
      <c r="E509" s="20"/>
      <c r="F509" s="20"/>
      <c r="G509" s="582">
        <f>INSUMOS!E44</f>
        <v>1.98</v>
      </c>
      <c r="H509" s="365"/>
      <c r="I509" s="583">
        <f>G509*D509</f>
        <v>1.19</v>
      </c>
    </row>
    <row r="510" spans="1:11" x14ac:dyDescent="0.2">
      <c r="A510" s="33"/>
      <c r="B510" s="713" t="s">
        <v>43</v>
      </c>
      <c r="C510" s="713"/>
      <c r="D510" s="713"/>
      <c r="E510" s="713"/>
      <c r="F510" s="713"/>
      <c r="G510" s="713"/>
      <c r="H510" s="713"/>
      <c r="I510" s="599">
        <f>SUM(I509:I509)</f>
        <v>1.19</v>
      </c>
      <c r="K510" s="47"/>
    </row>
    <row r="511" spans="1:11" ht="15.95" customHeight="1" x14ac:dyDescent="0.2">
      <c r="A511" s="33"/>
      <c r="B511" s="723" t="s">
        <v>44</v>
      </c>
      <c r="C511" s="723"/>
      <c r="D511" s="723"/>
      <c r="E511" s="723"/>
      <c r="F511" s="723"/>
      <c r="G511" s="723"/>
      <c r="H511" s="723"/>
      <c r="I511" s="723"/>
      <c r="K511" s="47"/>
    </row>
    <row r="512" spans="1:11" ht="15.95" customHeight="1" x14ac:dyDescent="0.2">
      <c r="B512" s="345" t="s">
        <v>33</v>
      </c>
      <c r="C512" s="24" t="s">
        <v>34</v>
      </c>
      <c r="D512" s="24" t="s">
        <v>6</v>
      </c>
      <c r="E512" s="346"/>
      <c r="F512" s="346"/>
      <c r="G512" s="346"/>
      <c r="H512" s="24" t="s">
        <v>45</v>
      </c>
      <c r="I512" s="36" t="s">
        <v>39</v>
      </c>
    </row>
    <row r="513" spans="2:11" ht="15.95" customHeight="1" x14ac:dyDescent="0.2">
      <c r="B513" s="207" t="s">
        <v>622</v>
      </c>
      <c r="C513" s="20" t="s">
        <v>53</v>
      </c>
      <c r="D513" s="582">
        <v>340</v>
      </c>
      <c r="E513" s="25"/>
      <c r="F513" s="25"/>
      <c r="G513" s="346"/>
      <c r="H513" s="582">
        <f>INSUMOS!E34</f>
        <v>0.5</v>
      </c>
      <c r="I513" s="602">
        <f>D513*H513</f>
        <v>170</v>
      </c>
    </row>
    <row r="514" spans="2:11" s="47" customFormat="1" ht="30" customHeight="1" x14ac:dyDescent="0.2">
      <c r="B514" s="207" t="s">
        <v>88</v>
      </c>
      <c r="C514" s="20" t="s">
        <v>23</v>
      </c>
      <c r="D514" s="638">
        <v>0.63200000000000001</v>
      </c>
      <c r="E514" s="25"/>
      <c r="F514" s="25"/>
      <c r="G514" s="346"/>
      <c r="H514" s="582">
        <f>INSUMOS!E37</f>
        <v>59</v>
      </c>
      <c r="I514" s="602">
        <f>D514*H514</f>
        <v>37.29</v>
      </c>
      <c r="K514" s="11"/>
    </row>
    <row r="515" spans="2:11" ht="15.95" customHeight="1" x14ac:dyDescent="0.2">
      <c r="B515" s="207" t="s">
        <v>89</v>
      </c>
      <c r="C515" s="20" t="s">
        <v>23</v>
      </c>
      <c r="D515" s="582">
        <v>0.37</v>
      </c>
      <c r="E515" s="25"/>
      <c r="F515" s="25"/>
      <c r="G515" s="25"/>
      <c r="H515" s="582">
        <f>INSUMOS!E35</f>
        <v>62</v>
      </c>
      <c r="I515" s="602">
        <f>H515*D515</f>
        <v>22.94</v>
      </c>
    </row>
    <row r="516" spans="2:11" ht="15.95" customHeight="1" x14ac:dyDescent="0.2">
      <c r="B516" s="207" t="s">
        <v>90</v>
      </c>
      <c r="C516" s="20" t="s">
        <v>23</v>
      </c>
      <c r="D516" s="582">
        <v>0.37</v>
      </c>
      <c r="E516" s="25"/>
      <c r="F516" s="25"/>
      <c r="G516" s="25"/>
      <c r="H516" s="582">
        <f>INSUMOS!E36</f>
        <v>62</v>
      </c>
      <c r="I516" s="602">
        <f>H516*D516</f>
        <v>22.94</v>
      </c>
      <c r="J516" s="22"/>
      <c r="K516" s="47"/>
    </row>
    <row r="517" spans="2:11" ht="15.95" customHeight="1" x14ac:dyDescent="0.2">
      <c r="B517" s="367" t="s">
        <v>623</v>
      </c>
      <c r="C517" s="20" t="s">
        <v>53</v>
      </c>
      <c r="D517" s="582">
        <v>20</v>
      </c>
      <c r="E517" s="21"/>
      <c r="F517" s="21"/>
      <c r="G517" s="21"/>
      <c r="H517" s="582">
        <f>INSUMOS!E48</f>
        <v>4.1500000000000004</v>
      </c>
      <c r="I517" s="583">
        <f>D517*H517</f>
        <v>83</v>
      </c>
      <c r="J517" s="22"/>
    </row>
    <row r="518" spans="2:11" ht="15.95" customHeight="1" x14ac:dyDescent="0.2">
      <c r="B518" s="327" t="s">
        <v>91</v>
      </c>
      <c r="C518" s="330" t="s">
        <v>52</v>
      </c>
      <c r="D518" s="582">
        <v>0.64</v>
      </c>
      <c r="E518" s="25"/>
      <c r="F518" s="25"/>
      <c r="G518" s="25"/>
      <c r="H518" s="582">
        <f>INSUMOS!E55</f>
        <v>18.09</v>
      </c>
      <c r="I518" s="602">
        <f>D518*H518</f>
        <v>11.58</v>
      </c>
    </row>
    <row r="519" spans="2:11" ht="15.95" customHeight="1" x14ac:dyDescent="0.2">
      <c r="B519" s="327" t="s">
        <v>136</v>
      </c>
      <c r="C519" s="369" t="s">
        <v>53</v>
      </c>
      <c r="D519" s="639">
        <v>0.7</v>
      </c>
      <c r="E519" s="370"/>
      <c r="F519" s="371"/>
      <c r="G519" s="371"/>
      <c r="H519" s="607">
        <f>INSUMOS!E30</f>
        <v>7.44</v>
      </c>
      <c r="I519" s="602">
        <f>D519*H519</f>
        <v>5.21</v>
      </c>
    </row>
    <row r="520" spans="2:11" s="47" customFormat="1" ht="17.25" customHeight="1" x14ac:dyDescent="0.2">
      <c r="B520" s="372" t="s">
        <v>137</v>
      </c>
      <c r="C520" s="59" t="s">
        <v>56</v>
      </c>
      <c r="D520" s="520">
        <v>0.34</v>
      </c>
      <c r="E520" s="373"/>
      <c r="F520" s="374"/>
      <c r="G520" s="374"/>
      <c r="H520" s="608">
        <f>INSUMOS!E52</f>
        <v>5.1100000000000003</v>
      </c>
      <c r="I520" s="583">
        <f>D520*H520</f>
        <v>1.74</v>
      </c>
      <c r="K520" s="11"/>
    </row>
    <row r="521" spans="2:11" ht="15.95" customHeight="1" x14ac:dyDescent="0.2">
      <c r="B521" s="735" t="s">
        <v>43</v>
      </c>
      <c r="C521" s="735"/>
      <c r="D521" s="735"/>
      <c r="E521" s="735"/>
      <c r="F521" s="735"/>
      <c r="G521" s="735"/>
      <c r="H521" s="735"/>
      <c r="I521" s="599">
        <f>SUM(I513:I520)</f>
        <v>354.7</v>
      </c>
    </row>
    <row r="522" spans="2:11" ht="15.95" customHeight="1" x14ac:dyDescent="0.2">
      <c r="B522" s="723" t="s">
        <v>46</v>
      </c>
      <c r="C522" s="723"/>
      <c r="D522" s="723"/>
      <c r="E522" s="723"/>
      <c r="F522" s="723"/>
      <c r="G522" s="723"/>
      <c r="H522" s="723"/>
      <c r="I522" s="723"/>
      <c r="K522" s="47"/>
    </row>
    <row r="523" spans="2:11" ht="15.95" customHeight="1" x14ac:dyDescent="0.2">
      <c r="B523" s="348" t="s">
        <v>33</v>
      </c>
      <c r="C523" s="20" t="s">
        <v>34</v>
      </c>
      <c r="D523" s="20" t="s">
        <v>6</v>
      </c>
      <c r="E523" s="21"/>
      <c r="F523" s="21"/>
      <c r="G523" s="21"/>
      <c r="H523" s="20" t="s">
        <v>45</v>
      </c>
      <c r="I523" s="36" t="s">
        <v>39</v>
      </c>
    </row>
    <row r="524" spans="2:11" s="47" customFormat="1" ht="13.5" customHeight="1" x14ac:dyDescent="0.2">
      <c r="B524" s="19"/>
      <c r="C524" s="20"/>
      <c r="D524" s="20"/>
      <c r="E524" s="21"/>
      <c r="F524" s="21"/>
      <c r="G524" s="21"/>
      <c r="H524" s="20"/>
      <c r="I524" s="30"/>
      <c r="K524" s="11"/>
    </row>
    <row r="525" spans="2:11" ht="15.95" customHeight="1" x14ac:dyDescent="0.2">
      <c r="B525" s="713" t="s">
        <v>43</v>
      </c>
      <c r="C525" s="713"/>
      <c r="D525" s="713"/>
      <c r="E525" s="713"/>
      <c r="F525" s="713"/>
      <c r="G525" s="713"/>
      <c r="H525" s="713"/>
      <c r="I525" s="36"/>
    </row>
    <row r="526" spans="2:11" ht="15.95" customHeight="1" x14ac:dyDescent="0.2">
      <c r="B526" s="723" t="s">
        <v>47</v>
      </c>
      <c r="C526" s="723"/>
      <c r="D526" s="723"/>
      <c r="E526" s="723"/>
      <c r="F526" s="723"/>
      <c r="G526" s="723"/>
      <c r="H526" s="723"/>
      <c r="I526" s="723"/>
      <c r="K526" s="47"/>
    </row>
    <row r="527" spans="2:11" ht="15.95" customHeight="1" x14ac:dyDescent="0.2">
      <c r="B527" s="349" t="s">
        <v>33</v>
      </c>
      <c r="C527" s="20" t="s">
        <v>34</v>
      </c>
      <c r="D527" s="20" t="s">
        <v>6</v>
      </c>
      <c r="E527" s="21"/>
      <c r="F527" s="21"/>
      <c r="G527" s="21"/>
      <c r="H527" s="20" t="s">
        <v>45</v>
      </c>
      <c r="I527" s="30" t="s">
        <v>39</v>
      </c>
    </row>
    <row r="528" spans="2:11" ht="15.95" customHeight="1" x14ac:dyDescent="0.2">
      <c r="B528" s="207" t="s">
        <v>83</v>
      </c>
      <c r="C528" s="24" t="s">
        <v>41</v>
      </c>
      <c r="D528" s="582">
        <v>3</v>
      </c>
      <c r="E528" s="21"/>
      <c r="F528" s="21"/>
      <c r="G528" s="21"/>
      <c r="H528" s="582">
        <f>INSUMOS!E17</f>
        <v>10.37</v>
      </c>
      <c r="I528" s="583">
        <f>D528*H528</f>
        <v>31.11</v>
      </c>
    </row>
    <row r="529" spans="2:11" ht="15.95" customHeight="1" x14ac:dyDescent="0.2">
      <c r="B529" s="207" t="s">
        <v>48</v>
      </c>
      <c r="C529" s="20" t="s">
        <v>41</v>
      </c>
      <c r="D529" s="582">
        <v>13</v>
      </c>
      <c r="E529" s="21"/>
      <c r="F529" s="21"/>
      <c r="G529" s="21"/>
      <c r="H529" s="582">
        <f>INSUMOS!E13</f>
        <v>7.81</v>
      </c>
      <c r="I529" s="583">
        <f>D529*H529</f>
        <v>101.53</v>
      </c>
    </row>
    <row r="530" spans="2:11" ht="15.95" customHeight="1" x14ac:dyDescent="0.2">
      <c r="B530" s="713" t="s">
        <v>43</v>
      </c>
      <c r="C530" s="713"/>
      <c r="D530" s="713"/>
      <c r="E530" s="713"/>
      <c r="F530" s="713"/>
      <c r="G530" s="713"/>
      <c r="H530" s="713"/>
      <c r="I530" s="599">
        <f>SUM(I528:I529)</f>
        <v>132.63999999999999</v>
      </c>
    </row>
    <row r="531" spans="2:11" ht="15.95" customHeight="1" x14ac:dyDescent="0.2">
      <c r="B531" s="350" t="s">
        <v>49</v>
      </c>
      <c r="C531" s="20">
        <v>1</v>
      </c>
      <c r="D531" s="728" t="s">
        <v>50</v>
      </c>
      <c r="E531" s="728"/>
      <c r="F531" s="728"/>
      <c r="G531" s="728"/>
      <c r="H531" s="728"/>
      <c r="I531" s="599">
        <f>I510+I521+I525+I530</f>
        <v>488.53</v>
      </c>
    </row>
    <row r="532" spans="2:11" ht="15.95" customHeight="1" x14ac:dyDescent="0.2">
      <c r="B532" s="725"/>
      <c r="C532" s="726"/>
      <c r="D532" s="726"/>
      <c r="E532" s="726"/>
      <c r="F532" s="726"/>
      <c r="G532" s="726"/>
      <c r="H532" s="727"/>
      <c r="I532" s="599">
        <f>I531/C531</f>
        <v>488.53</v>
      </c>
    </row>
    <row r="533" spans="2:11" s="47" customFormat="1" ht="16.5" customHeight="1" x14ac:dyDescent="0.2">
      <c r="B533" s="351" t="s">
        <v>135</v>
      </c>
      <c r="C533" s="520">
        <f>BDI!C$36</f>
        <v>25</v>
      </c>
      <c r="D533" s="352" t="s">
        <v>103</v>
      </c>
      <c r="E533" s="353"/>
      <c r="F533" s="353"/>
      <c r="G533" s="353"/>
      <c r="H533" s="354"/>
      <c r="I533" s="583">
        <f>C533/100*I532</f>
        <v>122.13</v>
      </c>
      <c r="K533" s="11"/>
    </row>
    <row r="534" spans="2:11" ht="13.5" thickBot="1" x14ac:dyDescent="0.25">
      <c r="B534" s="708" t="s">
        <v>51</v>
      </c>
      <c r="C534" s="708"/>
      <c r="D534" s="708"/>
      <c r="E534" s="708"/>
      <c r="F534" s="708"/>
      <c r="G534" s="708"/>
      <c r="H534" s="708"/>
      <c r="I534" s="549">
        <f>SUM(I532:I533)</f>
        <v>610.66</v>
      </c>
    </row>
    <row r="535" spans="2:11" ht="13.5" thickBot="1" x14ac:dyDescent="0.25">
      <c r="B535" s="609"/>
      <c r="C535" s="609"/>
      <c r="D535" s="609"/>
      <c r="E535" s="609"/>
      <c r="F535" s="609"/>
      <c r="G535" s="609"/>
      <c r="H535" s="609"/>
      <c r="I535" s="610"/>
      <c r="K535" s="47"/>
    </row>
    <row r="536" spans="2:11" ht="15.75" x14ac:dyDescent="0.2">
      <c r="B536" s="577" t="s">
        <v>361</v>
      </c>
      <c r="C536" s="578" t="s">
        <v>27</v>
      </c>
      <c r="D536" s="714" t="s">
        <v>30</v>
      </c>
      <c r="E536" s="714"/>
      <c r="F536" s="714"/>
      <c r="G536" s="714"/>
      <c r="H536" s="714"/>
      <c r="I536" s="714"/>
    </row>
    <row r="537" spans="2:11" x14ac:dyDescent="0.2">
      <c r="B537" s="718" t="s">
        <v>134</v>
      </c>
      <c r="C537" s="719"/>
      <c r="D537" s="719"/>
      <c r="E537" s="719"/>
      <c r="F537" s="719"/>
      <c r="G537" s="720"/>
      <c r="H537" s="715" t="s">
        <v>572</v>
      </c>
      <c r="I537" s="716"/>
    </row>
    <row r="538" spans="2:11" x14ac:dyDescent="0.2">
      <c r="B538" s="766" t="s">
        <v>172</v>
      </c>
      <c r="C538" s="766"/>
      <c r="D538" s="766"/>
      <c r="E538" s="766"/>
      <c r="F538" s="766"/>
      <c r="G538" s="766"/>
      <c r="H538" s="12" t="s">
        <v>31</v>
      </c>
      <c r="I538" s="46" t="s">
        <v>143</v>
      </c>
    </row>
    <row r="539" spans="2:11" x14ac:dyDescent="0.2">
      <c r="B539" s="712" t="s">
        <v>32</v>
      </c>
      <c r="C539" s="712"/>
      <c r="D539" s="712"/>
      <c r="E539" s="712"/>
      <c r="F539" s="712"/>
      <c r="G539" s="712"/>
      <c r="H539" s="712"/>
      <c r="I539" s="712"/>
    </row>
    <row r="540" spans="2:11" ht="25.5" x14ac:dyDescent="0.2">
      <c r="B540" s="13" t="s">
        <v>33</v>
      </c>
      <c r="C540" s="62" t="s">
        <v>5</v>
      </c>
      <c r="D540" s="14" t="s">
        <v>6</v>
      </c>
      <c r="E540" s="14" t="s">
        <v>35</v>
      </c>
      <c r="F540" s="14" t="s">
        <v>36</v>
      </c>
      <c r="G540" s="14" t="s">
        <v>37</v>
      </c>
      <c r="H540" s="14" t="s">
        <v>38</v>
      </c>
      <c r="I540" s="15" t="s">
        <v>39</v>
      </c>
    </row>
    <row r="541" spans="2:11" x14ac:dyDescent="0.2">
      <c r="B541" s="425" t="s">
        <v>58</v>
      </c>
      <c r="C541" s="28" t="s">
        <v>41</v>
      </c>
      <c r="D541" s="622">
        <v>10</v>
      </c>
      <c r="E541" s="20">
        <v>1</v>
      </c>
      <c r="F541" s="20"/>
      <c r="G541" s="562">
        <f>INSUMOS!E60</f>
        <v>3.17</v>
      </c>
      <c r="H541" s="20"/>
      <c r="I541" s="611">
        <f>D541*E541*G541+D541*F541*H541</f>
        <v>31.7</v>
      </c>
    </row>
    <row r="542" spans="2:11" x14ac:dyDescent="0.2">
      <c r="B542" s="756" t="s">
        <v>43</v>
      </c>
      <c r="C542" s="756"/>
      <c r="D542" s="756"/>
      <c r="E542" s="756"/>
      <c r="F542" s="756"/>
      <c r="G542" s="756"/>
      <c r="H542" s="756"/>
      <c r="I542" s="612">
        <f>SUM(I541:I541)</f>
        <v>31.7</v>
      </c>
    </row>
    <row r="543" spans="2:11" x14ac:dyDescent="0.2">
      <c r="B543" s="712" t="s">
        <v>44</v>
      </c>
      <c r="C543" s="712"/>
      <c r="D543" s="712"/>
      <c r="E543" s="712"/>
      <c r="F543" s="712"/>
      <c r="G543" s="712"/>
      <c r="H543" s="712"/>
      <c r="I543" s="712"/>
    </row>
    <row r="544" spans="2:11" x14ac:dyDescent="0.2">
      <c r="B544" s="462" t="s">
        <v>33</v>
      </c>
      <c r="C544" s="463" t="s">
        <v>5</v>
      </c>
      <c r="D544" s="18" t="s">
        <v>6</v>
      </c>
      <c r="E544" s="198"/>
      <c r="F544" s="198"/>
      <c r="G544" s="198"/>
      <c r="H544" s="18" t="s">
        <v>45</v>
      </c>
      <c r="I544" s="32" t="s">
        <v>39</v>
      </c>
    </row>
    <row r="545" spans="2:9" x14ac:dyDescent="0.2">
      <c r="B545" s="464" t="s">
        <v>59</v>
      </c>
      <c r="C545" s="31" t="s">
        <v>56</v>
      </c>
      <c r="D545" s="593">
        <v>1</v>
      </c>
      <c r="E545" s="198"/>
      <c r="F545" s="198"/>
      <c r="G545" s="198"/>
      <c r="H545" s="562">
        <f>INSUMOS!E29</f>
        <v>13</v>
      </c>
      <c r="I545" s="611">
        <f>H545*D545</f>
        <v>13</v>
      </c>
    </row>
    <row r="546" spans="2:9" x14ac:dyDescent="0.2">
      <c r="B546" s="16" t="s">
        <v>60</v>
      </c>
      <c r="C546" s="31" t="s">
        <v>56</v>
      </c>
      <c r="D546" s="593">
        <v>60</v>
      </c>
      <c r="E546" s="198"/>
      <c r="F546" s="198"/>
      <c r="G546" s="198"/>
      <c r="H546" s="562">
        <f>INSUMOS!E28</f>
        <v>2.77</v>
      </c>
      <c r="I546" s="611">
        <f>H546*D546</f>
        <v>166.2</v>
      </c>
    </row>
    <row r="547" spans="2:9" x14ac:dyDescent="0.2">
      <c r="B547" s="756" t="s">
        <v>43</v>
      </c>
      <c r="C547" s="756"/>
      <c r="D547" s="756"/>
      <c r="E547" s="756"/>
      <c r="F547" s="756"/>
      <c r="G547" s="756"/>
      <c r="H547" s="756"/>
      <c r="I547" s="611">
        <f>SUM(I545:I546)</f>
        <v>179.2</v>
      </c>
    </row>
    <row r="548" spans="2:9" x14ac:dyDescent="0.2">
      <c r="B548" s="712" t="s">
        <v>46</v>
      </c>
      <c r="C548" s="712"/>
      <c r="D548" s="712"/>
      <c r="E548" s="712"/>
      <c r="F548" s="712"/>
      <c r="G548" s="712"/>
      <c r="H548" s="712"/>
      <c r="I548" s="712"/>
    </row>
    <row r="549" spans="2:9" x14ac:dyDescent="0.2">
      <c r="B549" s="17" t="s">
        <v>33</v>
      </c>
      <c r="C549" s="26" t="s">
        <v>5</v>
      </c>
      <c r="D549" s="18" t="s">
        <v>6</v>
      </c>
      <c r="E549" s="198"/>
      <c r="F549" s="198"/>
      <c r="G549" s="198"/>
      <c r="H549" s="18" t="s">
        <v>45</v>
      </c>
      <c r="I549" s="32" t="s">
        <v>39</v>
      </c>
    </row>
    <row r="550" spans="2:9" x14ac:dyDescent="0.2">
      <c r="B550" s="82"/>
      <c r="C550" s="18"/>
      <c r="D550" s="18"/>
      <c r="E550" s="198"/>
      <c r="F550" s="198"/>
      <c r="G550" s="198"/>
      <c r="H550" s="18"/>
      <c r="I550" s="32"/>
    </row>
    <row r="551" spans="2:9" x14ac:dyDescent="0.2">
      <c r="B551" s="756" t="s">
        <v>43</v>
      </c>
      <c r="C551" s="756"/>
      <c r="D551" s="756"/>
      <c r="E551" s="756"/>
      <c r="F551" s="756"/>
      <c r="G551" s="756"/>
      <c r="H551" s="756"/>
      <c r="I551" s="32"/>
    </row>
    <row r="552" spans="2:9" x14ac:dyDescent="0.2">
      <c r="B552" s="712" t="s">
        <v>47</v>
      </c>
      <c r="C552" s="712"/>
      <c r="D552" s="712"/>
      <c r="E552" s="712"/>
      <c r="F552" s="712"/>
      <c r="G552" s="712"/>
      <c r="H552" s="712"/>
      <c r="I552" s="712"/>
    </row>
    <row r="553" spans="2:9" x14ac:dyDescent="0.2">
      <c r="B553" s="462" t="s">
        <v>33</v>
      </c>
      <c r="C553" s="463" t="s">
        <v>5</v>
      </c>
      <c r="D553" s="465" t="s">
        <v>6</v>
      </c>
      <c r="E553" s="198"/>
      <c r="F553" s="198"/>
      <c r="G553" s="198"/>
      <c r="H553" s="18" t="s">
        <v>45</v>
      </c>
      <c r="I553" s="32" t="s">
        <v>39</v>
      </c>
    </row>
    <row r="554" spans="2:9" x14ac:dyDescent="0.2">
      <c r="B554" s="427" t="s">
        <v>61</v>
      </c>
      <c r="C554" s="26" t="s">
        <v>41</v>
      </c>
      <c r="D554" s="620">
        <v>5</v>
      </c>
      <c r="E554" s="198"/>
      <c r="F554" s="198"/>
      <c r="G554" s="198"/>
      <c r="H554" s="562">
        <f>INSUMOS!E15</f>
        <v>23.62</v>
      </c>
      <c r="I554" s="601">
        <f>H554*D554</f>
        <v>118.1</v>
      </c>
    </row>
    <row r="555" spans="2:9" x14ac:dyDescent="0.2">
      <c r="B555" s="459" t="s">
        <v>48</v>
      </c>
      <c r="C555" s="26" t="s">
        <v>41</v>
      </c>
      <c r="D555" s="620">
        <v>10</v>
      </c>
      <c r="E555" s="198"/>
      <c r="F555" s="198"/>
      <c r="G555" s="198"/>
      <c r="H555" s="562">
        <f>INSUMOS!E13</f>
        <v>7.81</v>
      </c>
      <c r="I555" s="601">
        <f>H555*D555</f>
        <v>78.099999999999994</v>
      </c>
    </row>
    <row r="556" spans="2:9" x14ac:dyDescent="0.2">
      <c r="B556" s="459" t="s">
        <v>62</v>
      </c>
      <c r="C556" s="26" t="s">
        <v>41</v>
      </c>
      <c r="D556" s="620">
        <v>5</v>
      </c>
      <c r="E556" s="198"/>
      <c r="F556" s="198"/>
      <c r="G556" s="198"/>
      <c r="H556" s="562">
        <f>INSUMOS!E12</f>
        <v>19.84</v>
      </c>
      <c r="I556" s="601">
        <f>H556*D556</f>
        <v>99.2</v>
      </c>
    </row>
    <row r="557" spans="2:9" x14ac:dyDescent="0.2">
      <c r="B557" s="756" t="s">
        <v>43</v>
      </c>
      <c r="C557" s="756"/>
      <c r="D557" s="756"/>
      <c r="E557" s="756"/>
      <c r="F557" s="756"/>
      <c r="G557" s="756"/>
      <c r="H557" s="756"/>
      <c r="I557" s="600">
        <f>SUM(I554:I556)</f>
        <v>295.39999999999998</v>
      </c>
    </row>
    <row r="558" spans="2:9" x14ac:dyDescent="0.2">
      <c r="B558" s="57" t="s">
        <v>49</v>
      </c>
      <c r="C558" s="58">
        <v>1</v>
      </c>
      <c r="D558" s="700" t="s">
        <v>50</v>
      </c>
      <c r="E558" s="701"/>
      <c r="F558" s="701"/>
      <c r="G558" s="701"/>
      <c r="H558" s="702"/>
      <c r="I558" s="600">
        <f>I557+I551+I547+I542</f>
        <v>506.3</v>
      </c>
    </row>
    <row r="559" spans="2:9" x14ac:dyDescent="0.2">
      <c r="B559" s="703"/>
      <c r="C559" s="704"/>
      <c r="D559" s="704"/>
      <c r="E559" s="704"/>
      <c r="F559" s="704"/>
      <c r="G559" s="704"/>
      <c r="H559" s="705"/>
      <c r="I559" s="600">
        <f>I558/C558</f>
        <v>506.3</v>
      </c>
    </row>
    <row r="560" spans="2:9" x14ac:dyDescent="0.2">
      <c r="B560" s="53" t="s">
        <v>135</v>
      </c>
      <c r="C560" s="520">
        <f>BDI!C$36</f>
        <v>25</v>
      </c>
      <c r="D560" s="56" t="s">
        <v>103</v>
      </c>
      <c r="E560" s="51"/>
      <c r="F560" s="51"/>
      <c r="G560" s="51"/>
      <c r="H560" s="52"/>
      <c r="I560" s="601">
        <f>C560/100*I559</f>
        <v>126.58</v>
      </c>
    </row>
    <row r="561" spans="2:9" ht="13.5" thickBot="1" x14ac:dyDescent="0.25">
      <c r="B561" s="759" t="s">
        <v>51</v>
      </c>
      <c r="C561" s="759"/>
      <c r="D561" s="759"/>
      <c r="E561" s="759"/>
      <c r="F561" s="759"/>
      <c r="G561" s="759"/>
      <c r="H561" s="759"/>
      <c r="I561" s="613">
        <f>SUM(I559:I560)</f>
        <v>632.88</v>
      </c>
    </row>
    <row r="562" spans="2:9" ht="13.5" thickBot="1" x14ac:dyDescent="0.25"/>
    <row r="563" spans="2:9" ht="15.75" x14ac:dyDescent="0.2">
      <c r="B563" s="577" t="s">
        <v>361</v>
      </c>
      <c r="C563" s="578" t="s">
        <v>28</v>
      </c>
      <c r="D563" s="795" t="s">
        <v>30</v>
      </c>
      <c r="E563" s="795"/>
      <c r="F563" s="795"/>
      <c r="G563" s="795"/>
      <c r="H563" s="795"/>
      <c r="I563" s="796"/>
    </row>
    <row r="564" spans="2:9" x14ac:dyDescent="0.2">
      <c r="B564" s="718" t="s">
        <v>134</v>
      </c>
      <c r="C564" s="719"/>
      <c r="D564" s="719"/>
      <c r="E564" s="719"/>
      <c r="F564" s="719"/>
      <c r="G564" s="720"/>
      <c r="H564" s="715" t="s">
        <v>572</v>
      </c>
      <c r="I564" s="716"/>
    </row>
    <row r="565" spans="2:9" x14ac:dyDescent="0.2">
      <c r="B565" s="797" t="s">
        <v>577</v>
      </c>
      <c r="C565" s="766"/>
      <c r="D565" s="766"/>
      <c r="E565" s="766"/>
      <c r="F565" s="766"/>
      <c r="G565" s="766"/>
      <c r="H565" s="12" t="s">
        <v>31</v>
      </c>
      <c r="I565" s="466" t="s">
        <v>19</v>
      </c>
    </row>
    <row r="566" spans="2:9" x14ac:dyDescent="0.2">
      <c r="B566" s="732" t="s">
        <v>32</v>
      </c>
      <c r="C566" s="712"/>
      <c r="D566" s="712"/>
      <c r="E566" s="712"/>
      <c r="F566" s="712"/>
      <c r="G566" s="712"/>
      <c r="H566" s="712"/>
      <c r="I566" s="733"/>
    </row>
    <row r="567" spans="2:9" ht="25.5" x14ac:dyDescent="0.2">
      <c r="B567" s="75" t="s">
        <v>33</v>
      </c>
      <c r="C567" s="62" t="s">
        <v>5</v>
      </c>
      <c r="D567" s="14" t="s">
        <v>6</v>
      </c>
      <c r="E567" s="14" t="s">
        <v>35</v>
      </c>
      <c r="F567" s="14" t="s">
        <v>36</v>
      </c>
      <c r="G567" s="14" t="s">
        <v>37</v>
      </c>
      <c r="H567" s="14" t="s">
        <v>38</v>
      </c>
      <c r="I567" s="76" t="s">
        <v>39</v>
      </c>
    </row>
    <row r="568" spans="2:9" x14ac:dyDescent="0.2">
      <c r="B568" s="425" t="s">
        <v>58</v>
      </c>
      <c r="C568" s="28" t="s">
        <v>41</v>
      </c>
      <c r="D568" s="622">
        <v>1.5</v>
      </c>
      <c r="E568" s="20"/>
      <c r="F568" s="20"/>
      <c r="G568" s="562">
        <f>INSUMOS!E61</f>
        <v>3.17</v>
      </c>
      <c r="H568" s="20"/>
      <c r="I568" s="568">
        <f>D568*G568</f>
        <v>4.76</v>
      </c>
    </row>
    <row r="569" spans="2:9" x14ac:dyDescent="0.2">
      <c r="B569" s="464" t="s">
        <v>63</v>
      </c>
      <c r="C569" s="31" t="s">
        <v>41</v>
      </c>
      <c r="D569" s="593">
        <v>1.5</v>
      </c>
      <c r="E569" s="18"/>
      <c r="F569" s="87"/>
      <c r="G569" s="614">
        <f>INSUMOS!E62</f>
        <v>9.44</v>
      </c>
      <c r="H569" s="87"/>
      <c r="I569" s="568">
        <f>D569*G569</f>
        <v>14.16</v>
      </c>
    </row>
    <row r="570" spans="2:9" x14ac:dyDescent="0.2">
      <c r="B570" s="788" t="s">
        <v>43</v>
      </c>
      <c r="C570" s="756"/>
      <c r="D570" s="756"/>
      <c r="E570" s="756"/>
      <c r="F570" s="756"/>
      <c r="G570" s="756"/>
      <c r="H570" s="756"/>
      <c r="I570" s="615">
        <f>SUM(I568:I569)</f>
        <v>18.920000000000002</v>
      </c>
    </row>
    <row r="571" spans="2:9" x14ac:dyDescent="0.2">
      <c r="B571" s="732" t="s">
        <v>44</v>
      </c>
      <c r="C571" s="712"/>
      <c r="D571" s="712"/>
      <c r="E571" s="712"/>
      <c r="F571" s="712"/>
      <c r="G571" s="712"/>
      <c r="H571" s="712"/>
      <c r="I571" s="733"/>
    </row>
    <row r="572" spans="2:9" x14ac:dyDescent="0.2">
      <c r="B572" s="468" t="s">
        <v>33</v>
      </c>
      <c r="C572" s="463" t="s">
        <v>5</v>
      </c>
      <c r="D572" s="18" t="s">
        <v>6</v>
      </c>
      <c r="E572" s="198"/>
      <c r="F572" s="198"/>
      <c r="G572" s="198"/>
      <c r="H572" s="18" t="s">
        <v>45</v>
      </c>
      <c r="I572" s="469" t="s">
        <v>39</v>
      </c>
    </row>
    <row r="573" spans="2:9" x14ac:dyDescent="0.2">
      <c r="B573" s="470"/>
      <c r="C573" s="31"/>
      <c r="D573" s="424"/>
      <c r="E573" s="198"/>
      <c r="F573" s="198"/>
      <c r="G573" s="198"/>
      <c r="H573" s="18"/>
      <c r="I573" s="469"/>
    </row>
    <row r="574" spans="2:9" x14ac:dyDescent="0.2">
      <c r="B574" s="788" t="s">
        <v>43</v>
      </c>
      <c r="C574" s="756"/>
      <c r="D574" s="756"/>
      <c r="E574" s="756"/>
      <c r="F574" s="756"/>
      <c r="G574" s="756"/>
      <c r="H574" s="756"/>
      <c r="I574" s="469"/>
    </row>
    <row r="575" spans="2:9" x14ac:dyDescent="0.2">
      <c r="B575" s="732" t="s">
        <v>46</v>
      </c>
      <c r="C575" s="712"/>
      <c r="D575" s="712"/>
      <c r="E575" s="712"/>
      <c r="F575" s="712"/>
      <c r="G575" s="712"/>
      <c r="H575" s="712"/>
      <c r="I575" s="733"/>
    </row>
    <row r="576" spans="2:9" x14ac:dyDescent="0.2">
      <c r="B576" s="471" t="s">
        <v>33</v>
      </c>
      <c r="C576" s="26" t="s">
        <v>5</v>
      </c>
      <c r="D576" s="18" t="s">
        <v>6</v>
      </c>
      <c r="E576" s="198"/>
      <c r="F576" s="198"/>
      <c r="G576" s="198"/>
      <c r="H576" s="18" t="s">
        <v>45</v>
      </c>
      <c r="I576" s="469" t="s">
        <v>39</v>
      </c>
    </row>
    <row r="577" spans="2:9" x14ac:dyDescent="0.2">
      <c r="B577" s="375"/>
      <c r="C577" s="18"/>
      <c r="D577" s="18"/>
      <c r="E577" s="198"/>
      <c r="F577" s="198"/>
      <c r="G577" s="198"/>
      <c r="H577" s="18"/>
      <c r="I577" s="469"/>
    </row>
    <row r="578" spans="2:9" x14ac:dyDescent="0.2">
      <c r="B578" s="788" t="s">
        <v>43</v>
      </c>
      <c r="C578" s="756"/>
      <c r="D578" s="756"/>
      <c r="E578" s="756"/>
      <c r="F578" s="756"/>
      <c r="G578" s="756"/>
      <c r="H578" s="756"/>
      <c r="I578" s="469"/>
    </row>
    <row r="579" spans="2:9" x14ac:dyDescent="0.2">
      <c r="B579" s="732" t="s">
        <v>47</v>
      </c>
      <c r="C579" s="712"/>
      <c r="D579" s="712"/>
      <c r="E579" s="712"/>
      <c r="F579" s="712"/>
      <c r="G579" s="712"/>
      <c r="H579" s="712"/>
      <c r="I579" s="733"/>
    </row>
    <row r="580" spans="2:9" x14ac:dyDescent="0.2">
      <c r="B580" s="468" t="s">
        <v>33</v>
      </c>
      <c r="C580" s="463" t="s">
        <v>5</v>
      </c>
      <c r="D580" s="465" t="s">
        <v>6</v>
      </c>
      <c r="E580" s="198"/>
      <c r="F580" s="198"/>
      <c r="G580" s="198"/>
      <c r="H580" s="18" t="s">
        <v>45</v>
      </c>
      <c r="I580" s="469" t="s">
        <v>39</v>
      </c>
    </row>
    <row r="581" spans="2:9" x14ac:dyDescent="0.2">
      <c r="B581" s="427" t="s">
        <v>61</v>
      </c>
      <c r="C581" s="26" t="s">
        <v>41</v>
      </c>
      <c r="D581" s="620">
        <v>2.5</v>
      </c>
      <c r="E581" s="472"/>
      <c r="F581" s="473"/>
      <c r="G581" s="473"/>
      <c r="H581" s="562">
        <f>INSUMOS!E15</f>
        <v>23.62</v>
      </c>
      <c r="I581" s="566">
        <f>H581*D581</f>
        <v>59.05</v>
      </c>
    </row>
    <row r="582" spans="2:9" x14ac:dyDescent="0.2">
      <c r="B582" s="459" t="s">
        <v>48</v>
      </c>
      <c r="C582" s="26" t="s">
        <v>41</v>
      </c>
      <c r="D582" s="620">
        <v>0.8</v>
      </c>
      <c r="E582" s="474"/>
      <c r="F582" s="475"/>
      <c r="G582" s="473"/>
      <c r="H582" s="562">
        <f>INSUMOS!E13</f>
        <v>7.81</v>
      </c>
      <c r="I582" s="566">
        <f>H582*D582</f>
        <v>6.25</v>
      </c>
    </row>
    <row r="583" spans="2:9" x14ac:dyDescent="0.2">
      <c r="B583" s="459" t="s">
        <v>66</v>
      </c>
      <c r="C583" s="26" t="s">
        <v>41</v>
      </c>
      <c r="D583" s="620">
        <v>2.5</v>
      </c>
      <c r="E583" s="476"/>
      <c r="F583" s="475"/>
      <c r="G583" s="473"/>
      <c r="H583" s="562">
        <f>INSUMOS!E19</f>
        <v>12.78</v>
      </c>
      <c r="I583" s="566">
        <f>H583*D583</f>
        <v>31.95</v>
      </c>
    </row>
    <row r="584" spans="2:9" x14ac:dyDescent="0.2">
      <c r="B584" s="788" t="s">
        <v>43</v>
      </c>
      <c r="C584" s="756"/>
      <c r="D584" s="756"/>
      <c r="E584" s="756"/>
      <c r="F584" s="756"/>
      <c r="G584" s="756"/>
      <c r="H584" s="756"/>
      <c r="I584" s="615">
        <f>SUM(I581:I583)</f>
        <v>97.25</v>
      </c>
    </row>
    <row r="585" spans="2:9" x14ac:dyDescent="0.2">
      <c r="B585" s="477" t="s">
        <v>49</v>
      </c>
      <c r="C585" s="58">
        <v>1</v>
      </c>
      <c r="D585" s="700" t="s">
        <v>50</v>
      </c>
      <c r="E585" s="701"/>
      <c r="F585" s="701"/>
      <c r="G585" s="701"/>
      <c r="H585" s="702"/>
      <c r="I585" s="615">
        <f>I570+I574+I578+I584</f>
        <v>116.17</v>
      </c>
    </row>
    <row r="586" spans="2:9" x14ac:dyDescent="0.2">
      <c r="B586" s="789"/>
      <c r="C586" s="704"/>
      <c r="D586" s="704"/>
      <c r="E586" s="704"/>
      <c r="F586" s="704"/>
      <c r="G586" s="704"/>
      <c r="H586" s="705"/>
      <c r="I586" s="615">
        <f>I585/C585</f>
        <v>116.17</v>
      </c>
    </row>
    <row r="587" spans="2:9" x14ac:dyDescent="0.2">
      <c r="B587" s="478" t="s">
        <v>135</v>
      </c>
      <c r="C587" s="520">
        <f>BDI!C$36</f>
        <v>25</v>
      </c>
      <c r="D587" s="56" t="s">
        <v>103</v>
      </c>
      <c r="E587" s="51"/>
      <c r="F587" s="51"/>
      <c r="G587" s="51"/>
      <c r="H587" s="52"/>
      <c r="I587" s="566">
        <f>C587/100*I586</f>
        <v>29.04</v>
      </c>
    </row>
    <row r="588" spans="2:9" ht="13.5" thickBot="1" x14ac:dyDescent="0.25">
      <c r="B588" s="790" t="s">
        <v>51</v>
      </c>
      <c r="C588" s="791"/>
      <c r="D588" s="791"/>
      <c r="E588" s="791"/>
      <c r="F588" s="791"/>
      <c r="G588" s="791"/>
      <c r="H588" s="791"/>
      <c r="I588" s="613">
        <f>SUM(I586:I587)</f>
        <v>145.21</v>
      </c>
    </row>
    <row r="589" spans="2:9" ht="13.5" thickBot="1" x14ac:dyDescent="0.25"/>
    <row r="590" spans="2:9" ht="15.75" x14ac:dyDescent="0.2">
      <c r="B590" s="577" t="s">
        <v>361</v>
      </c>
      <c r="C590" s="578" t="s">
        <v>29</v>
      </c>
      <c r="D590" s="795" t="s">
        <v>30</v>
      </c>
      <c r="E590" s="795"/>
      <c r="F590" s="795"/>
      <c r="G590" s="795"/>
      <c r="H590" s="795"/>
      <c r="I590" s="796"/>
    </row>
    <row r="591" spans="2:9" x14ac:dyDescent="0.2">
      <c r="B591" s="718" t="s">
        <v>134</v>
      </c>
      <c r="C591" s="719"/>
      <c r="D591" s="719"/>
      <c r="E591" s="719"/>
      <c r="F591" s="719"/>
      <c r="G591" s="720"/>
      <c r="H591" s="715" t="s">
        <v>572</v>
      </c>
      <c r="I591" s="716"/>
    </row>
    <row r="592" spans="2:9" x14ac:dyDescent="0.2">
      <c r="B592" s="797" t="s">
        <v>578</v>
      </c>
      <c r="C592" s="766"/>
      <c r="D592" s="766"/>
      <c r="E592" s="766"/>
      <c r="F592" s="766"/>
      <c r="G592" s="766"/>
      <c r="H592" s="12" t="s">
        <v>31</v>
      </c>
      <c r="I592" s="466" t="s">
        <v>19</v>
      </c>
    </row>
    <row r="593" spans="2:9" x14ac:dyDescent="0.2">
      <c r="B593" s="732" t="s">
        <v>32</v>
      </c>
      <c r="C593" s="712"/>
      <c r="D593" s="712"/>
      <c r="E593" s="712"/>
      <c r="F593" s="712"/>
      <c r="G593" s="712"/>
      <c r="H593" s="712"/>
      <c r="I593" s="733"/>
    </row>
    <row r="594" spans="2:9" ht="25.5" x14ac:dyDescent="0.2">
      <c r="B594" s="75" t="s">
        <v>33</v>
      </c>
      <c r="C594" s="62" t="s">
        <v>5</v>
      </c>
      <c r="D594" s="14" t="s">
        <v>6</v>
      </c>
      <c r="E594" s="14" t="s">
        <v>35</v>
      </c>
      <c r="F594" s="14" t="s">
        <v>36</v>
      </c>
      <c r="G594" s="14" t="s">
        <v>37</v>
      </c>
      <c r="H594" s="14" t="s">
        <v>38</v>
      </c>
      <c r="I594" s="76" t="s">
        <v>39</v>
      </c>
    </row>
    <row r="595" spans="2:9" x14ac:dyDescent="0.2">
      <c r="B595" s="425" t="s">
        <v>58</v>
      </c>
      <c r="C595" s="28" t="s">
        <v>41</v>
      </c>
      <c r="D595" s="622">
        <v>1.35</v>
      </c>
      <c r="E595" s="20"/>
      <c r="F595" s="20"/>
      <c r="G595" s="562">
        <f>INSUMOS!E61</f>
        <v>3.17</v>
      </c>
      <c r="H595" s="20"/>
      <c r="I595" s="568">
        <f>D595*G595</f>
        <v>4.28</v>
      </c>
    </row>
    <row r="596" spans="2:9" x14ac:dyDescent="0.2">
      <c r="B596" s="464" t="s">
        <v>63</v>
      </c>
      <c r="C596" s="31" t="s">
        <v>41</v>
      </c>
      <c r="D596" s="593">
        <v>1.35</v>
      </c>
      <c r="E596" s="18"/>
      <c r="F596" s="87"/>
      <c r="G596" s="614">
        <f>INSUMOS!E62</f>
        <v>9.44</v>
      </c>
      <c r="H596" s="87"/>
      <c r="I596" s="568">
        <f>D596*G596</f>
        <v>12.74</v>
      </c>
    </row>
    <row r="597" spans="2:9" x14ac:dyDescent="0.2">
      <c r="B597" s="788" t="s">
        <v>43</v>
      </c>
      <c r="C597" s="756"/>
      <c r="D597" s="756"/>
      <c r="E597" s="756"/>
      <c r="F597" s="756"/>
      <c r="G597" s="756"/>
      <c r="H597" s="756"/>
      <c r="I597" s="567">
        <f>SUM(I595:I596)</f>
        <v>17.02</v>
      </c>
    </row>
    <row r="598" spans="2:9" x14ac:dyDescent="0.2">
      <c r="B598" s="732" t="s">
        <v>44</v>
      </c>
      <c r="C598" s="712"/>
      <c r="D598" s="712"/>
      <c r="E598" s="712"/>
      <c r="F598" s="712"/>
      <c r="G598" s="712"/>
      <c r="H598" s="712"/>
      <c r="I598" s="733"/>
    </row>
    <row r="599" spans="2:9" x14ac:dyDescent="0.2">
      <c r="B599" s="468" t="s">
        <v>33</v>
      </c>
      <c r="C599" s="463" t="s">
        <v>5</v>
      </c>
      <c r="D599" s="18" t="s">
        <v>6</v>
      </c>
      <c r="E599" s="198"/>
      <c r="F599" s="198"/>
      <c r="G599" s="198"/>
      <c r="H599" s="18" t="s">
        <v>45</v>
      </c>
      <c r="I599" s="469" t="s">
        <v>39</v>
      </c>
    </row>
    <row r="600" spans="2:9" x14ac:dyDescent="0.2">
      <c r="B600" s="470"/>
      <c r="C600" s="31"/>
      <c r="D600" s="424"/>
      <c r="E600" s="198"/>
      <c r="F600" s="198"/>
      <c r="G600" s="198"/>
      <c r="H600" s="18"/>
      <c r="I600" s="469"/>
    </row>
    <row r="601" spans="2:9" x14ac:dyDescent="0.2">
      <c r="B601" s="788" t="s">
        <v>43</v>
      </c>
      <c r="C601" s="756"/>
      <c r="D601" s="756"/>
      <c r="E601" s="756"/>
      <c r="F601" s="756"/>
      <c r="G601" s="756"/>
      <c r="H601" s="756"/>
      <c r="I601" s="469"/>
    </row>
    <row r="602" spans="2:9" x14ac:dyDescent="0.2">
      <c r="B602" s="732" t="s">
        <v>46</v>
      </c>
      <c r="C602" s="712"/>
      <c r="D602" s="712"/>
      <c r="E602" s="712"/>
      <c r="F602" s="712"/>
      <c r="G602" s="712"/>
      <c r="H602" s="712"/>
      <c r="I602" s="733"/>
    </row>
    <row r="603" spans="2:9" x14ac:dyDescent="0.2">
      <c r="B603" s="471" t="s">
        <v>33</v>
      </c>
      <c r="C603" s="26" t="s">
        <v>5</v>
      </c>
      <c r="D603" s="18" t="s">
        <v>6</v>
      </c>
      <c r="E603" s="198"/>
      <c r="F603" s="198"/>
      <c r="G603" s="198"/>
      <c r="H603" s="18" t="s">
        <v>45</v>
      </c>
      <c r="I603" s="469" t="s">
        <v>39</v>
      </c>
    </row>
    <row r="604" spans="2:9" x14ac:dyDescent="0.2">
      <c r="B604" s="375"/>
      <c r="C604" s="18"/>
      <c r="D604" s="18"/>
      <c r="E604" s="198"/>
      <c r="F604" s="198"/>
      <c r="G604" s="198"/>
      <c r="H604" s="18"/>
      <c r="I604" s="469"/>
    </row>
    <row r="605" spans="2:9" x14ac:dyDescent="0.2">
      <c r="B605" s="788" t="s">
        <v>43</v>
      </c>
      <c r="C605" s="756"/>
      <c r="D605" s="756"/>
      <c r="E605" s="756"/>
      <c r="F605" s="756"/>
      <c r="G605" s="756"/>
      <c r="H605" s="756"/>
      <c r="I605" s="469"/>
    </row>
    <row r="606" spans="2:9" x14ac:dyDescent="0.2">
      <c r="B606" s="732" t="s">
        <v>47</v>
      </c>
      <c r="C606" s="712"/>
      <c r="D606" s="712"/>
      <c r="E606" s="712"/>
      <c r="F606" s="712"/>
      <c r="G606" s="712"/>
      <c r="H606" s="712"/>
      <c r="I606" s="733"/>
    </row>
    <row r="607" spans="2:9" x14ac:dyDescent="0.2">
      <c r="B607" s="468" t="s">
        <v>33</v>
      </c>
      <c r="C607" s="463" t="s">
        <v>5</v>
      </c>
      <c r="D607" s="465" t="s">
        <v>6</v>
      </c>
      <c r="E607" s="198"/>
      <c r="F607" s="198"/>
      <c r="G607" s="198"/>
      <c r="H607" s="18" t="s">
        <v>45</v>
      </c>
      <c r="I607" s="469" t="s">
        <v>39</v>
      </c>
    </row>
    <row r="608" spans="2:9" x14ac:dyDescent="0.2">
      <c r="B608" s="427" t="s">
        <v>61</v>
      </c>
      <c r="C608" s="26" t="s">
        <v>41</v>
      </c>
      <c r="D608" s="620">
        <v>2.2000000000000002</v>
      </c>
      <c r="E608" s="472"/>
      <c r="F608" s="198"/>
      <c r="G608" s="198"/>
      <c r="H608" s="562">
        <f>INSUMOS!E15</f>
        <v>23.62</v>
      </c>
      <c r="I608" s="566">
        <f>H608*D608</f>
        <v>51.96</v>
      </c>
    </row>
    <row r="609" spans="2:9" x14ac:dyDescent="0.2">
      <c r="B609" s="459" t="s">
        <v>48</v>
      </c>
      <c r="C609" s="26" t="s">
        <v>41</v>
      </c>
      <c r="D609" s="620">
        <v>0.7</v>
      </c>
      <c r="E609" s="474"/>
      <c r="F609" s="479"/>
      <c r="G609" s="198"/>
      <c r="H609" s="562">
        <f>INSUMOS!E13</f>
        <v>7.81</v>
      </c>
      <c r="I609" s="566">
        <f>H609*D609</f>
        <v>5.47</v>
      </c>
    </row>
    <row r="610" spans="2:9" x14ac:dyDescent="0.2">
      <c r="B610" s="459" t="s">
        <v>66</v>
      </c>
      <c r="C610" s="26" t="s">
        <v>41</v>
      </c>
      <c r="D610" s="620">
        <v>2.2000000000000002</v>
      </c>
      <c r="E610" s="476"/>
      <c r="F610" s="479"/>
      <c r="G610" s="198"/>
      <c r="H610" s="562">
        <f>INSUMOS!E19</f>
        <v>12.78</v>
      </c>
      <c r="I610" s="566">
        <f>H610*D610</f>
        <v>28.12</v>
      </c>
    </row>
    <row r="611" spans="2:9" x14ac:dyDescent="0.2">
      <c r="B611" s="788" t="s">
        <v>43</v>
      </c>
      <c r="C611" s="756"/>
      <c r="D611" s="756"/>
      <c r="E611" s="756"/>
      <c r="F611" s="756"/>
      <c r="G611" s="756"/>
      <c r="H611" s="756"/>
      <c r="I611" s="615">
        <f>SUM(I608:I610)</f>
        <v>85.55</v>
      </c>
    </row>
    <row r="612" spans="2:9" x14ac:dyDescent="0.2">
      <c r="B612" s="477" t="s">
        <v>49</v>
      </c>
      <c r="C612" s="58">
        <v>1</v>
      </c>
      <c r="D612" s="700" t="s">
        <v>50</v>
      </c>
      <c r="E612" s="701"/>
      <c r="F612" s="701"/>
      <c r="G612" s="701"/>
      <c r="H612" s="702"/>
      <c r="I612" s="615">
        <f>I597+I601+I605+I611</f>
        <v>102.57</v>
      </c>
    </row>
    <row r="613" spans="2:9" x14ac:dyDescent="0.2">
      <c r="B613" s="789"/>
      <c r="C613" s="704"/>
      <c r="D613" s="704"/>
      <c r="E613" s="704"/>
      <c r="F613" s="704"/>
      <c r="G613" s="704"/>
      <c r="H613" s="705"/>
      <c r="I613" s="615">
        <f>I612/C612</f>
        <v>102.57</v>
      </c>
    </row>
    <row r="614" spans="2:9" x14ac:dyDescent="0.2">
      <c r="B614" s="478" t="s">
        <v>135</v>
      </c>
      <c r="C614" s="520">
        <f>BDI!C$36</f>
        <v>25</v>
      </c>
      <c r="D614" s="56" t="s">
        <v>103</v>
      </c>
      <c r="E614" s="51"/>
      <c r="F614" s="51"/>
      <c r="G614" s="51"/>
      <c r="H614" s="52"/>
      <c r="I614" s="566">
        <f>C614/100*I613</f>
        <v>25.64</v>
      </c>
    </row>
    <row r="615" spans="2:9" ht="13.5" thickBot="1" x14ac:dyDescent="0.25">
      <c r="B615" s="790" t="s">
        <v>51</v>
      </c>
      <c r="C615" s="791"/>
      <c r="D615" s="791"/>
      <c r="E615" s="791"/>
      <c r="F615" s="791"/>
      <c r="G615" s="791"/>
      <c r="H615" s="791"/>
      <c r="I615" s="613">
        <f>SUM(I613:I614)</f>
        <v>128.21</v>
      </c>
    </row>
    <row r="616" spans="2:9" ht="13.5" thickBot="1" x14ac:dyDescent="0.25">
      <c r="B616" s="461"/>
      <c r="C616" s="461"/>
      <c r="D616" s="461"/>
      <c r="E616" s="461"/>
      <c r="F616" s="461"/>
      <c r="G616" s="461"/>
      <c r="H616" s="461"/>
      <c r="I616" s="429"/>
    </row>
    <row r="617" spans="2:9" ht="15.75" x14ac:dyDescent="0.2">
      <c r="B617" s="577" t="s">
        <v>361</v>
      </c>
      <c r="C617" s="578" t="s">
        <v>180</v>
      </c>
      <c r="D617" s="714" t="s">
        <v>30</v>
      </c>
      <c r="E617" s="714"/>
      <c r="F617" s="714"/>
      <c r="G617" s="714"/>
      <c r="H617" s="714"/>
      <c r="I617" s="714"/>
    </row>
    <row r="618" spans="2:9" x14ac:dyDescent="0.2">
      <c r="B618" s="718" t="s">
        <v>134</v>
      </c>
      <c r="C618" s="719"/>
      <c r="D618" s="719"/>
      <c r="E618" s="719"/>
      <c r="F618" s="719"/>
      <c r="G618" s="720"/>
      <c r="H618" s="715" t="s">
        <v>572</v>
      </c>
      <c r="I618" s="716"/>
    </row>
    <row r="619" spans="2:9" ht="30" customHeight="1" x14ac:dyDescent="0.2">
      <c r="B619" s="766" t="s">
        <v>581</v>
      </c>
      <c r="C619" s="766"/>
      <c r="D619" s="766"/>
      <c r="E619" s="766"/>
      <c r="F619" s="766"/>
      <c r="G619" s="766"/>
      <c r="H619" s="12" t="s">
        <v>31</v>
      </c>
      <c r="I619" s="46" t="s">
        <v>143</v>
      </c>
    </row>
    <row r="620" spans="2:9" x14ac:dyDescent="0.2">
      <c r="B620" s="712" t="s">
        <v>32</v>
      </c>
      <c r="C620" s="712"/>
      <c r="D620" s="712"/>
      <c r="E620" s="712"/>
      <c r="F620" s="712"/>
      <c r="G620" s="712"/>
      <c r="H620" s="712"/>
      <c r="I620" s="712"/>
    </row>
    <row r="621" spans="2:9" ht="25.5" x14ac:dyDescent="0.2">
      <c r="B621" s="13" t="s">
        <v>33</v>
      </c>
      <c r="C621" s="62" t="s">
        <v>5</v>
      </c>
      <c r="D621" s="14" t="s">
        <v>6</v>
      </c>
      <c r="E621" s="14" t="s">
        <v>35</v>
      </c>
      <c r="F621" s="14" t="s">
        <v>36</v>
      </c>
      <c r="G621" s="14" t="s">
        <v>37</v>
      </c>
      <c r="H621" s="14" t="s">
        <v>38</v>
      </c>
      <c r="I621" s="15" t="s">
        <v>39</v>
      </c>
    </row>
    <row r="622" spans="2:9" x14ac:dyDescent="0.2">
      <c r="B622" s="464"/>
      <c r="C622" s="480"/>
      <c r="D622" s="481"/>
      <c r="E622" s="482"/>
      <c r="F622" s="482"/>
      <c r="G622" s="482"/>
      <c r="H622" s="482"/>
      <c r="I622" s="30"/>
    </row>
    <row r="623" spans="2:9" x14ac:dyDescent="0.2">
      <c r="B623" s="756" t="s">
        <v>43</v>
      </c>
      <c r="C623" s="756"/>
      <c r="D623" s="756"/>
      <c r="E623" s="756"/>
      <c r="F623" s="756"/>
      <c r="G623" s="756"/>
      <c r="H623" s="756"/>
      <c r="I623" s="460"/>
    </row>
    <row r="624" spans="2:9" x14ac:dyDescent="0.2">
      <c r="B624" s="712" t="s">
        <v>44</v>
      </c>
      <c r="C624" s="712"/>
      <c r="D624" s="712"/>
      <c r="E624" s="712"/>
      <c r="F624" s="712"/>
      <c r="G624" s="712"/>
      <c r="H624" s="712"/>
      <c r="I624" s="712"/>
    </row>
    <row r="625" spans="2:9" x14ac:dyDescent="0.2">
      <c r="B625" s="462" t="s">
        <v>33</v>
      </c>
      <c r="C625" s="463" t="s">
        <v>5</v>
      </c>
      <c r="D625" s="18" t="s">
        <v>6</v>
      </c>
      <c r="E625" s="198"/>
      <c r="F625" s="198"/>
      <c r="G625" s="198"/>
      <c r="H625" s="18" t="s">
        <v>45</v>
      </c>
      <c r="I625" s="32" t="s">
        <v>39</v>
      </c>
    </row>
    <row r="626" spans="2:9" x14ac:dyDescent="0.2">
      <c r="B626" s="425" t="s">
        <v>626</v>
      </c>
      <c r="C626" s="28" t="s">
        <v>143</v>
      </c>
      <c r="D626" s="622">
        <v>1</v>
      </c>
      <c r="E626" s="426"/>
      <c r="F626" s="426"/>
      <c r="G626" s="426"/>
      <c r="H626" s="562">
        <f>INSUMOS!E56</f>
        <v>48.73</v>
      </c>
      <c r="I626" s="601">
        <f>H626*D626</f>
        <v>48.73</v>
      </c>
    </row>
    <row r="627" spans="2:9" x14ac:dyDescent="0.2">
      <c r="B627" s="464" t="s">
        <v>236</v>
      </c>
      <c r="C627" s="31" t="s">
        <v>56</v>
      </c>
      <c r="D627" s="593">
        <v>0.01</v>
      </c>
      <c r="E627" s="198"/>
      <c r="F627" s="198"/>
      <c r="G627" s="198"/>
      <c r="H627" s="562">
        <f>INSUMOS!E29</f>
        <v>13</v>
      </c>
      <c r="I627" s="601">
        <f>H627*D627</f>
        <v>0.13</v>
      </c>
    </row>
    <row r="628" spans="2:9" x14ac:dyDescent="0.2">
      <c r="B628" s="423" t="s">
        <v>237</v>
      </c>
      <c r="C628" s="28" t="s">
        <v>143</v>
      </c>
      <c r="D628" s="622">
        <v>1</v>
      </c>
      <c r="E628" s="426"/>
      <c r="F628" s="426"/>
      <c r="G628" s="426"/>
      <c r="H628" s="562">
        <f>INSUMOS!E57</f>
        <v>11.1</v>
      </c>
      <c r="I628" s="601">
        <f>H628*D628</f>
        <v>11.1</v>
      </c>
    </row>
    <row r="629" spans="2:9" x14ac:dyDescent="0.2">
      <c r="B629" s="756" t="s">
        <v>43</v>
      </c>
      <c r="C629" s="756"/>
      <c r="D629" s="756"/>
      <c r="E629" s="756"/>
      <c r="F629" s="756"/>
      <c r="G629" s="756"/>
      <c r="H629" s="756"/>
      <c r="I629" s="601">
        <f>SUM(I626:I628)</f>
        <v>59.96</v>
      </c>
    </row>
    <row r="630" spans="2:9" x14ac:dyDescent="0.2">
      <c r="B630" s="712" t="s">
        <v>46</v>
      </c>
      <c r="C630" s="712"/>
      <c r="D630" s="712"/>
      <c r="E630" s="712"/>
      <c r="F630" s="712"/>
      <c r="G630" s="712"/>
      <c r="H630" s="712"/>
      <c r="I630" s="712"/>
    </row>
    <row r="631" spans="2:9" x14ac:dyDescent="0.2">
      <c r="B631" s="17" t="s">
        <v>33</v>
      </c>
      <c r="C631" s="26" t="s">
        <v>5</v>
      </c>
      <c r="D631" s="18" t="s">
        <v>6</v>
      </c>
      <c r="E631" s="198"/>
      <c r="F631" s="198"/>
      <c r="G631" s="198"/>
      <c r="H631" s="18" t="s">
        <v>45</v>
      </c>
      <c r="I631" s="32" t="s">
        <v>39</v>
      </c>
    </row>
    <row r="632" spans="2:9" x14ac:dyDescent="0.2">
      <c r="B632" s="19"/>
      <c r="C632" s="18"/>
      <c r="D632" s="18"/>
      <c r="E632" s="198"/>
      <c r="F632" s="198"/>
      <c r="G632" s="198"/>
      <c r="H632" s="18"/>
      <c r="I632" s="32"/>
    </row>
    <row r="633" spans="2:9" x14ac:dyDescent="0.2">
      <c r="B633" s="756" t="s">
        <v>43</v>
      </c>
      <c r="C633" s="756"/>
      <c r="D633" s="756"/>
      <c r="E633" s="756"/>
      <c r="F633" s="756"/>
      <c r="G633" s="756"/>
      <c r="H633" s="756"/>
      <c r="I633" s="32"/>
    </row>
    <row r="634" spans="2:9" x14ac:dyDescent="0.2">
      <c r="B634" s="712" t="s">
        <v>47</v>
      </c>
      <c r="C634" s="712"/>
      <c r="D634" s="712"/>
      <c r="E634" s="712"/>
      <c r="F634" s="712"/>
      <c r="G634" s="712"/>
      <c r="H634" s="712"/>
      <c r="I634" s="712"/>
    </row>
    <row r="635" spans="2:9" x14ac:dyDescent="0.2">
      <c r="B635" s="462" t="s">
        <v>33</v>
      </c>
      <c r="C635" s="463" t="s">
        <v>5</v>
      </c>
      <c r="D635" s="465" t="s">
        <v>6</v>
      </c>
      <c r="E635" s="198"/>
      <c r="F635" s="198"/>
      <c r="G635" s="198"/>
      <c r="H635" s="18" t="s">
        <v>45</v>
      </c>
      <c r="I635" s="32" t="s">
        <v>39</v>
      </c>
    </row>
    <row r="636" spans="2:9" x14ac:dyDescent="0.2">
      <c r="B636" s="427" t="s">
        <v>61</v>
      </c>
      <c r="C636" s="26" t="s">
        <v>41</v>
      </c>
      <c r="D636" s="620">
        <v>0.2</v>
      </c>
      <c r="E636" s="198"/>
      <c r="F636" s="198"/>
      <c r="G636" s="198"/>
      <c r="H636" s="562">
        <f>INSUMOS!E15</f>
        <v>23.62</v>
      </c>
      <c r="I636" s="601">
        <f>H636*D636</f>
        <v>4.72</v>
      </c>
    </row>
    <row r="637" spans="2:9" x14ac:dyDescent="0.2">
      <c r="B637" s="459" t="s">
        <v>48</v>
      </c>
      <c r="C637" s="26" t="s">
        <v>41</v>
      </c>
      <c r="D637" s="620">
        <v>0.2</v>
      </c>
      <c r="E637" s="198"/>
      <c r="F637" s="198"/>
      <c r="G637" s="198"/>
      <c r="H637" s="562">
        <f>INSUMOS!E13</f>
        <v>7.81</v>
      </c>
      <c r="I637" s="601">
        <f>H637*D637</f>
        <v>1.56</v>
      </c>
    </row>
    <row r="638" spans="2:9" x14ac:dyDescent="0.2">
      <c r="B638" s="756" t="s">
        <v>43</v>
      </c>
      <c r="C638" s="756"/>
      <c r="D638" s="756"/>
      <c r="E638" s="756"/>
      <c r="F638" s="756"/>
      <c r="G638" s="756"/>
      <c r="H638" s="756"/>
      <c r="I638" s="600">
        <f>SUM(I636:I637)</f>
        <v>6.28</v>
      </c>
    </row>
    <row r="639" spans="2:9" x14ac:dyDescent="0.2">
      <c r="B639" s="57" t="s">
        <v>49</v>
      </c>
      <c r="C639" s="58">
        <v>1</v>
      </c>
      <c r="D639" s="700" t="s">
        <v>50</v>
      </c>
      <c r="E639" s="701"/>
      <c r="F639" s="701"/>
      <c r="G639" s="701"/>
      <c r="H639" s="702"/>
      <c r="I639" s="600">
        <f>I623+I629+I633+I638</f>
        <v>66.239999999999995</v>
      </c>
    </row>
    <row r="640" spans="2:9" x14ac:dyDescent="0.2">
      <c r="B640" s="703"/>
      <c r="C640" s="704"/>
      <c r="D640" s="704"/>
      <c r="E640" s="704"/>
      <c r="F640" s="704"/>
      <c r="G640" s="704"/>
      <c r="H640" s="705"/>
      <c r="I640" s="600">
        <f>I639/C639</f>
        <v>66.239999999999995</v>
      </c>
    </row>
    <row r="641" spans="2:9" x14ac:dyDescent="0.2">
      <c r="B641" s="53" t="s">
        <v>135</v>
      </c>
      <c r="C641" s="520">
        <f>BDI!C$36</f>
        <v>25</v>
      </c>
      <c r="D641" s="56" t="s">
        <v>103</v>
      </c>
      <c r="E641" s="51"/>
      <c r="F641" s="51"/>
      <c r="G641" s="51"/>
      <c r="H641" s="52"/>
      <c r="I641" s="601">
        <f>C641/100*I640</f>
        <v>16.559999999999999</v>
      </c>
    </row>
    <row r="642" spans="2:9" ht="13.5" thickBot="1" x14ac:dyDescent="0.25">
      <c r="B642" s="759" t="s">
        <v>51</v>
      </c>
      <c r="C642" s="759"/>
      <c r="D642" s="759"/>
      <c r="E642" s="759"/>
      <c r="F642" s="759"/>
      <c r="G642" s="759"/>
      <c r="H642" s="759"/>
      <c r="I642" s="549">
        <f>SUM(I640:I641)</f>
        <v>82.8</v>
      </c>
    </row>
    <row r="643" spans="2:9" ht="13.5" thickBot="1" x14ac:dyDescent="0.25">
      <c r="B643" s="461"/>
      <c r="C643" s="461"/>
      <c r="D643" s="461"/>
      <c r="E643" s="461"/>
      <c r="F643" s="461"/>
      <c r="G643" s="461"/>
      <c r="H643" s="461"/>
      <c r="I643" s="429"/>
    </row>
    <row r="644" spans="2:9" ht="15.75" x14ac:dyDescent="0.2">
      <c r="B644" s="577" t="s">
        <v>361</v>
      </c>
      <c r="C644" s="578" t="s">
        <v>183</v>
      </c>
      <c r="D644" s="714" t="s">
        <v>30</v>
      </c>
      <c r="E644" s="714"/>
      <c r="F644" s="714"/>
      <c r="G644" s="714"/>
      <c r="H644" s="714"/>
      <c r="I644" s="714"/>
    </row>
    <row r="645" spans="2:9" x14ac:dyDescent="0.2">
      <c r="B645" s="718" t="s">
        <v>134</v>
      </c>
      <c r="C645" s="719"/>
      <c r="D645" s="719"/>
      <c r="E645" s="719"/>
      <c r="F645" s="719"/>
      <c r="G645" s="720"/>
      <c r="H645" s="715" t="s">
        <v>572</v>
      </c>
      <c r="I645" s="716"/>
    </row>
    <row r="646" spans="2:9" ht="26.25" customHeight="1" x14ac:dyDescent="0.2">
      <c r="B646" s="766" t="s">
        <v>493</v>
      </c>
      <c r="C646" s="766"/>
      <c r="D646" s="766"/>
      <c r="E646" s="766"/>
      <c r="F646" s="766"/>
      <c r="G646" s="766"/>
      <c r="H646" s="12" t="s">
        <v>31</v>
      </c>
      <c r="I646" s="46" t="s">
        <v>19</v>
      </c>
    </row>
    <row r="647" spans="2:9" x14ac:dyDescent="0.2">
      <c r="B647" s="712" t="s">
        <v>32</v>
      </c>
      <c r="C647" s="712"/>
      <c r="D647" s="712"/>
      <c r="E647" s="712"/>
      <c r="F647" s="712"/>
      <c r="G647" s="712"/>
      <c r="H647" s="712"/>
      <c r="I647" s="712"/>
    </row>
    <row r="648" spans="2:9" ht="25.5" x14ac:dyDescent="0.2">
      <c r="B648" s="13" t="s">
        <v>33</v>
      </c>
      <c r="C648" s="62" t="s">
        <v>5</v>
      </c>
      <c r="D648" s="14" t="s">
        <v>6</v>
      </c>
      <c r="E648" s="14" t="s">
        <v>35</v>
      </c>
      <c r="F648" s="14" t="s">
        <v>36</v>
      </c>
      <c r="G648" s="14" t="s">
        <v>37</v>
      </c>
      <c r="H648" s="14" t="s">
        <v>38</v>
      </c>
      <c r="I648" s="15" t="s">
        <v>39</v>
      </c>
    </row>
    <row r="649" spans="2:9" x14ac:dyDescent="0.2">
      <c r="B649" s="464"/>
      <c r="C649" s="480"/>
      <c r="D649" s="481"/>
      <c r="E649" s="482"/>
      <c r="F649" s="482"/>
      <c r="G649" s="482"/>
      <c r="H649" s="482"/>
      <c r="I649" s="30"/>
    </row>
    <row r="650" spans="2:9" x14ac:dyDescent="0.2">
      <c r="B650" s="756" t="s">
        <v>43</v>
      </c>
      <c r="C650" s="756"/>
      <c r="D650" s="756"/>
      <c r="E650" s="756"/>
      <c r="F650" s="756"/>
      <c r="G650" s="756"/>
      <c r="H650" s="756"/>
      <c r="I650" s="460"/>
    </row>
    <row r="651" spans="2:9" x14ac:dyDescent="0.2">
      <c r="B651" s="712" t="s">
        <v>44</v>
      </c>
      <c r="C651" s="712"/>
      <c r="D651" s="712"/>
      <c r="E651" s="712"/>
      <c r="F651" s="712"/>
      <c r="G651" s="712"/>
      <c r="H651" s="712"/>
      <c r="I651" s="712"/>
    </row>
    <row r="652" spans="2:9" x14ac:dyDescent="0.2">
      <c r="B652" s="462" t="s">
        <v>33</v>
      </c>
      <c r="C652" s="463" t="s">
        <v>5</v>
      </c>
      <c r="D652" s="18" t="s">
        <v>6</v>
      </c>
      <c r="E652" s="198"/>
      <c r="F652" s="198"/>
      <c r="G652" s="198"/>
      <c r="H652" s="18" t="s">
        <v>45</v>
      </c>
      <c r="I652" s="32" t="s">
        <v>39</v>
      </c>
    </row>
    <row r="653" spans="2:9" x14ac:dyDescent="0.2">
      <c r="B653" s="193" t="s">
        <v>494</v>
      </c>
      <c r="C653" s="194" t="s">
        <v>19</v>
      </c>
      <c r="D653" s="636">
        <v>1</v>
      </c>
      <c r="E653" s="426"/>
      <c r="F653" s="426"/>
      <c r="G653" s="426"/>
      <c r="H653" s="562">
        <f>INSUMOS!E118</f>
        <v>80</v>
      </c>
      <c r="I653" s="583">
        <f>H653*D653</f>
        <v>80</v>
      </c>
    </row>
    <row r="654" spans="2:9" x14ac:dyDescent="0.2">
      <c r="B654" s="756" t="s">
        <v>43</v>
      </c>
      <c r="C654" s="756"/>
      <c r="D654" s="756"/>
      <c r="E654" s="756"/>
      <c r="F654" s="756"/>
      <c r="G654" s="756"/>
      <c r="H654" s="756"/>
      <c r="I654" s="583">
        <f>SUM(I653:I653)</f>
        <v>80</v>
      </c>
    </row>
    <row r="655" spans="2:9" x14ac:dyDescent="0.2">
      <c r="B655" s="712" t="s">
        <v>46</v>
      </c>
      <c r="C655" s="712"/>
      <c r="D655" s="712"/>
      <c r="E655" s="712"/>
      <c r="F655" s="712"/>
      <c r="G655" s="712"/>
      <c r="H655" s="712"/>
      <c r="I655" s="712"/>
    </row>
    <row r="656" spans="2:9" x14ac:dyDescent="0.2">
      <c r="B656" s="17" t="s">
        <v>33</v>
      </c>
      <c r="C656" s="26" t="s">
        <v>5</v>
      </c>
      <c r="D656" s="18" t="s">
        <v>6</v>
      </c>
      <c r="E656" s="198"/>
      <c r="F656" s="198"/>
      <c r="G656" s="198"/>
      <c r="H656" s="18" t="s">
        <v>45</v>
      </c>
      <c r="I656" s="32" t="s">
        <v>39</v>
      </c>
    </row>
    <row r="657" spans="2:9" x14ac:dyDescent="0.2">
      <c r="B657" s="19"/>
      <c r="C657" s="18"/>
      <c r="D657" s="18"/>
      <c r="E657" s="198"/>
      <c r="F657" s="198"/>
      <c r="G657" s="198"/>
      <c r="H657" s="18"/>
      <c r="I657" s="32"/>
    </row>
    <row r="658" spans="2:9" x14ac:dyDescent="0.2">
      <c r="B658" s="756" t="s">
        <v>43</v>
      </c>
      <c r="C658" s="756"/>
      <c r="D658" s="756"/>
      <c r="E658" s="756"/>
      <c r="F658" s="756"/>
      <c r="G658" s="756"/>
      <c r="H658" s="756"/>
      <c r="I658" s="32"/>
    </row>
    <row r="659" spans="2:9" x14ac:dyDescent="0.2">
      <c r="B659" s="712" t="s">
        <v>47</v>
      </c>
      <c r="C659" s="712"/>
      <c r="D659" s="712"/>
      <c r="E659" s="712"/>
      <c r="F659" s="712"/>
      <c r="G659" s="712"/>
      <c r="H659" s="712"/>
      <c r="I659" s="712"/>
    </row>
    <row r="660" spans="2:9" x14ac:dyDescent="0.2">
      <c r="B660" s="462" t="s">
        <v>33</v>
      </c>
      <c r="C660" s="463" t="s">
        <v>5</v>
      </c>
      <c r="D660" s="465" t="s">
        <v>6</v>
      </c>
      <c r="E660" s="198"/>
      <c r="F660" s="198"/>
      <c r="G660" s="198"/>
      <c r="H660" s="18" t="s">
        <v>45</v>
      </c>
      <c r="I660" s="32" t="s">
        <v>39</v>
      </c>
    </row>
    <row r="661" spans="2:9" x14ac:dyDescent="0.2">
      <c r="B661" s="427" t="s">
        <v>83</v>
      </c>
      <c r="C661" s="26" t="s">
        <v>41</v>
      </c>
      <c r="D661" s="620">
        <v>0.5</v>
      </c>
      <c r="E661" s="198"/>
      <c r="F661" s="198"/>
      <c r="G661" s="198"/>
      <c r="H661" s="562">
        <f>INSUMOS!E17</f>
        <v>10.37</v>
      </c>
      <c r="I661" s="601">
        <f>H661*D661</f>
        <v>5.19</v>
      </c>
    </row>
    <row r="662" spans="2:9" x14ac:dyDescent="0.2">
      <c r="B662" s="459" t="s">
        <v>48</v>
      </c>
      <c r="C662" s="26" t="s">
        <v>41</v>
      </c>
      <c r="D662" s="620">
        <v>0.5</v>
      </c>
      <c r="E662" s="198"/>
      <c r="F662" s="198"/>
      <c r="G662" s="198"/>
      <c r="H662" s="562">
        <f>INSUMOS!E13</f>
        <v>7.81</v>
      </c>
      <c r="I662" s="601">
        <f>H662*D662</f>
        <v>3.91</v>
      </c>
    </row>
    <row r="663" spans="2:9" x14ac:dyDescent="0.2">
      <c r="B663" s="756" t="s">
        <v>43</v>
      </c>
      <c r="C663" s="756"/>
      <c r="D663" s="756"/>
      <c r="E663" s="756"/>
      <c r="F663" s="756"/>
      <c r="G663" s="756"/>
      <c r="H663" s="756"/>
      <c r="I663" s="600">
        <f>SUM(I661:I662)</f>
        <v>9.1</v>
      </c>
    </row>
    <row r="664" spans="2:9" x14ac:dyDescent="0.2">
      <c r="B664" s="57" t="s">
        <v>49</v>
      </c>
      <c r="C664" s="58">
        <v>1</v>
      </c>
      <c r="D664" s="700" t="s">
        <v>50</v>
      </c>
      <c r="E664" s="701"/>
      <c r="F664" s="701"/>
      <c r="G664" s="701"/>
      <c r="H664" s="702"/>
      <c r="I664" s="600">
        <f>I650+I654+I658+I663</f>
        <v>89.1</v>
      </c>
    </row>
    <row r="665" spans="2:9" x14ac:dyDescent="0.2">
      <c r="B665" s="703"/>
      <c r="C665" s="704"/>
      <c r="D665" s="704"/>
      <c r="E665" s="704"/>
      <c r="F665" s="704"/>
      <c r="G665" s="704"/>
      <c r="H665" s="705"/>
      <c r="I665" s="600">
        <f>I664/C664</f>
        <v>89.1</v>
      </c>
    </row>
    <row r="666" spans="2:9" x14ac:dyDescent="0.2">
      <c r="B666" s="53" t="s">
        <v>135</v>
      </c>
      <c r="C666" s="520">
        <f>BDI!C$36</f>
        <v>25</v>
      </c>
      <c r="D666" s="56" t="s">
        <v>103</v>
      </c>
      <c r="E666" s="51"/>
      <c r="F666" s="51"/>
      <c r="G666" s="51"/>
      <c r="H666" s="52"/>
      <c r="I666" s="601">
        <f>C666/100*I665</f>
        <v>22.28</v>
      </c>
    </row>
    <row r="667" spans="2:9" ht="13.5" thickBot="1" x14ac:dyDescent="0.25">
      <c r="B667" s="759" t="s">
        <v>51</v>
      </c>
      <c r="C667" s="759"/>
      <c r="D667" s="759"/>
      <c r="E667" s="759"/>
      <c r="F667" s="759"/>
      <c r="G667" s="759"/>
      <c r="H667" s="759"/>
      <c r="I667" s="549">
        <f>SUM(I665:I666)</f>
        <v>111.38</v>
      </c>
    </row>
    <row r="668" spans="2:9" ht="13.5" thickBot="1" x14ac:dyDescent="0.25"/>
    <row r="669" spans="2:9" ht="15.75" x14ac:dyDescent="0.2">
      <c r="B669" s="577" t="s">
        <v>361</v>
      </c>
      <c r="C669" s="578" t="s">
        <v>184</v>
      </c>
      <c r="D669" s="714" t="s">
        <v>30</v>
      </c>
      <c r="E669" s="714"/>
      <c r="F669" s="714"/>
      <c r="G669" s="714"/>
      <c r="H669" s="714"/>
      <c r="I669" s="714"/>
    </row>
    <row r="670" spans="2:9" x14ac:dyDescent="0.2">
      <c r="B670" s="718" t="s">
        <v>134</v>
      </c>
      <c r="C670" s="719"/>
      <c r="D670" s="719"/>
      <c r="E670" s="719"/>
      <c r="F670" s="719"/>
      <c r="G670" s="720"/>
      <c r="H670" s="715" t="s">
        <v>572</v>
      </c>
      <c r="I670" s="716"/>
    </row>
    <row r="671" spans="2:9" ht="28.5" customHeight="1" x14ac:dyDescent="0.2">
      <c r="B671" s="766" t="s">
        <v>495</v>
      </c>
      <c r="C671" s="766"/>
      <c r="D671" s="766"/>
      <c r="E671" s="766"/>
      <c r="F671" s="766"/>
      <c r="G671" s="766"/>
      <c r="H671" s="12" t="s">
        <v>31</v>
      </c>
      <c r="I671" s="46" t="s">
        <v>23</v>
      </c>
    </row>
    <row r="672" spans="2:9" x14ac:dyDescent="0.2">
      <c r="B672" s="712" t="s">
        <v>32</v>
      </c>
      <c r="C672" s="712"/>
      <c r="D672" s="712"/>
      <c r="E672" s="712"/>
      <c r="F672" s="712"/>
      <c r="G672" s="712"/>
      <c r="H672" s="712"/>
      <c r="I672" s="712"/>
    </row>
    <row r="673" spans="2:9" ht="25.5" x14ac:dyDescent="0.2">
      <c r="B673" s="13" t="s">
        <v>33</v>
      </c>
      <c r="C673" s="62" t="s">
        <v>5</v>
      </c>
      <c r="D673" s="14" t="s">
        <v>6</v>
      </c>
      <c r="E673" s="14" t="s">
        <v>35</v>
      </c>
      <c r="F673" s="14" t="s">
        <v>36</v>
      </c>
      <c r="G673" s="14" t="s">
        <v>37</v>
      </c>
      <c r="H673" s="14" t="s">
        <v>38</v>
      </c>
      <c r="I673" s="15" t="s">
        <v>39</v>
      </c>
    </row>
    <row r="674" spans="2:9" x14ac:dyDescent="0.2">
      <c r="B674" s="464"/>
      <c r="C674" s="480"/>
      <c r="D674" s="481"/>
      <c r="E674" s="482"/>
      <c r="F674" s="482"/>
      <c r="G674" s="482"/>
      <c r="H674" s="482"/>
      <c r="I674" s="30"/>
    </row>
    <row r="675" spans="2:9" x14ac:dyDescent="0.2">
      <c r="B675" s="756" t="s">
        <v>43</v>
      </c>
      <c r="C675" s="756"/>
      <c r="D675" s="756"/>
      <c r="E675" s="756"/>
      <c r="F675" s="756"/>
      <c r="G675" s="756"/>
      <c r="H675" s="756"/>
      <c r="I675" s="460"/>
    </row>
    <row r="676" spans="2:9" x14ac:dyDescent="0.2">
      <c r="B676" s="712" t="s">
        <v>44</v>
      </c>
      <c r="C676" s="712"/>
      <c r="D676" s="712"/>
      <c r="E676" s="712"/>
      <c r="F676" s="712"/>
      <c r="G676" s="712"/>
      <c r="H676" s="712"/>
      <c r="I676" s="712"/>
    </row>
    <row r="677" spans="2:9" x14ac:dyDescent="0.2">
      <c r="B677" s="462" t="s">
        <v>33</v>
      </c>
      <c r="C677" s="463" t="s">
        <v>5</v>
      </c>
      <c r="D677" s="18" t="s">
        <v>6</v>
      </c>
      <c r="E677" s="198"/>
      <c r="F677" s="198"/>
      <c r="G677" s="198"/>
      <c r="H677" s="18" t="s">
        <v>45</v>
      </c>
      <c r="I677" s="32" t="s">
        <v>39</v>
      </c>
    </row>
    <row r="678" spans="2:9" x14ac:dyDescent="0.2">
      <c r="B678" s="193" t="s">
        <v>496</v>
      </c>
      <c r="C678" s="194" t="s">
        <v>23</v>
      </c>
      <c r="D678" s="636">
        <v>1</v>
      </c>
      <c r="E678" s="426"/>
      <c r="F678" s="426"/>
      <c r="G678" s="426"/>
      <c r="H678" s="562">
        <f>INSUMOS!E119</f>
        <v>966.12</v>
      </c>
      <c r="I678" s="611">
        <f>H678*D678</f>
        <v>966.12</v>
      </c>
    </row>
    <row r="679" spans="2:9" x14ac:dyDescent="0.2">
      <c r="B679" s="756" t="s">
        <v>43</v>
      </c>
      <c r="C679" s="756"/>
      <c r="D679" s="756"/>
      <c r="E679" s="756"/>
      <c r="F679" s="756"/>
      <c r="G679" s="756"/>
      <c r="H679" s="756"/>
      <c r="I679" s="611">
        <f>SUM(I678:I678)</f>
        <v>966.12</v>
      </c>
    </row>
    <row r="680" spans="2:9" x14ac:dyDescent="0.2">
      <c r="B680" s="712" t="s">
        <v>46</v>
      </c>
      <c r="C680" s="712"/>
      <c r="D680" s="712"/>
      <c r="E680" s="712"/>
      <c r="F680" s="712"/>
      <c r="G680" s="712"/>
      <c r="H680" s="712"/>
      <c r="I680" s="712"/>
    </row>
    <row r="681" spans="2:9" x14ac:dyDescent="0.2">
      <c r="B681" s="17" t="s">
        <v>33</v>
      </c>
      <c r="C681" s="26" t="s">
        <v>5</v>
      </c>
      <c r="D681" s="18" t="s">
        <v>6</v>
      </c>
      <c r="E681" s="198"/>
      <c r="F681" s="198"/>
      <c r="G681" s="198"/>
      <c r="H681" s="18" t="s">
        <v>45</v>
      </c>
      <c r="I681" s="32" t="s">
        <v>39</v>
      </c>
    </row>
    <row r="682" spans="2:9" x14ac:dyDescent="0.2">
      <c r="B682" s="19"/>
      <c r="C682" s="18"/>
      <c r="D682" s="18"/>
      <c r="E682" s="198"/>
      <c r="F682" s="198"/>
      <c r="G682" s="198"/>
      <c r="H682" s="18"/>
      <c r="I682" s="32"/>
    </row>
    <row r="683" spans="2:9" x14ac:dyDescent="0.2">
      <c r="B683" s="756" t="s">
        <v>43</v>
      </c>
      <c r="C683" s="756"/>
      <c r="D683" s="756"/>
      <c r="E683" s="756"/>
      <c r="F683" s="756"/>
      <c r="G683" s="756"/>
      <c r="H683" s="756"/>
      <c r="I683" s="32"/>
    </row>
    <row r="684" spans="2:9" x14ac:dyDescent="0.2">
      <c r="B684" s="712" t="s">
        <v>47</v>
      </c>
      <c r="C684" s="712"/>
      <c r="D684" s="712"/>
      <c r="E684" s="712"/>
      <c r="F684" s="712"/>
      <c r="G684" s="712"/>
      <c r="H684" s="712"/>
      <c r="I684" s="712"/>
    </row>
    <row r="685" spans="2:9" x14ac:dyDescent="0.2">
      <c r="B685" s="462" t="s">
        <v>33</v>
      </c>
      <c r="C685" s="463" t="s">
        <v>5</v>
      </c>
      <c r="D685" s="465" t="s">
        <v>6</v>
      </c>
      <c r="E685" s="198"/>
      <c r="F685" s="198"/>
      <c r="G685" s="198"/>
      <c r="H685" s="18" t="s">
        <v>45</v>
      </c>
      <c r="I685" s="32" t="s">
        <v>39</v>
      </c>
    </row>
    <row r="686" spans="2:9" x14ac:dyDescent="0.2">
      <c r="B686" s="427" t="s">
        <v>61</v>
      </c>
      <c r="C686" s="26" t="s">
        <v>41</v>
      </c>
      <c r="D686" s="620">
        <v>4</v>
      </c>
      <c r="E686" s="198"/>
      <c r="F686" s="198"/>
      <c r="G686" s="198"/>
      <c r="H686" s="562">
        <f>INSUMOS!E15</f>
        <v>23.62</v>
      </c>
      <c r="I686" s="601">
        <f>H686*D686</f>
        <v>94.48</v>
      </c>
    </row>
    <row r="687" spans="2:9" x14ac:dyDescent="0.2">
      <c r="B687" s="459" t="s">
        <v>48</v>
      </c>
      <c r="C687" s="26" t="s">
        <v>41</v>
      </c>
      <c r="D687" s="620">
        <v>4</v>
      </c>
      <c r="E687" s="198"/>
      <c r="F687" s="198"/>
      <c r="G687" s="198"/>
      <c r="H687" s="562">
        <f>INSUMOS!E13</f>
        <v>7.81</v>
      </c>
      <c r="I687" s="601">
        <f>H687*D687</f>
        <v>31.24</v>
      </c>
    </row>
    <row r="688" spans="2:9" x14ac:dyDescent="0.2">
      <c r="B688" s="756" t="s">
        <v>43</v>
      </c>
      <c r="C688" s="756"/>
      <c r="D688" s="756"/>
      <c r="E688" s="756"/>
      <c r="F688" s="756"/>
      <c r="G688" s="756"/>
      <c r="H688" s="756"/>
      <c r="I688" s="600">
        <f>SUM(I686:I687)</f>
        <v>125.72</v>
      </c>
    </row>
    <row r="689" spans="2:9" x14ac:dyDescent="0.2">
      <c r="B689" s="57" t="s">
        <v>49</v>
      </c>
      <c r="C689" s="58">
        <v>1</v>
      </c>
      <c r="D689" s="700" t="s">
        <v>50</v>
      </c>
      <c r="E689" s="701"/>
      <c r="F689" s="701"/>
      <c r="G689" s="701"/>
      <c r="H689" s="702"/>
      <c r="I689" s="600">
        <f>I675+I679+I683+I688</f>
        <v>1091.8399999999999</v>
      </c>
    </row>
    <row r="690" spans="2:9" x14ac:dyDescent="0.2">
      <c r="B690" s="703"/>
      <c r="C690" s="704"/>
      <c r="D690" s="704"/>
      <c r="E690" s="704"/>
      <c r="F690" s="704"/>
      <c r="G690" s="704"/>
      <c r="H690" s="705"/>
      <c r="I690" s="600">
        <f>I689/C689</f>
        <v>1091.8399999999999</v>
      </c>
    </row>
    <row r="691" spans="2:9" x14ac:dyDescent="0.2">
      <c r="B691" s="53" t="s">
        <v>135</v>
      </c>
      <c r="C691" s="520">
        <f>BDI!C$36</f>
        <v>25</v>
      </c>
      <c r="D691" s="56" t="s">
        <v>103</v>
      </c>
      <c r="E691" s="51"/>
      <c r="F691" s="51"/>
      <c r="G691" s="51"/>
      <c r="H691" s="52"/>
      <c r="I691" s="601">
        <f>C691/100*I690</f>
        <v>272.95999999999998</v>
      </c>
    </row>
    <row r="692" spans="2:9" ht="13.5" thickBot="1" x14ac:dyDescent="0.25">
      <c r="B692" s="759" t="s">
        <v>51</v>
      </c>
      <c r="C692" s="759"/>
      <c r="D692" s="759"/>
      <c r="E692" s="759"/>
      <c r="F692" s="759"/>
      <c r="G692" s="759"/>
      <c r="H692" s="759"/>
      <c r="I692" s="613">
        <f>SUM(I690:I691)</f>
        <v>1364.8</v>
      </c>
    </row>
    <row r="693" spans="2:9" ht="13.5" thickBot="1" x14ac:dyDescent="0.25">
      <c r="B693" s="461"/>
      <c r="C693" s="461"/>
      <c r="D693" s="461"/>
      <c r="E693" s="461"/>
      <c r="F693" s="461"/>
      <c r="G693" s="461"/>
      <c r="H693" s="461"/>
      <c r="I693" s="429"/>
    </row>
    <row r="694" spans="2:9" ht="15.75" x14ac:dyDescent="0.2">
      <c r="B694" s="577" t="s">
        <v>361</v>
      </c>
      <c r="C694" s="578" t="s">
        <v>187</v>
      </c>
      <c r="D694" s="714" t="s">
        <v>30</v>
      </c>
      <c r="E694" s="714"/>
      <c r="F694" s="714"/>
      <c r="G694" s="714"/>
      <c r="H694" s="714"/>
      <c r="I694" s="714"/>
    </row>
    <row r="695" spans="2:9" x14ac:dyDescent="0.2">
      <c r="B695" s="718" t="s">
        <v>134</v>
      </c>
      <c r="C695" s="719"/>
      <c r="D695" s="719"/>
      <c r="E695" s="719"/>
      <c r="F695" s="719"/>
      <c r="G695" s="720"/>
      <c r="H695" s="715" t="s">
        <v>572</v>
      </c>
      <c r="I695" s="716"/>
    </row>
    <row r="696" spans="2:9" ht="23.25" customHeight="1" x14ac:dyDescent="0.2">
      <c r="B696" s="766" t="s">
        <v>497</v>
      </c>
      <c r="C696" s="766"/>
      <c r="D696" s="766"/>
      <c r="E696" s="766"/>
      <c r="F696" s="766"/>
      <c r="G696" s="766"/>
      <c r="H696" s="12" t="s">
        <v>31</v>
      </c>
      <c r="I696" s="46" t="s">
        <v>143</v>
      </c>
    </row>
    <row r="697" spans="2:9" x14ac:dyDescent="0.2">
      <c r="B697" s="712" t="s">
        <v>32</v>
      </c>
      <c r="C697" s="712"/>
      <c r="D697" s="712"/>
      <c r="E697" s="712"/>
      <c r="F697" s="712"/>
      <c r="G697" s="712"/>
      <c r="H697" s="712"/>
      <c r="I697" s="712"/>
    </row>
    <row r="698" spans="2:9" ht="25.5" x14ac:dyDescent="0.2">
      <c r="B698" s="13" t="s">
        <v>33</v>
      </c>
      <c r="C698" s="62" t="s">
        <v>5</v>
      </c>
      <c r="D698" s="14" t="s">
        <v>6</v>
      </c>
      <c r="E698" s="14" t="s">
        <v>35</v>
      </c>
      <c r="F698" s="14" t="s">
        <v>36</v>
      </c>
      <c r="G698" s="14" t="s">
        <v>37</v>
      </c>
      <c r="H698" s="14" t="s">
        <v>38</v>
      </c>
      <c r="I698" s="15" t="s">
        <v>39</v>
      </c>
    </row>
    <row r="699" spans="2:9" x14ac:dyDescent="0.2">
      <c r="B699" s="425" t="s">
        <v>63</v>
      </c>
      <c r="C699" s="28" t="s">
        <v>41</v>
      </c>
      <c r="D699" s="635">
        <v>12</v>
      </c>
      <c r="E699" s="24"/>
      <c r="F699" s="24"/>
      <c r="G699" s="562">
        <f>INSUMOS!E62</f>
        <v>9.44</v>
      </c>
      <c r="I699" s="611">
        <f>G699*D699</f>
        <v>113.28</v>
      </c>
    </row>
    <row r="700" spans="2:9" x14ac:dyDescent="0.2">
      <c r="B700" s="756" t="s">
        <v>43</v>
      </c>
      <c r="C700" s="756"/>
      <c r="D700" s="756"/>
      <c r="E700" s="756"/>
      <c r="F700" s="756"/>
      <c r="G700" s="756"/>
      <c r="H700" s="756"/>
      <c r="I700" s="612">
        <f>SUM(I699:I699)</f>
        <v>113.28</v>
      </c>
    </row>
    <row r="701" spans="2:9" x14ac:dyDescent="0.2">
      <c r="B701" s="712" t="s">
        <v>44</v>
      </c>
      <c r="C701" s="712"/>
      <c r="D701" s="712"/>
      <c r="E701" s="712"/>
      <c r="F701" s="712"/>
      <c r="G701" s="712"/>
      <c r="H701" s="712"/>
      <c r="I701" s="712"/>
    </row>
    <row r="702" spans="2:9" x14ac:dyDescent="0.2">
      <c r="B702" s="462" t="s">
        <v>33</v>
      </c>
      <c r="C702" s="463" t="s">
        <v>5</v>
      </c>
      <c r="D702" s="18" t="s">
        <v>6</v>
      </c>
      <c r="E702" s="198"/>
      <c r="F702" s="198"/>
      <c r="G702" s="198"/>
      <c r="H702" s="18" t="s">
        <v>45</v>
      </c>
      <c r="I702" s="32" t="s">
        <v>39</v>
      </c>
    </row>
    <row r="703" spans="2:9" x14ac:dyDescent="0.2">
      <c r="B703" s="464" t="s">
        <v>60</v>
      </c>
      <c r="C703" s="31" t="s">
        <v>56</v>
      </c>
      <c r="D703" s="593">
        <v>12</v>
      </c>
      <c r="E703" s="198"/>
      <c r="F703" s="198"/>
      <c r="G703" s="198"/>
      <c r="H703" s="562">
        <f>INSUMOS!E28</f>
        <v>2.77</v>
      </c>
      <c r="I703" s="601">
        <f>H703*D703</f>
        <v>33.24</v>
      </c>
    </row>
    <row r="704" spans="2:9" x14ac:dyDescent="0.2">
      <c r="B704" s="464" t="s">
        <v>67</v>
      </c>
      <c r="C704" s="31" t="s">
        <v>56</v>
      </c>
      <c r="D704" s="593">
        <v>0.5</v>
      </c>
      <c r="E704" s="198"/>
      <c r="F704" s="198"/>
      <c r="G704" s="198"/>
      <c r="H704" s="562">
        <f>INSUMOS!E29</f>
        <v>13</v>
      </c>
      <c r="I704" s="601">
        <f>H704*D704</f>
        <v>6.5</v>
      </c>
    </row>
    <row r="705" spans="2:9" x14ac:dyDescent="0.2">
      <c r="B705" s="756" t="s">
        <v>43</v>
      </c>
      <c r="C705" s="756"/>
      <c r="D705" s="756"/>
      <c r="E705" s="756"/>
      <c r="F705" s="756"/>
      <c r="G705" s="756"/>
      <c r="H705" s="756"/>
      <c r="I705" s="601">
        <f>SUM(I703:I704)</f>
        <v>39.74</v>
      </c>
    </row>
    <row r="706" spans="2:9" x14ac:dyDescent="0.2">
      <c r="B706" s="712" t="s">
        <v>46</v>
      </c>
      <c r="C706" s="712"/>
      <c r="D706" s="712"/>
      <c r="E706" s="712"/>
      <c r="F706" s="712"/>
      <c r="G706" s="712"/>
      <c r="H706" s="712"/>
      <c r="I706" s="712"/>
    </row>
    <row r="707" spans="2:9" x14ac:dyDescent="0.2">
      <c r="B707" s="17" t="s">
        <v>33</v>
      </c>
      <c r="C707" s="457" t="s">
        <v>5</v>
      </c>
      <c r="D707" s="18" t="s">
        <v>6</v>
      </c>
      <c r="E707" s="198"/>
      <c r="F707" s="198"/>
      <c r="G707" s="198"/>
      <c r="H707" s="18" t="s">
        <v>45</v>
      </c>
      <c r="I707" s="458" t="s">
        <v>39</v>
      </c>
    </row>
    <row r="708" spans="2:9" x14ac:dyDescent="0.2">
      <c r="B708" s="19"/>
      <c r="C708" s="18"/>
      <c r="D708" s="18"/>
      <c r="E708" s="198"/>
      <c r="F708" s="198"/>
      <c r="G708" s="198"/>
      <c r="H708" s="18"/>
      <c r="I708" s="32"/>
    </row>
    <row r="709" spans="2:9" x14ac:dyDescent="0.2">
      <c r="B709" s="756" t="s">
        <v>43</v>
      </c>
      <c r="C709" s="756"/>
      <c r="D709" s="756"/>
      <c r="E709" s="756"/>
      <c r="F709" s="756"/>
      <c r="G709" s="756"/>
      <c r="H709" s="756"/>
      <c r="I709" s="32"/>
    </row>
    <row r="710" spans="2:9" x14ac:dyDescent="0.2">
      <c r="B710" s="712" t="s">
        <v>47</v>
      </c>
      <c r="C710" s="712"/>
      <c r="D710" s="712"/>
      <c r="E710" s="712"/>
      <c r="F710" s="712"/>
      <c r="G710" s="712"/>
      <c r="H710" s="712"/>
      <c r="I710" s="712"/>
    </row>
    <row r="711" spans="2:9" x14ac:dyDescent="0.2">
      <c r="B711" s="462" t="s">
        <v>33</v>
      </c>
      <c r="C711" s="463" t="s">
        <v>5</v>
      </c>
      <c r="D711" s="465" t="s">
        <v>6</v>
      </c>
      <c r="E711" s="198"/>
      <c r="F711" s="198"/>
      <c r="G711" s="198"/>
      <c r="H711" s="18" t="s">
        <v>45</v>
      </c>
      <c r="I711" s="32" t="s">
        <v>39</v>
      </c>
    </row>
    <row r="712" spans="2:9" x14ac:dyDescent="0.2">
      <c r="B712" s="423" t="s">
        <v>68</v>
      </c>
      <c r="C712" s="27" t="s">
        <v>41</v>
      </c>
      <c r="D712" s="582">
        <v>12</v>
      </c>
      <c r="E712" s="25"/>
      <c r="F712" s="25"/>
      <c r="G712" s="25"/>
      <c r="H712" s="562">
        <f>INSUMOS!E20</f>
        <v>12.29</v>
      </c>
      <c r="I712" s="611">
        <f>H712*D712</f>
        <v>147.47999999999999</v>
      </c>
    </row>
    <row r="713" spans="2:9" x14ac:dyDescent="0.2">
      <c r="B713" s="459" t="s">
        <v>48</v>
      </c>
      <c r="C713" s="26" t="s">
        <v>41</v>
      </c>
      <c r="D713" s="620">
        <v>12</v>
      </c>
      <c r="E713" s="473"/>
      <c r="F713" s="473"/>
      <c r="G713" s="473"/>
      <c r="H713" s="562">
        <f>INSUMOS!E13</f>
        <v>7.81</v>
      </c>
      <c r="I713" s="611">
        <f>H713*D713</f>
        <v>93.72</v>
      </c>
    </row>
    <row r="714" spans="2:9" x14ac:dyDescent="0.2">
      <c r="B714" s="756" t="s">
        <v>43</v>
      </c>
      <c r="C714" s="756"/>
      <c r="D714" s="756"/>
      <c r="E714" s="756"/>
      <c r="F714" s="756"/>
      <c r="G714" s="756"/>
      <c r="H714" s="756"/>
      <c r="I714" s="600">
        <f>SUM(I712:I713)</f>
        <v>241.2</v>
      </c>
    </row>
    <row r="715" spans="2:9" x14ac:dyDescent="0.2">
      <c r="B715" s="57" t="s">
        <v>49</v>
      </c>
      <c r="C715" s="58">
        <v>1</v>
      </c>
      <c r="D715" s="700" t="s">
        <v>50</v>
      </c>
      <c r="E715" s="701"/>
      <c r="F715" s="701"/>
      <c r="G715" s="701"/>
      <c r="H715" s="702"/>
      <c r="I715" s="600">
        <f>I700+I705+I709+I714</f>
        <v>394.22</v>
      </c>
    </row>
    <row r="716" spans="2:9" x14ac:dyDescent="0.2">
      <c r="B716" s="703"/>
      <c r="C716" s="704"/>
      <c r="D716" s="704"/>
      <c r="E716" s="704"/>
      <c r="F716" s="704"/>
      <c r="G716" s="704"/>
      <c r="H716" s="705"/>
      <c r="I716" s="600">
        <f>I715/C715</f>
        <v>394.22</v>
      </c>
    </row>
    <row r="717" spans="2:9" x14ac:dyDescent="0.2">
      <c r="B717" s="53" t="s">
        <v>135</v>
      </c>
      <c r="C717" s="520">
        <f>BDI!C$36</f>
        <v>25</v>
      </c>
      <c r="D717" s="56" t="s">
        <v>103</v>
      </c>
      <c r="E717" s="51"/>
      <c r="F717" s="51"/>
      <c r="G717" s="51"/>
      <c r="H717" s="52"/>
      <c r="I717" s="601">
        <f>C717/100*I716</f>
        <v>98.56</v>
      </c>
    </row>
    <row r="718" spans="2:9" ht="13.5" thickBot="1" x14ac:dyDescent="0.25">
      <c r="B718" s="759" t="s">
        <v>51</v>
      </c>
      <c r="C718" s="759"/>
      <c r="D718" s="759"/>
      <c r="E718" s="759"/>
      <c r="F718" s="759"/>
      <c r="G718" s="759"/>
      <c r="H718" s="759"/>
      <c r="I718" s="549">
        <f>SUM(I716:I717)</f>
        <v>492.78</v>
      </c>
    </row>
    <row r="719" spans="2:9" ht="13.5" thickBot="1" x14ac:dyDescent="0.25"/>
    <row r="720" spans="2:9" ht="15.75" x14ac:dyDescent="0.2">
      <c r="B720" s="577" t="s">
        <v>361</v>
      </c>
      <c r="C720" s="578" t="s">
        <v>188</v>
      </c>
      <c r="D720" s="714" t="s">
        <v>30</v>
      </c>
      <c r="E720" s="714"/>
      <c r="F720" s="714"/>
      <c r="G720" s="714"/>
      <c r="H720" s="714"/>
      <c r="I720" s="714"/>
    </row>
    <row r="721" spans="2:9" x14ac:dyDescent="0.2">
      <c r="B721" s="718" t="s">
        <v>134</v>
      </c>
      <c r="C721" s="719"/>
      <c r="D721" s="719"/>
      <c r="E721" s="719"/>
      <c r="F721" s="719"/>
      <c r="G721" s="720"/>
      <c r="H721" s="715" t="s">
        <v>572</v>
      </c>
      <c r="I721" s="716"/>
    </row>
    <row r="722" spans="2:9" x14ac:dyDescent="0.2">
      <c r="B722" s="766" t="s">
        <v>498</v>
      </c>
      <c r="C722" s="766"/>
      <c r="D722" s="766"/>
      <c r="E722" s="766"/>
      <c r="F722" s="766"/>
      <c r="G722" s="766"/>
      <c r="H722" s="12" t="s">
        <v>31</v>
      </c>
      <c r="I722" s="46" t="s">
        <v>143</v>
      </c>
    </row>
    <row r="723" spans="2:9" x14ac:dyDescent="0.2">
      <c r="B723" s="712" t="s">
        <v>32</v>
      </c>
      <c r="C723" s="712"/>
      <c r="D723" s="712"/>
      <c r="E723" s="712"/>
      <c r="F723" s="712"/>
      <c r="G723" s="712"/>
      <c r="H723" s="712"/>
      <c r="I723" s="712"/>
    </row>
    <row r="724" spans="2:9" ht="25.5" x14ac:dyDescent="0.2">
      <c r="B724" s="13" t="s">
        <v>33</v>
      </c>
      <c r="C724" s="62" t="s">
        <v>5</v>
      </c>
      <c r="D724" s="14" t="s">
        <v>6</v>
      </c>
      <c r="E724" s="14" t="s">
        <v>35</v>
      </c>
      <c r="F724" s="14" t="s">
        <v>36</v>
      </c>
      <c r="G724" s="14" t="s">
        <v>37</v>
      </c>
      <c r="H724" s="14" t="s">
        <v>38</v>
      </c>
      <c r="I724" s="15" t="s">
        <v>39</v>
      </c>
    </row>
    <row r="725" spans="2:9" x14ac:dyDescent="0.2">
      <c r="B725" s="425" t="s">
        <v>499</v>
      </c>
      <c r="C725" s="28" t="s">
        <v>41</v>
      </c>
      <c r="D725" s="635">
        <v>1.8</v>
      </c>
      <c r="E725" s="24"/>
      <c r="F725" s="24"/>
      <c r="G725" s="562">
        <f>INSUMOS!E121</f>
        <v>150</v>
      </c>
      <c r="I725" s="611">
        <f>G725*D725</f>
        <v>270</v>
      </c>
    </row>
    <row r="726" spans="2:9" x14ac:dyDescent="0.2">
      <c r="B726" s="756" t="s">
        <v>43</v>
      </c>
      <c r="C726" s="756"/>
      <c r="D726" s="756"/>
      <c r="E726" s="756"/>
      <c r="F726" s="756"/>
      <c r="G726" s="756"/>
      <c r="H726" s="756"/>
      <c r="I726" s="612">
        <f>SUM(I725:I725)</f>
        <v>270</v>
      </c>
    </row>
    <row r="727" spans="2:9" x14ac:dyDescent="0.2">
      <c r="B727" s="712" t="s">
        <v>44</v>
      </c>
      <c r="C727" s="712"/>
      <c r="D727" s="712"/>
      <c r="E727" s="712"/>
      <c r="F727" s="712"/>
      <c r="G727" s="712"/>
      <c r="H727" s="712"/>
      <c r="I727" s="712"/>
    </row>
    <row r="728" spans="2:9" x14ac:dyDescent="0.2">
      <c r="B728" s="462" t="s">
        <v>33</v>
      </c>
      <c r="C728" s="463" t="s">
        <v>5</v>
      </c>
      <c r="D728" s="18" t="s">
        <v>6</v>
      </c>
      <c r="E728" s="198"/>
      <c r="F728" s="198"/>
      <c r="G728" s="198"/>
      <c r="H728" s="18" t="s">
        <v>45</v>
      </c>
      <c r="I728" s="32" t="s">
        <v>39</v>
      </c>
    </row>
    <row r="729" spans="2:9" x14ac:dyDescent="0.2">
      <c r="B729" s="464"/>
      <c r="C729" s="31"/>
      <c r="D729" s="424"/>
      <c r="E729" s="198"/>
      <c r="F729" s="198"/>
      <c r="G729" s="198"/>
      <c r="H729" s="20"/>
      <c r="I729" s="32"/>
    </row>
    <row r="730" spans="2:9" x14ac:dyDescent="0.2">
      <c r="B730" s="756" t="s">
        <v>43</v>
      </c>
      <c r="C730" s="756"/>
      <c r="D730" s="756"/>
      <c r="E730" s="756"/>
      <c r="F730" s="756"/>
      <c r="G730" s="756"/>
      <c r="H730" s="756"/>
      <c r="I730" s="32"/>
    </row>
    <row r="731" spans="2:9" x14ac:dyDescent="0.2">
      <c r="B731" s="712" t="s">
        <v>46</v>
      </c>
      <c r="C731" s="712"/>
      <c r="D731" s="712"/>
      <c r="E731" s="712"/>
      <c r="F731" s="712"/>
      <c r="G731" s="712"/>
      <c r="H731" s="712"/>
      <c r="I731" s="712"/>
    </row>
    <row r="732" spans="2:9" x14ac:dyDescent="0.2">
      <c r="B732" s="17" t="s">
        <v>33</v>
      </c>
      <c r="C732" s="26" t="s">
        <v>5</v>
      </c>
      <c r="D732" s="18" t="s">
        <v>6</v>
      </c>
      <c r="E732" s="198"/>
      <c r="F732" s="198"/>
      <c r="G732" s="198"/>
      <c r="H732" s="18" t="s">
        <v>45</v>
      </c>
      <c r="I732" s="32" t="s">
        <v>39</v>
      </c>
    </row>
    <row r="733" spans="2:9" x14ac:dyDescent="0.2">
      <c r="B733" s="19"/>
      <c r="C733" s="18"/>
      <c r="D733" s="18"/>
      <c r="E733" s="198"/>
      <c r="F733" s="198"/>
      <c r="G733" s="198"/>
      <c r="H733" s="18"/>
      <c r="I733" s="32"/>
    </row>
    <row r="734" spans="2:9" x14ac:dyDescent="0.2">
      <c r="B734" s="756" t="s">
        <v>43</v>
      </c>
      <c r="C734" s="756"/>
      <c r="D734" s="756"/>
      <c r="E734" s="756"/>
      <c r="F734" s="756"/>
      <c r="G734" s="756"/>
      <c r="H734" s="756"/>
      <c r="I734" s="32"/>
    </row>
    <row r="735" spans="2:9" x14ac:dyDescent="0.2">
      <c r="B735" s="712" t="s">
        <v>47</v>
      </c>
      <c r="C735" s="712"/>
      <c r="D735" s="712"/>
      <c r="E735" s="712"/>
      <c r="F735" s="712"/>
      <c r="G735" s="712"/>
      <c r="H735" s="712"/>
      <c r="I735" s="712"/>
    </row>
    <row r="736" spans="2:9" x14ac:dyDescent="0.2">
      <c r="B736" s="462" t="s">
        <v>33</v>
      </c>
      <c r="C736" s="463" t="s">
        <v>5</v>
      </c>
      <c r="D736" s="465" t="s">
        <v>6</v>
      </c>
      <c r="E736" s="198"/>
      <c r="F736" s="198"/>
      <c r="G736" s="198"/>
      <c r="H736" s="18" t="s">
        <v>45</v>
      </c>
      <c r="I736" s="32" t="s">
        <v>39</v>
      </c>
    </row>
    <row r="737" spans="2:9" x14ac:dyDescent="0.2">
      <c r="B737" s="423" t="s">
        <v>57</v>
      </c>
      <c r="C737" s="27" t="s">
        <v>41</v>
      </c>
      <c r="D737" s="582">
        <v>2</v>
      </c>
      <c r="E737" s="25"/>
      <c r="F737" s="25"/>
      <c r="G737" s="25"/>
      <c r="H737" s="562">
        <f>INSUMOS!E11</f>
        <v>72.75</v>
      </c>
      <c r="I737" s="583">
        <f>H737*D737</f>
        <v>145.5</v>
      </c>
    </row>
    <row r="738" spans="2:9" x14ac:dyDescent="0.2">
      <c r="B738" s="756" t="s">
        <v>43</v>
      </c>
      <c r="C738" s="756"/>
      <c r="D738" s="756"/>
      <c r="E738" s="756"/>
      <c r="F738" s="756"/>
      <c r="G738" s="756"/>
      <c r="H738" s="756"/>
      <c r="I738" s="584">
        <f>SUM(I737:I737)</f>
        <v>145.5</v>
      </c>
    </row>
    <row r="739" spans="2:9" x14ac:dyDescent="0.2">
      <c r="B739" s="57" t="s">
        <v>49</v>
      </c>
      <c r="C739" s="58">
        <v>1</v>
      </c>
      <c r="D739" s="700" t="s">
        <v>50</v>
      </c>
      <c r="E739" s="701"/>
      <c r="F739" s="701"/>
      <c r="G739" s="701"/>
      <c r="H739" s="702"/>
      <c r="I739" s="584">
        <f>I726+I730+I734+I738</f>
        <v>415.5</v>
      </c>
    </row>
    <row r="740" spans="2:9" x14ac:dyDescent="0.2">
      <c r="B740" s="703"/>
      <c r="C740" s="704"/>
      <c r="D740" s="704"/>
      <c r="E740" s="704"/>
      <c r="F740" s="704"/>
      <c r="G740" s="704"/>
      <c r="H740" s="705"/>
      <c r="I740" s="584">
        <f>I739/C739</f>
        <v>415.5</v>
      </c>
    </row>
    <row r="741" spans="2:9" x14ac:dyDescent="0.2">
      <c r="B741" s="53" t="s">
        <v>135</v>
      </c>
      <c r="C741" s="520">
        <f>BDI!C$36</f>
        <v>25</v>
      </c>
      <c r="D741" s="56" t="s">
        <v>103</v>
      </c>
      <c r="E741" s="51"/>
      <c r="F741" s="51"/>
      <c r="G741" s="51"/>
      <c r="H741" s="52"/>
      <c r="I741" s="583">
        <f>C741/100*I740</f>
        <v>103.88</v>
      </c>
    </row>
    <row r="742" spans="2:9" ht="13.5" thickBot="1" x14ac:dyDescent="0.25">
      <c r="B742" s="759" t="s">
        <v>51</v>
      </c>
      <c r="C742" s="759"/>
      <c r="D742" s="759"/>
      <c r="E742" s="759"/>
      <c r="F742" s="759"/>
      <c r="G742" s="759"/>
      <c r="H742" s="759"/>
      <c r="I742" s="549">
        <f>SUM(I740:I741)</f>
        <v>519.38</v>
      </c>
    </row>
    <row r="743" spans="2:9" ht="16.5" thickBot="1" x14ac:dyDescent="0.25">
      <c r="B743" s="23"/>
      <c r="C743" s="23"/>
      <c r="D743" s="23"/>
      <c r="E743" s="23"/>
      <c r="F743" s="23"/>
      <c r="G743" s="23"/>
      <c r="H743" s="23"/>
      <c r="I743" s="483"/>
    </row>
    <row r="744" spans="2:9" ht="15.75" x14ac:dyDescent="0.2">
      <c r="B744" s="577" t="s">
        <v>361</v>
      </c>
      <c r="C744" s="578" t="s">
        <v>589</v>
      </c>
      <c r="D744" s="714" t="s">
        <v>30</v>
      </c>
      <c r="E744" s="714"/>
      <c r="F744" s="714"/>
      <c r="G744" s="714"/>
      <c r="H744" s="714"/>
      <c r="I744" s="714"/>
    </row>
    <row r="745" spans="2:9" x14ac:dyDescent="0.2">
      <c r="B745" s="718" t="s">
        <v>134</v>
      </c>
      <c r="C745" s="719"/>
      <c r="D745" s="719"/>
      <c r="E745" s="719"/>
      <c r="F745" s="719"/>
      <c r="G745" s="720"/>
      <c r="H745" s="715" t="s">
        <v>572</v>
      </c>
      <c r="I745" s="716"/>
    </row>
    <row r="746" spans="2:9" ht="34.5" customHeight="1" x14ac:dyDescent="0.2">
      <c r="B746" s="717" t="s">
        <v>501</v>
      </c>
      <c r="C746" s="717"/>
      <c r="D746" s="717"/>
      <c r="E746" s="717"/>
      <c r="F746" s="717"/>
      <c r="G746" s="717"/>
      <c r="H746" s="12" t="s">
        <v>31</v>
      </c>
      <c r="I746" s="46" t="s">
        <v>19</v>
      </c>
    </row>
    <row r="747" spans="2:9" x14ac:dyDescent="0.2">
      <c r="B747" s="712" t="s">
        <v>32</v>
      </c>
      <c r="C747" s="712"/>
      <c r="D747" s="712"/>
      <c r="E747" s="712"/>
      <c r="F747" s="712"/>
      <c r="G747" s="712"/>
      <c r="H747" s="712"/>
      <c r="I747" s="712"/>
    </row>
    <row r="748" spans="2:9" ht="25.5" x14ac:dyDescent="0.2">
      <c r="B748" s="215" t="s">
        <v>33</v>
      </c>
      <c r="C748" s="216" t="s">
        <v>5</v>
      </c>
      <c r="D748" s="218" t="s">
        <v>6</v>
      </c>
      <c r="E748" s="218" t="s">
        <v>35</v>
      </c>
      <c r="F748" s="218" t="s">
        <v>36</v>
      </c>
      <c r="G748" s="218" t="s">
        <v>37</v>
      </c>
      <c r="H748" s="218" t="s">
        <v>38</v>
      </c>
      <c r="I748" s="219" t="s">
        <v>39</v>
      </c>
    </row>
    <row r="749" spans="2:9" x14ac:dyDescent="0.2">
      <c r="B749" s="328"/>
      <c r="C749" s="34"/>
      <c r="D749" s="394"/>
      <c r="E749" s="24"/>
      <c r="F749" s="24"/>
      <c r="G749" s="24"/>
      <c r="H749" s="24"/>
      <c r="I749" s="36"/>
    </row>
    <row r="750" spans="2:9" x14ac:dyDescent="0.2">
      <c r="B750" s="713" t="s">
        <v>43</v>
      </c>
      <c r="C750" s="713"/>
      <c r="D750" s="713"/>
      <c r="E750" s="713"/>
      <c r="F750" s="713"/>
      <c r="G750" s="713"/>
      <c r="H750" s="713"/>
      <c r="I750" s="344"/>
    </row>
    <row r="751" spans="2:9" x14ac:dyDescent="0.2">
      <c r="B751" s="712" t="s">
        <v>44</v>
      </c>
      <c r="C751" s="712"/>
      <c r="D751" s="712"/>
      <c r="E751" s="712"/>
      <c r="F751" s="712"/>
      <c r="G751" s="712"/>
      <c r="H751" s="712"/>
      <c r="I751" s="712"/>
    </row>
    <row r="752" spans="2:9" x14ac:dyDescent="0.2">
      <c r="B752" s="362" t="s">
        <v>33</v>
      </c>
      <c r="C752" s="357" t="s">
        <v>5</v>
      </c>
      <c r="D752" s="25" t="s">
        <v>6</v>
      </c>
      <c r="E752" s="25"/>
      <c r="F752" s="25"/>
      <c r="G752" s="25"/>
      <c r="H752" s="24" t="s">
        <v>45</v>
      </c>
      <c r="I752" s="36" t="s">
        <v>39</v>
      </c>
    </row>
    <row r="753" spans="2:9" x14ac:dyDescent="0.2">
      <c r="B753" s="328" t="s">
        <v>238</v>
      </c>
      <c r="C753" s="28" t="s">
        <v>53</v>
      </c>
      <c r="D753" s="622">
        <v>0.05</v>
      </c>
      <c r="E753" s="21"/>
      <c r="F753" s="21"/>
      <c r="G753" s="21"/>
      <c r="H753" s="582">
        <f>INSUMOS!E53</f>
        <v>17.2</v>
      </c>
      <c r="I753" s="583">
        <f>H753*D753</f>
        <v>0.86</v>
      </c>
    </row>
    <row r="754" spans="2:9" x14ac:dyDescent="0.2">
      <c r="B754" s="328" t="s">
        <v>239</v>
      </c>
      <c r="C754" s="28" t="s">
        <v>19</v>
      </c>
      <c r="D754" s="622">
        <v>1</v>
      </c>
      <c r="E754" s="21"/>
      <c r="F754" s="21"/>
      <c r="G754" s="21"/>
      <c r="H754" s="582">
        <f>INSUMOS!E43</f>
        <v>16.66</v>
      </c>
      <c r="I754" s="583">
        <f>H754*D754</f>
        <v>16.66</v>
      </c>
    </row>
    <row r="755" spans="2:9" x14ac:dyDescent="0.2">
      <c r="B755" s="713" t="s">
        <v>43</v>
      </c>
      <c r="C755" s="713"/>
      <c r="D755" s="713"/>
      <c r="E755" s="713"/>
      <c r="F755" s="713"/>
      <c r="G755" s="713"/>
      <c r="H755" s="713"/>
      <c r="I755" s="583">
        <f>SUM(I753:I754)</f>
        <v>17.52</v>
      </c>
    </row>
    <row r="756" spans="2:9" x14ac:dyDescent="0.2">
      <c r="B756" s="712" t="s">
        <v>46</v>
      </c>
      <c r="C756" s="712"/>
      <c r="D756" s="712"/>
      <c r="E756" s="712"/>
      <c r="F756" s="712"/>
      <c r="G756" s="712"/>
      <c r="H756" s="712"/>
      <c r="I756" s="712"/>
    </row>
    <row r="757" spans="2:9" x14ac:dyDescent="0.2">
      <c r="B757" s="348" t="s">
        <v>33</v>
      </c>
      <c r="C757" s="356" t="s">
        <v>5</v>
      </c>
      <c r="D757" s="21" t="s">
        <v>6</v>
      </c>
      <c r="E757" s="21"/>
      <c r="F757" s="21"/>
      <c r="G757" s="21"/>
      <c r="H757" s="20" t="s">
        <v>45</v>
      </c>
      <c r="I757" s="36" t="s">
        <v>39</v>
      </c>
    </row>
    <row r="758" spans="2:9" x14ac:dyDescent="0.2">
      <c r="B758" s="35" t="s">
        <v>240</v>
      </c>
      <c r="C758" s="20" t="s">
        <v>19</v>
      </c>
      <c r="D758" s="582">
        <v>1</v>
      </c>
      <c r="E758" s="21"/>
      <c r="F758" s="21"/>
      <c r="G758" s="21"/>
      <c r="H758" s="582">
        <f>I1333</f>
        <v>0.1</v>
      </c>
      <c r="I758" s="583">
        <f>D758*H758</f>
        <v>0.1</v>
      </c>
    </row>
    <row r="759" spans="2:9" x14ac:dyDescent="0.2">
      <c r="B759" s="713" t="s">
        <v>43</v>
      </c>
      <c r="C759" s="713"/>
      <c r="D759" s="713"/>
      <c r="E759" s="713"/>
      <c r="F759" s="713"/>
      <c r="G759" s="713"/>
      <c r="H759" s="713"/>
      <c r="I759" s="583">
        <f>SUM(I758:I758)</f>
        <v>0.1</v>
      </c>
    </row>
    <row r="760" spans="2:9" x14ac:dyDescent="0.2">
      <c r="B760" s="712" t="s">
        <v>47</v>
      </c>
      <c r="C760" s="712"/>
      <c r="D760" s="712"/>
      <c r="E760" s="712"/>
      <c r="F760" s="712"/>
      <c r="G760" s="712"/>
      <c r="H760" s="712"/>
      <c r="I760" s="712"/>
    </row>
    <row r="761" spans="2:9" x14ac:dyDescent="0.2">
      <c r="B761" s="362" t="s">
        <v>33</v>
      </c>
      <c r="C761" s="357" t="s">
        <v>5</v>
      </c>
      <c r="D761" s="395" t="s">
        <v>6</v>
      </c>
      <c r="E761" s="25"/>
      <c r="F761" s="25"/>
      <c r="G761" s="25"/>
      <c r="H761" s="24" t="s">
        <v>45</v>
      </c>
      <c r="I761" s="36" t="s">
        <v>39</v>
      </c>
    </row>
    <row r="762" spans="2:9" x14ac:dyDescent="0.2">
      <c r="B762" s="35" t="s">
        <v>48</v>
      </c>
      <c r="C762" s="356" t="s">
        <v>41</v>
      </c>
      <c r="D762" s="603">
        <v>0.06</v>
      </c>
      <c r="E762" s="25"/>
      <c r="F762" s="25"/>
      <c r="G762" s="25"/>
      <c r="H762" s="582">
        <f>INSUMOS!E13</f>
        <v>7.81</v>
      </c>
      <c r="I762" s="602">
        <f>H762*D762</f>
        <v>0.47</v>
      </c>
    </row>
    <row r="763" spans="2:9" x14ac:dyDescent="0.2">
      <c r="B763" s="207" t="s">
        <v>70</v>
      </c>
      <c r="C763" s="356" t="s">
        <v>41</v>
      </c>
      <c r="D763" s="603">
        <v>0.03</v>
      </c>
      <c r="E763" s="25"/>
      <c r="F763" s="25"/>
      <c r="G763" s="25"/>
      <c r="H763" s="582">
        <f>INSUMOS!E21</f>
        <v>10.37</v>
      </c>
      <c r="I763" s="602">
        <f>H763*D763</f>
        <v>0.31</v>
      </c>
    </row>
    <row r="764" spans="2:9" x14ac:dyDescent="0.2">
      <c r="B764" s="713" t="s">
        <v>43</v>
      </c>
      <c r="C764" s="713"/>
      <c r="D764" s="713"/>
      <c r="E764" s="713"/>
      <c r="F764" s="713"/>
      <c r="G764" s="713"/>
      <c r="H764" s="713"/>
      <c r="I764" s="599">
        <f>SUM(I762:I763)</f>
        <v>0.78</v>
      </c>
    </row>
    <row r="765" spans="2:9" x14ac:dyDescent="0.2">
      <c r="B765" s="350" t="s">
        <v>49</v>
      </c>
      <c r="C765" s="20">
        <v>1</v>
      </c>
      <c r="D765" s="728" t="s">
        <v>50</v>
      </c>
      <c r="E765" s="728"/>
      <c r="F765" s="728"/>
      <c r="G765" s="728"/>
      <c r="H765" s="728"/>
      <c r="I765" s="584">
        <f>I764+I759+I755+I750</f>
        <v>18.399999999999999</v>
      </c>
    </row>
    <row r="766" spans="2:9" x14ac:dyDescent="0.2">
      <c r="B766" s="351"/>
      <c r="C766" s="396"/>
      <c r="D766" s="397"/>
      <c r="E766" s="397"/>
      <c r="F766" s="397"/>
      <c r="G766" s="397"/>
      <c r="H766" s="196"/>
      <c r="I766" s="599">
        <f>I765/C765</f>
        <v>18.399999999999999</v>
      </c>
    </row>
    <row r="767" spans="2:9" x14ac:dyDescent="0.2">
      <c r="B767" s="351" t="s">
        <v>241</v>
      </c>
      <c r="C767" s="520">
        <f>BDI!C$36</f>
        <v>25</v>
      </c>
      <c r="D767" s="353" t="s">
        <v>103</v>
      </c>
      <c r="E767" s="353"/>
      <c r="F767" s="353"/>
      <c r="G767" s="353"/>
      <c r="H767" s="354"/>
      <c r="I767" s="583">
        <f>C767/100*I766</f>
        <v>4.5999999999999996</v>
      </c>
    </row>
    <row r="768" spans="2:9" ht="13.5" thickBot="1" x14ac:dyDescent="0.25">
      <c r="B768" s="708" t="s">
        <v>51</v>
      </c>
      <c r="C768" s="729"/>
      <c r="D768" s="708"/>
      <c r="E768" s="708"/>
      <c r="F768" s="708"/>
      <c r="G768" s="708"/>
      <c r="H768" s="708"/>
      <c r="I768" s="549">
        <f>SUM(I766:I767)</f>
        <v>23</v>
      </c>
    </row>
    <row r="769" spans="1:11" ht="13.5" thickBot="1" x14ac:dyDescent="0.25">
      <c r="C769" s="11"/>
      <c r="D769" s="11"/>
      <c r="I769" s="11"/>
    </row>
    <row r="770" spans="1:11" ht="15.75" x14ac:dyDescent="0.2">
      <c r="B770" s="577" t="s">
        <v>361</v>
      </c>
      <c r="C770" s="578" t="s">
        <v>527</v>
      </c>
      <c r="D770" s="786" t="s">
        <v>30</v>
      </c>
      <c r="E770" s="786"/>
      <c r="F770" s="786"/>
      <c r="G770" s="786"/>
      <c r="H770" s="786"/>
      <c r="I770" s="787"/>
    </row>
    <row r="771" spans="1:11" x14ac:dyDescent="0.2">
      <c r="B771" s="718" t="s">
        <v>134</v>
      </c>
      <c r="C771" s="719"/>
      <c r="D771" s="719"/>
      <c r="E771" s="719"/>
      <c r="F771" s="719"/>
      <c r="G771" s="720"/>
      <c r="H771" s="715" t="s">
        <v>572</v>
      </c>
      <c r="I771" s="716"/>
    </row>
    <row r="772" spans="1:11" ht="45.75" customHeight="1" x14ac:dyDescent="0.2">
      <c r="B772" s="777" t="s">
        <v>503</v>
      </c>
      <c r="C772" s="764"/>
      <c r="D772" s="764"/>
      <c r="E772" s="764"/>
      <c r="F772" s="764"/>
      <c r="G772" s="765"/>
      <c r="H772" s="12" t="s">
        <v>31</v>
      </c>
      <c r="I772" s="46" t="s">
        <v>143</v>
      </c>
    </row>
    <row r="773" spans="1:11" x14ac:dyDescent="0.2">
      <c r="B773" s="732" t="s">
        <v>32</v>
      </c>
      <c r="C773" s="712"/>
      <c r="D773" s="712"/>
      <c r="E773" s="712"/>
      <c r="F773" s="712"/>
      <c r="G773" s="712"/>
      <c r="H773" s="712"/>
      <c r="I773" s="733"/>
    </row>
    <row r="774" spans="1:11" ht="25.5" x14ac:dyDescent="0.2">
      <c r="B774" s="75" t="s">
        <v>33</v>
      </c>
      <c r="C774" s="62" t="s">
        <v>5</v>
      </c>
      <c r="D774" s="14" t="s">
        <v>6</v>
      </c>
      <c r="E774" s="14" t="s">
        <v>35</v>
      </c>
      <c r="F774" s="14" t="s">
        <v>36</v>
      </c>
      <c r="G774" s="14" t="s">
        <v>37</v>
      </c>
      <c r="H774" s="14" t="s">
        <v>38</v>
      </c>
      <c r="I774" s="76" t="s">
        <v>39</v>
      </c>
    </row>
    <row r="775" spans="1:11" x14ac:dyDescent="0.2">
      <c r="B775" s="375"/>
      <c r="C775" s="34"/>
      <c r="D775" s="54"/>
      <c r="E775" s="24"/>
      <c r="F775" s="24"/>
      <c r="G775" s="24"/>
      <c r="H775" s="24"/>
      <c r="I775" s="201"/>
    </row>
    <row r="776" spans="1:11" s="47" customFormat="1" ht="18" customHeight="1" x14ac:dyDescent="0.2">
      <c r="B776" s="778" t="s">
        <v>43</v>
      </c>
      <c r="C776" s="779"/>
      <c r="D776" s="779"/>
      <c r="E776" s="779"/>
      <c r="F776" s="779"/>
      <c r="G776" s="779"/>
      <c r="H776" s="779"/>
      <c r="I776" s="376"/>
      <c r="K776" s="11"/>
    </row>
    <row r="777" spans="1:11" s="47" customFormat="1" ht="12.75" customHeight="1" x14ac:dyDescent="0.2">
      <c r="B777" s="780" t="s">
        <v>44</v>
      </c>
      <c r="C777" s="781"/>
      <c r="D777" s="781"/>
      <c r="E777" s="781"/>
      <c r="F777" s="781"/>
      <c r="G777" s="781"/>
      <c r="H777" s="781"/>
      <c r="I777" s="782"/>
      <c r="K777" s="11"/>
    </row>
    <row r="778" spans="1:11" s="47" customFormat="1" ht="30" customHeight="1" x14ac:dyDescent="0.2">
      <c r="B778" s="377" t="s">
        <v>33</v>
      </c>
      <c r="C778" s="60" t="s">
        <v>5</v>
      </c>
      <c r="D778" s="59" t="s">
        <v>6</v>
      </c>
      <c r="E778" s="61"/>
      <c r="F778" s="61"/>
      <c r="G778" s="61"/>
      <c r="H778" s="59" t="s">
        <v>45</v>
      </c>
      <c r="I778" s="77" t="s">
        <v>39</v>
      </c>
    </row>
    <row r="779" spans="1:11" s="47" customFormat="1" ht="22.5" customHeight="1" x14ac:dyDescent="0.2">
      <c r="B779" s="378" t="s">
        <v>72</v>
      </c>
      <c r="C779" s="59" t="s">
        <v>143</v>
      </c>
      <c r="D779" s="520">
        <v>1</v>
      </c>
      <c r="E779" s="61"/>
      <c r="F779" s="61"/>
      <c r="G779" s="61"/>
      <c r="H779" s="520">
        <f>INSUMOS!E73</f>
        <v>34.49</v>
      </c>
      <c r="I779" s="604">
        <f t="shared" ref="I779:I790" si="1">H779*D779</f>
        <v>34.49</v>
      </c>
    </row>
    <row r="780" spans="1:11" x14ac:dyDescent="0.2">
      <c r="A780" s="33"/>
      <c r="B780" s="378" t="s">
        <v>73</v>
      </c>
      <c r="C780" s="59" t="s">
        <v>143</v>
      </c>
      <c r="D780" s="520">
        <v>1</v>
      </c>
      <c r="E780" s="61"/>
      <c r="F780" s="61"/>
      <c r="G780" s="61"/>
      <c r="H780" s="520">
        <f>INSUMOS!E74</f>
        <v>50.8</v>
      </c>
      <c r="I780" s="604">
        <f t="shared" si="1"/>
        <v>50.8</v>
      </c>
      <c r="K780" s="47"/>
    </row>
    <row r="781" spans="1:11" ht="15.95" customHeight="1" x14ac:dyDescent="0.2">
      <c r="B781" s="378" t="s">
        <v>202</v>
      </c>
      <c r="C781" s="59" t="s">
        <v>143</v>
      </c>
      <c r="D781" s="520">
        <v>2</v>
      </c>
      <c r="E781" s="61"/>
      <c r="F781" s="61"/>
      <c r="G781" s="61"/>
      <c r="H781" s="520">
        <f>INSUMOS!E75</f>
        <v>9.27</v>
      </c>
      <c r="I781" s="604">
        <f t="shared" si="1"/>
        <v>18.54</v>
      </c>
      <c r="K781" s="47"/>
    </row>
    <row r="782" spans="1:11" x14ac:dyDescent="0.2">
      <c r="B782" s="378" t="s">
        <v>155</v>
      </c>
      <c r="C782" s="59" t="s">
        <v>143</v>
      </c>
      <c r="D782" s="520">
        <v>1</v>
      </c>
      <c r="E782" s="61"/>
      <c r="F782" s="61"/>
      <c r="G782" s="61"/>
      <c r="H782" s="520">
        <f>INSUMOS!E77</f>
        <v>19.899999999999999</v>
      </c>
      <c r="I782" s="604">
        <f t="shared" si="1"/>
        <v>19.899999999999999</v>
      </c>
    </row>
    <row r="783" spans="1:11" s="47" customFormat="1" ht="30" customHeight="1" x14ac:dyDescent="0.2">
      <c r="B783" s="110" t="s">
        <v>74</v>
      </c>
      <c r="C783" s="59" t="s">
        <v>143</v>
      </c>
      <c r="D783" s="520">
        <v>8</v>
      </c>
      <c r="E783" s="61"/>
      <c r="F783" s="61"/>
      <c r="G783" s="61"/>
      <c r="H783" s="520">
        <f>INSUMOS!E76</f>
        <v>13.99</v>
      </c>
      <c r="I783" s="604">
        <f t="shared" si="1"/>
        <v>111.92</v>
      </c>
      <c r="K783" s="11"/>
    </row>
    <row r="784" spans="1:11" ht="15.95" customHeight="1" x14ac:dyDescent="0.2">
      <c r="B784" s="78" t="s">
        <v>75</v>
      </c>
      <c r="C784" s="59" t="s">
        <v>19</v>
      </c>
      <c r="D784" s="634">
        <v>20</v>
      </c>
      <c r="E784" s="61"/>
      <c r="F784" s="61"/>
      <c r="G784" s="61"/>
      <c r="H784" s="520">
        <f>INSUMOS!E39</f>
        <v>0.9</v>
      </c>
      <c r="I784" s="604">
        <f t="shared" si="1"/>
        <v>18</v>
      </c>
    </row>
    <row r="785" spans="2:11" ht="15.95" customHeight="1" x14ac:dyDescent="0.2">
      <c r="B785" s="78" t="s">
        <v>76</v>
      </c>
      <c r="C785" s="59" t="s">
        <v>143</v>
      </c>
      <c r="D785" s="634">
        <v>4</v>
      </c>
      <c r="E785" s="61"/>
      <c r="F785" s="61"/>
      <c r="G785" s="61"/>
      <c r="H785" s="520">
        <f>INSUMOS!E40</f>
        <v>2.6</v>
      </c>
      <c r="I785" s="604">
        <f t="shared" si="1"/>
        <v>10.4</v>
      </c>
      <c r="K785" s="47"/>
    </row>
    <row r="786" spans="2:11" ht="15.95" customHeight="1" x14ac:dyDescent="0.2">
      <c r="B786" s="110" t="s">
        <v>154</v>
      </c>
      <c r="C786" s="59" t="s">
        <v>143</v>
      </c>
      <c r="D786" s="634">
        <v>3</v>
      </c>
      <c r="E786" s="61"/>
      <c r="F786" s="61"/>
      <c r="G786" s="61"/>
      <c r="H786" s="520">
        <f>INSUMOS!E72</f>
        <v>8.7899999999999991</v>
      </c>
      <c r="I786" s="604">
        <f t="shared" si="1"/>
        <v>26.37</v>
      </c>
    </row>
    <row r="787" spans="2:11" ht="15.95" customHeight="1" x14ac:dyDescent="0.2">
      <c r="B787" s="110" t="s">
        <v>77</v>
      </c>
      <c r="C787" s="59" t="s">
        <v>19</v>
      </c>
      <c r="D787" s="634">
        <v>6</v>
      </c>
      <c r="E787" s="61"/>
      <c r="F787" s="61"/>
      <c r="G787" s="61"/>
      <c r="H787" s="520">
        <f>INSUMOS!E64</f>
        <v>2.3199999999999998</v>
      </c>
      <c r="I787" s="604">
        <f t="shared" si="1"/>
        <v>13.92</v>
      </c>
    </row>
    <row r="788" spans="2:11" s="47" customFormat="1" ht="30" customHeight="1" x14ac:dyDescent="0.2">
      <c r="B788" s="378" t="s">
        <v>627</v>
      </c>
      <c r="C788" s="59" t="s">
        <v>143</v>
      </c>
      <c r="D788" s="634">
        <v>0.08</v>
      </c>
      <c r="E788" s="61"/>
      <c r="F788" s="61"/>
      <c r="G788" s="61"/>
      <c r="H788" s="520">
        <f>INSUMOS!E41</f>
        <v>1049</v>
      </c>
      <c r="I788" s="604">
        <f t="shared" si="1"/>
        <v>83.92</v>
      </c>
      <c r="K788" s="11"/>
    </row>
    <row r="789" spans="2:11" ht="15.95" customHeight="1" x14ac:dyDescent="0.2">
      <c r="B789" s="378" t="s">
        <v>78</v>
      </c>
      <c r="C789" s="59" t="s">
        <v>143</v>
      </c>
      <c r="D789" s="634">
        <v>2</v>
      </c>
      <c r="E789" s="61"/>
      <c r="F789" s="61"/>
      <c r="G789" s="61"/>
      <c r="H789" s="520">
        <f>INSUMOS!E69</f>
        <v>3.29</v>
      </c>
      <c r="I789" s="604">
        <f t="shared" si="1"/>
        <v>6.58</v>
      </c>
    </row>
    <row r="790" spans="2:11" ht="15.95" customHeight="1" x14ac:dyDescent="0.2">
      <c r="B790" s="78" t="s">
        <v>79</v>
      </c>
      <c r="C790" s="59" t="s">
        <v>143</v>
      </c>
      <c r="D790" s="634">
        <v>1</v>
      </c>
      <c r="E790" s="61"/>
      <c r="F790" s="61"/>
      <c r="G790" s="61"/>
      <c r="H790" s="520">
        <f>INSUMOS!E70</f>
        <v>13.42</v>
      </c>
      <c r="I790" s="604">
        <f t="shared" si="1"/>
        <v>13.42</v>
      </c>
      <c r="K790" s="47"/>
    </row>
    <row r="791" spans="2:11" ht="15.95" customHeight="1" x14ac:dyDescent="0.2">
      <c r="B791" s="83" t="s">
        <v>157</v>
      </c>
      <c r="C791" s="59" t="s">
        <v>143</v>
      </c>
      <c r="D791" s="634">
        <v>1</v>
      </c>
      <c r="E791" s="61"/>
      <c r="F791" s="61"/>
      <c r="G791" s="61"/>
      <c r="H791" s="520">
        <f>INSUMOS!E42</f>
        <v>2057.5500000000002</v>
      </c>
      <c r="I791" s="604">
        <f t="shared" ref="I791:I797" si="2">H791*D791</f>
        <v>2057.5500000000002</v>
      </c>
    </row>
    <row r="792" spans="2:11" s="47" customFormat="1" ht="30" customHeight="1" x14ac:dyDescent="0.2">
      <c r="B792" s="83" t="s">
        <v>80</v>
      </c>
      <c r="C792" s="59" t="s">
        <v>143</v>
      </c>
      <c r="D792" s="634">
        <v>1</v>
      </c>
      <c r="E792" s="61"/>
      <c r="F792" s="61"/>
      <c r="G792" s="61"/>
      <c r="H792" s="520">
        <f>INSUMOS!E84</f>
        <v>82.88</v>
      </c>
      <c r="I792" s="604">
        <f t="shared" si="2"/>
        <v>82.88</v>
      </c>
      <c r="K792" s="11"/>
    </row>
    <row r="793" spans="2:11" ht="28.5" customHeight="1" x14ac:dyDescent="0.2">
      <c r="B793" s="83" t="s">
        <v>153</v>
      </c>
      <c r="C793" s="59" t="s">
        <v>143</v>
      </c>
      <c r="D793" s="634">
        <v>1</v>
      </c>
      <c r="E793" s="61"/>
      <c r="F793" s="61"/>
      <c r="G793" s="61"/>
      <c r="H793" s="520">
        <f>INSUMOS!E85</f>
        <v>430</v>
      </c>
      <c r="I793" s="604">
        <f t="shared" si="2"/>
        <v>430</v>
      </c>
    </row>
    <row r="794" spans="2:11" ht="27" customHeight="1" x14ac:dyDescent="0.2">
      <c r="B794" s="83" t="s">
        <v>196</v>
      </c>
      <c r="C794" s="59" t="s">
        <v>19</v>
      </c>
      <c r="D794" s="634">
        <v>50</v>
      </c>
      <c r="E794" s="61"/>
      <c r="F794" s="61"/>
      <c r="G794" s="61"/>
      <c r="H794" s="520">
        <f>INSUMOS!E43</f>
        <v>16.66</v>
      </c>
      <c r="I794" s="604">
        <f t="shared" si="2"/>
        <v>833</v>
      </c>
      <c r="K794" s="47"/>
    </row>
    <row r="795" spans="2:11" ht="20.25" customHeight="1" x14ac:dyDescent="0.2">
      <c r="B795" s="328" t="s">
        <v>193</v>
      </c>
      <c r="C795" s="59" t="s">
        <v>143</v>
      </c>
      <c r="D795" s="622">
        <v>1</v>
      </c>
      <c r="E795" s="21"/>
      <c r="F795" s="21"/>
      <c r="G795" s="21"/>
      <c r="H795" s="582">
        <f>INSUMOS!E49</f>
        <v>337.71</v>
      </c>
      <c r="I795" s="583">
        <f>H795*D795</f>
        <v>337.71</v>
      </c>
    </row>
    <row r="796" spans="2:11" ht="15.95" customHeight="1" x14ac:dyDescent="0.2">
      <c r="B796" s="79" t="s">
        <v>81</v>
      </c>
      <c r="C796" s="59" t="s">
        <v>19</v>
      </c>
      <c r="D796" s="634">
        <v>1</v>
      </c>
      <c r="E796" s="61"/>
      <c r="F796" s="61"/>
      <c r="G796" s="61"/>
      <c r="H796" s="520">
        <f>INSUMOS!E65</f>
        <v>34.69</v>
      </c>
      <c r="I796" s="604">
        <f t="shared" si="2"/>
        <v>34.69</v>
      </c>
    </row>
    <row r="797" spans="2:11" ht="15.95" customHeight="1" x14ac:dyDescent="0.2">
      <c r="B797" s="80" t="s">
        <v>192</v>
      </c>
      <c r="C797" s="59" t="s">
        <v>143</v>
      </c>
      <c r="D797" s="634">
        <v>60</v>
      </c>
      <c r="E797" s="61"/>
      <c r="F797" s="61"/>
      <c r="G797" s="61"/>
      <c r="H797" s="520">
        <f>INSUMOS!E66</f>
        <v>3.53</v>
      </c>
      <c r="I797" s="604">
        <f t="shared" si="2"/>
        <v>211.8</v>
      </c>
    </row>
    <row r="798" spans="2:11" ht="15.95" customHeight="1" x14ac:dyDescent="0.2">
      <c r="B798" s="784" t="s">
        <v>43</v>
      </c>
      <c r="C798" s="785"/>
      <c r="D798" s="785"/>
      <c r="E798" s="785"/>
      <c r="F798" s="785"/>
      <c r="G798" s="785"/>
      <c r="H798" s="785"/>
      <c r="I798" s="604">
        <f>SUM(I779:I797)</f>
        <v>4395.8900000000003</v>
      </c>
    </row>
    <row r="799" spans="2:11" ht="15.95" customHeight="1" x14ac:dyDescent="0.2">
      <c r="B799" s="780" t="s">
        <v>46</v>
      </c>
      <c r="C799" s="781"/>
      <c r="D799" s="781"/>
      <c r="E799" s="781"/>
      <c r="F799" s="781"/>
      <c r="G799" s="781"/>
      <c r="H799" s="781"/>
      <c r="I799" s="782"/>
    </row>
    <row r="800" spans="2:11" ht="15.95" customHeight="1" x14ac:dyDescent="0.2">
      <c r="B800" s="377" t="s">
        <v>33</v>
      </c>
      <c r="C800" s="379" t="s">
        <v>5</v>
      </c>
      <c r="D800" s="59" t="s">
        <v>6</v>
      </c>
      <c r="E800" s="61"/>
      <c r="F800" s="61"/>
      <c r="G800" s="61"/>
      <c r="H800" s="59" t="s">
        <v>45</v>
      </c>
      <c r="I800" s="380" t="s">
        <v>39</v>
      </c>
    </row>
    <row r="801" spans="1:11" s="47" customFormat="1" ht="30" customHeight="1" x14ac:dyDescent="0.2">
      <c r="B801" s="80"/>
      <c r="C801" s="59"/>
      <c r="D801" s="59"/>
      <c r="E801" s="61"/>
      <c r="F801" s="61"/>
      <c r="G801" s="61"/>
      <c r="H801" s="59"/>
      <c r="I801" s="77"/>
      <c r="K801" s="11"/>
    </row>
    <row r="802" spans="1:11" x14ac:dyDescent="0.2">
      <c r="B802" s="783" t="s">
        <v>43</v>
      </c>
      <c r="C802" s="735"/>
      <c r="D802" s="735"/>
      <c r="E802" s="735"/>
      <c r="F802" s="735"/>
      <c r="G802" s="735"/>
      <c r="H802" s="735"/>
      <c r="I802" s="381"/>
    </row>
    <row r="803" spans="1:11" x14ac:dyDescent="0.2">
      <c r="B803" s="732" t="s">
        <v>47</v>
      </c>
      <c r="C803" s="712"/>
      <c r="D803" s="712"/>
      <c r="E803" s="712"/>
      <c r="F803" s="712"/>
      <c r="G803" s="712"/>
      <c r="H803" s="712"/>
      <c r="I803" s="733"/>
      <c r="K803" s="47"/>
    </row>
    <row r="804" spans="1:11" x14ac:dyDescent="0.2">
      <c r="B804" s="382" t="s">
        <v>33</v>
      </c>
      <c r="C804" s="357" t="s">
        <v>5</v>
      </c>
      <c r="D804" s="363" t="s">
        <v>6</v>
      </c>
      <c r="E804" s="25"/>
      <c r="F804" s="25"/>
      <c r="G804" s="25"/>
      <c r="H804" s="24" t="s">
        <v>45</v>
      </c>
      <c r="I804" s="201" t="s">
        <v>39</v>
      </c>
    </row>
    <row r="805" spans="1:11" x14ac:dyDescent="0.2">
      <c r="B805" s="383" t="s">
        <v>48</v>
      </c>
      <c r="C805" s="27" t="s">
        <v>41</v>
      </c>
      <c r="D805" s="582">
        <v>8</v>
      </c>
      <c r="E805" s="21"/>
      <c r="F805" s="21"/>
      <c r="G805" s="21"/>
      <c r="H805" s="582">
        <f>INSUMOS!E13</f>
        <v>7.81</v>
      </c>
      <c r="I805" s="568">
        <f>H805*D805</f>
        <v>62.48</v>
      </c>
    </row>
    <row r="806" spans="1:11" x14ac:dyDescent="0.2">
      <c r="B806" s="384" t="s">
        <v>82</v>
      </c>
      <c r="C806" s="27" t="s">
        <v>41</v>
      </c>
      <c r="D806" s="582">
        <v>2</v>
      </c>
      <c r="E806" s="21"/>
      <c r="F806" s="21"/>
      <c r="G806" s="21"/>
      <c r="H806" s="582">
        <f>INSUMOS!E18</f>
        <v>10.37</v>
      </c>
      <c r="I806" s="568">
        <f>H806*D806</f>
        <v>20.74</v>
      </c>
    </row>
    <row r="807" spans="1:11" s="47" customFormat="1" ht="13.5" customHeight="1" x14ac:dyDescent="0.2">
      <c r="B807" s="384" t="s">
        <v>70</v>
      </c>
      <c r="C807" s="27" t="s">
        <v>41</v>
      </c>
      <c r="D807" s="582">
        <v>3</v>
      </c>
      <c r="E807" s="21"/>
      <c r="F807" s="21"/>
      <c r="G807" s="21"/>
      <c r="H807" s="582">
        <f>INSUMOS!E21</f>
        <v>10.37</v>
      </c>
      <c r="I807" s="568">
        <f>H807*D807</f>
        <v>31.11</v>
      </c>
      <c r="K807" s="11"/>
    </row>
    <row r="808" spans="1:11" s="47" customFormat="1" ht="19.5" customHeight="1" x14ac:dyDescent="0.2">
      <c r="B808" s="734" t="s">
        <v>43</v>
      </c>
      <c r="C808" s="713"/>
      <c r="D808" s="713"/>
      <c r="E808" s="713"/>
      <c r="F808" s="713"/>
      <c r="G808" s="713"/>
      <c r="H808" s="713"/>
      <c r="I808" s="567">
        <f>SUM(I805:I807)</f>
        <v>114.33</v>
      </c>
      <c r="K808" s="11"/>
    </row>
    <row r="809" spans="1:11" s="47" customFormat="1" ht="15" customHeight="1" x14ac:dyDescent="0.2">
      <c r="B809" s="385" t="s">
        <v>49</v>
      </c>
      <c r="C809" s="277">
        <v>1</v>
      </c>
      <c r="D809" s="709" t="s">
        <v>50</v>
      </c>
      <c r="E809" s="710"/>
      <c r="F809" s="710"/>
      <c r="G809" s="710"/>
      <c r="H809" s="711"/>
      <c r="I809" s="567">
        <f>I776+I798+I802+I808</f>
        <v>4510.22</v>
      </c>
    </row>
    <row r="810" spans="1:11" x14ac:dyDescent="0.2">
      <c r="A810" s="33"/>
      <c r="B810" s="755"/>
      <c r="C810" s="726"/>
      <c r="D810" s="726"/>
      <c r="E810" s="726"/>
      <c r="F810" s="726"/>
      <c r="G810" s="726"/>
      <c r="H810" s="727"/>
      <c r="I810" s="567">
        <f>I809/C809</f>
        <v>4510.22</v>
      </c>
      <c r="K810" s="47"/>
    </row>
    <row r="811" spans="1:11" ht="15" customHeight="1" x14ac:dyDescent="0.2">
      <c r="B811" s="386" t="s">
        <v>135</v>
      </c>
      <c r="C811" s="520">
        <f>BDI!C$36</f>
        <v>25</v>
      </c>
      <c r="D811" s="352" t="s">
        <v>103</v>
      </c>
      <c r="E811" s="353"/>
      <c r="F811" s="353"/>
      <c r="G811" s="353"/>
      <c r="H811" s="354"/>
      <c r="I811" s="568">
        <f>C811/100*I810</f>
        <v>1127.56</v>
      </c>
      <c r="K811" s="47"/>
    </row>
    <row r="812" spans="1:11" ht="15" customHeight="1" thickBot="1" x14ac:dyDescent="0.25">
      <c r="B812" s="752" t="s">
        <v>51</v>
      </c>
      <c r="C812" s="753"/>
      <c r="D812" s="753"/>
      <c r="E812" s="753"/>
      <c r="F812" s="753"/>
      <c r="G812" s="753"/>
      <c r="H812" s="753"/>
      <c r="I812" s="549">
        <f>SUM(I810:I811)</f>
        <v>5637.78</v>
      </c>
    </row>
    <row r="813" spans="1:11" ht="15" customHeight="1" thickBot="1" x14ac:dyDescent="0.25">
      <c r="B813" s="461"/>
      <c r="C813" s="461"/>
      <c r="D813" s="461"/>
      <c r="E813" s="461"/>
      <c r="F813" s="461"/>
      <c r="G813" s="461"/>
      <c r="H813" s="461"/>
      <c r="I813" s="429"/>
    </row>
    <row r="814" spans="1:11" ht="46.5" customHeight="1" x14ac:dyDescent="0.2">
      <c r="B814" s="577" t="s">
        <v>361</v>
      </c>
      <c r="C814" s="579" t="s">
        <v>593</v>
      </c>
      <c r="D814" s="714" t="s">
        <v>30</v>
      </c>
      <c r="E814" s="714"/>
      <c r="F814" s="714"/>
      <c r="G814" s="714"/>
      <c r="H814" s="714"/>
      <c r="I814" s="714"/>
    </row>
    <row r="815" spans="1:11" ht="15" customHeight="1" x14ac:dyDescent="0.2">
      <c r="B815" s="718" t="s">
        <v>134</v>
      </c>
      <c r="C815" s="719"/>
      <c r="D815" s="719"/>
      <c r="E815" s="719"/>
      <c r="F815" s="719"/>
      <c r="G815" s="720"/>
      <c r="H815" s="715" t="s">
        <v>572</v>
      </c>
      <c r="I815" s="716"/>
    </row>
    <row r="816" spans="1:11" ht="34.5" customHeight="1" x14ac:dyDescent="0.2">
      <c r="B816" s="717" t="s">
        <v>641</v>
      </c>
      <c r="C816" s="717"/>
      <c r="D816" s="717"/>
      <c r="E816" s="717"/>
      <c r="F816" s="717"/>
      <c r="G816" s="717"/>
      <c r="H816" s="12" t="s">
        <v>31</v>
      </c>
      <c r="I816" s="46" t="s">
        <v>23</v>
      </c>
    </row>
    <row r="817" spans="2:9" ht="15" customHeight="1" x14ac:dyDescent="0.2">
      <c r="B817" s="712" t="s">
        <v>32</v>
      </c>
      <c r="C817" s="712"/>
      <c r="D817" s="712"/>
      <c r="E817" s="712"/>
      <c r="F817" s="712"/>
      <c r="G817" s="712"/>
      <c r="H817" s="712"/>
      <c r="I817" s="712"/>
    </row>
    <row r="818" spans="2:9" ht="21.75" customHeight="1" x14ac:dyDescent="0.2">
      <c r="B818" s="13" t="s">
        <v>33</v>
      </c>
      <c r="C818" s="62" t="s">
        <v>5</v>
      </c>
      <c r="D818" s="14" t="s">
        <v>6</v>
      </c>
      <c r="E818" s="14" t="s">
        <v>35</v>
      </c>
      <c r="F818" s="14" t="s">
        <v>36</v>
      </c>
      <c r="G818" s="14" t="s">
        <v>37</v>
      </c>
      <c r="H818" s="14" t="s">
        <v>38</v>
      </c>
      <c r="I818" s="15" t="s">
        <v>39</v>
      </c>
    </row>
    <row r="819" spans="2:9" ht="15" customHeight="1" x14ac:dyDescent="0.2">
      <c r="B819" s="328"/>
      <c r="C819" s="34"/>
      <c r="D819" s="54"/>
      <c r="E819" s="24"/>
      <c r="F819" s="24"/>
      <c r="G819" s="24"/>
      <c r="H819" s="24"/>
      <c r="I819" s="36"/>
    </row>
    <row r="820" spans="2:9" ht="15" customHeight="1" x14ac:dyDescent="0.2">
      <c r="B820" s="713" t="s">
        <v>43</v>
      </c>
      <c r="C820" s="713"/>
      <c r="D820" s="713"/>
      <c r="E820" s="713"/>
      <c r="F820" s="713"/>
      <c r="G820" s="713"/>
      <c r="H820" s="713"/>
      <c r="I820" s="344"/>
    </row>
    <row r="821" spans="2:9" ht="15" customHeight="1" x14ac:dyDescent="0.2">
      <c r="B821" s="712" t="s">
        <v>44</v>
      </c>
      <c r="C821" s="712"/>
      <c r="D821" s="712"/>
      <c r="E821" s="712"/>
      <c r="F821" s="712"/>
      <c r="G821" s="712"/>
      <c r="H821" s="712"/>
      <c r="I821" s="712"/>
    </row>
    <row r="822" spans="2:9" ht="15" customHeight="1" x14ac:dyDescent="0.2">
      <c r="B822" s="360" t="s">
        <v>33</v>
      </c>
      <c r="C822" s="361" t="s">
        <v>5</v>
      </c>
      <c r="D822" s="20" t="s">
        <v>6</v>
      </c>
      <c r="E822" s="21"/>
      <c r="F822" s="21"/>
      <c r="G822" s="21"/>
      <c r="H822" s="20" t="s">
        <v>45</v>
      </c>
      <c r="I822" s="30" t="s">
        <v>39</v>
      </c>
    </row>
    <row r="823" spans="2:9" ht="15" customHeight="1" x14ac:dyDescent="0.2">
      <c r="B823" s="328"/>
      <c r="C823" s="28"/>
      <c r="D823" s="29"/>
      <c r="E823" s="21"/>
      <c r="F823" s="21"/>
      <c r="G823" s="21"/>
      <c r="H823" s="20"/>
      <c r="I823" s="30"/>
    </row>
    <row r="824" spans="2:9" ht="15" customHeight="1" x14ac:dyDescent="0.2">
      <c r="B824" s="713" t="s">
        <v>43</v>
      </c>
      <c r="C824" s="713"/>
      <c r="D824" s="713"/>
      <c r="E824" s="713"/>
      <c r="F824" s="713"/>
      <c r="G824" s="713"/>
      <c r="H824" s="713"/>
      <c r="I824" s="30"/>
    </row>
    <row r="825" spans="2:9" ht="15" customHeight="1" x14ac:dyDescent="0.2">
      <c r="B825" s="712" t="s">
        <v>46</v>
      </c>
      <c r="C825" s="712"/>
      <c r="D825" s="712"/>
      <c r="E825" s="712"/>
      <c r="F825" s="712"/>
      <c r="G825" s="712"/>
      <c r="H825" s="712"/>
      <c r="I825" s="712"/>
    </row>
    <row r="826" spans="2:9" ht="15" customHeight="1" x14ac:dyDescent="0.2">
      <c r="B826" s="348" t="s">
        <v>33</v>
      </c>
      <c r="C826" s="27" t="s">
        <v>5</v>
      </c>
      <c r="D826" s="20" t="s">
        <v>6</v>
      </c>
      <c r="E826" s="21"/>
      <c r="F826" s="21"/>
      <c r="G826" s="21"/>
      <c r="H826" s="20" t="s">
        <v>45</v>
      </c>
      <c r="I826" s="30" t="s">
        <v>39</v>
      </c>
    </row>
    <row r="827" spans="2:9" ht="15" customHeight="1" x14ac:dyDescent="0.2">
      <c r="B827" s="328"/>
      <c r="C827" s="20"/>
      <c r="D827" s="20"/>
      <c r="E827" s="21"/>
      <c r="F827" s="21"/>
      <c r="G827" s="21"/>
      <c r="H827" s="20"/>
      <c r="I827" s="30"/>
    </row>
    <row r="828" spans="2:9" ht="15" customHeight="1" x14ac:dyDescent="0.2">
      <c r="B828" s="713" t="s">
        <v>43</v>
      </c>
      <c r="C828" s="713"/>
      <c r="D828" s="713"/>
      <c r="E828" s="713"/>
      <c r="F828" s="713"/>
      <c r="G828" s="713"/>
      <c r="H828" s="713"/>
      <c r="I828" s="30"/>
    </row>
    <row r="829" spans="2:9" ht="15" customHeight="1" x14ac:dyDescent="0.2">
      <c r="B829" s="712" t="s">
        <v>47</v>
      </c>
      <c r="C829" s="712"/>
      <c r="D829" s="712"/>
      <c r="E829" s="712"/>
      <c r="F829" s="712"/>
      <c r="G829" s="712"/>
      <c r="H829" s="712"/>
      <c r="I829" s="712"/>
    </row>
    <row r="830" spans="2:9" ht="15" customHeight="1" x14ac:dyDescent="0.2">
      <c r="B830" s="360" t="s">
        <v>33</v>
      </c>
      <c r="C830" s="361" t="s">
        <v>5</v>
      </c>
      <c r="D830" s="330" t="s">
        <v>6</v>
      </c>
      <c r="E830" s="21"/>
      <c r="F830" s="21"/>
      <c r="G830" s="21"/>
      <c r="H830" s="20" t="s">
        <v>45</v>
      </c>
      <c r="I830" s="30" t="s">
        <v>39</v>
      </c>
    </row>
    <row r="831" spans="2:9" ht="15" customHeight="1" x14ac:dyDescent="0.2">
      <c r="B831" s="35" t="s">
        <v>48</v>
      </c>
      <c r="C831" s="27" t="s">
        <v>41</v>
      </c>
      <c r="D831" s="582">
        <v>1.9</v>
      </c>
      <c r="E831" s="21"/>
      <c r="F831" s="21"/>
      <c r="G831" s="21"/>
      <c r="H831" s="582">
        <f>INSUMOS!E13</f>
        <v>7.81</v>
      </c>
      <c r="I831" s="583">
        <f>H831*D831</f>
        <v>14.84</v>
      </c>
    </row>
    <row r="832" spans="2:9" ht="15" customHeight="1" x14ac:dyDescent="0.2">
      <c r="B832" s="713" t="s">
        <v>43</v>
      </c>
      <c r="C832" s="713"/>
      <c r="D832" s="713"/>
      <c r="E832" s="713"/>
      <c r="F832" s="713"/>
      <c r="G832" s="713"/>
      <c r="H832" s="713"/>
      <c r="I832" s="584">
        <f>SUM(I831:I831)</f>
        <v>14.84</v>
      </c>
    </row>
    <row r="833" spans="2:9" ht="15" customHeight="1" x14ac:dyDescent="0.2">
      <c r="B833" s="355" t="s">
        <v>49</v>
      </c>
      <c r="C833" s="277">
        <v>1</v>
      </c>
      <c r="D833" s="709" t="s">
        <v>50</v>
      </c>
      <c r="E833" s="710"/>
      <c r="F833" s="710"/>
      <c r="G833" s="710"/>
      <c r="H833" s="711"/>
      <c r="I833" s="584">
        <f>I820+I824+I828+I832</f>
        <v>14.84</v>
      </c>
    </row>
    <row r="834" spans="2:9" ht="15" customHeight="1" x14ac:dyDescent="0.2">
      <c r="B834" s="725"/>
      <c r="C834" s="726"/>
      <c r="D834" s="726"/>
      <c r="E834" s="726"/>
      <c r="F834" s="726"/>
      <c r="G834" s="726"/>
      <c r="H834" s="727"/>
      <c r="I834" s="584">
        <f>I833/C833</f>
        <v>14.84</v>
      </c>
    </row>
    <row r="835" spans="2:9" ht="15" customHeight="1" x14ac:dyDescent="0.2">
      <c r="B835" s="351" t="s">
        <v>135</v>
      </c>
      <c r="C835" s="520">
        <f>BDI!C$36</f>
        <v>25</v>
      </c>
      <c r="D835" s="352" t="s">
        <v>103</v>
      </c>
      <c r="E835" s="353"/>
      <c r="F835" s="353"/>
      <c r="G835" s="353"/>
      <c r="H835" s="354"/>
      <c r="I835" s="583">
        <f>C835/100*I834</f>
        <v>3.71</v>
      </c>
    </row>
    <row r="836" spans="2:9" ht="15" customHeight="1" thickBot="1" x14ac:dyDescent="0.25">
      <c r="B836" s="708" t="s">
        <v>51</v>
      </c>
      <c r="C836" s="708"/>
      <c r="D836" s="708"/>
      <c r="E836" s="708"/>
      <c r="F836" s="708"/>
      <c r="G836" s="708"/>
      <c r="H836" s="708"/>
      <c r="I836" s="549">
        <f>SUM(I834:I835)</f>
        <v>18.55</v>
      </c>
    </row>
    <row r="837" spans="2:9" ht="15" customHeight="1" thickBot="1" x14ac:dyDescent="0.25">
      <c r="B837" s="365"/>
      <c r="C837" s="368"/>
      <c r="D837" s="368"/>
      <c r="E837" s="365"/>
      <c r="F837" s="365"/>
      <c r="G837" s="365"/>
      <c r="H837" s="365"/>
      <c r="I837" s="368"/>
    </row>
    <row r="838" spans="2:9" ht="45.75" customHeight="1" x14ac:dyDescent="0.2">
      <c r="B838" s="577" t="s">
        <v>361</v>
      </c>
      <c r="C838" s="579" t="s">
        <v>594</v>
      </c>
      <c r="D838" s="714" t="s">
        <v>30</v>
      </c>
      <c r="E838" s="714"/>
      <c r="F838" s="714"/>
      <c r="G838" s="714"/>
      <c r="H838" s="714"/>
      <c r="I838" s="714"/>
    </row>
    <row r="839" spans="2:9" ht="15" customHeight="1" x14ac:dyDescent="0.2">
      <c r="B839" s="718" t="s">
        <v>134</v>
      </c>
      <c r="C839" s="719"/>
      <c r="D839" s="719"/>
      <c r="E839" s="719"/>
      <c r="F839" s="719"/>
      <c r="G839" s="720"/>
      <c r="H839" s="715" t="s">
        <v>572</v>
      </c>
      <c r="I839" s="716"/>
    </row>
    <row r="840" spans="2:9" ht="15" customHeight="1" x14ac:dyDescent="0.2">
      <c r="B840" s="766" t="s">
        <v>336</v>
      </c>
      <c r="C840" s="766"/>
      <c r="D840" s="766"/>
      <c r="E840" s="766"/>
      <c r="F840" s="766"/>
      <c r="G840" s="766"/>
      <c r="H840" s="12" t="s">
        <v>31</v>
      </c>
      <c r="I840" s="46" t="s">
        <v>23</v>
      </c>
    </row>
    <row r="841" spans="2:9" ht="15" customHeight="1" x14ac:dyDescent="0.2">
      <c r="B841" s="712" t="s">
        <v>32</v>
      </c>
      <c r="C841" s="712"/>
      <c r="D841" s="712"/>
      <c r="E841" s="712"/>
      <c r="F841" s="712"/>
      <c r="G841" s="712"/>
      <c r="H841" s="712"/>
      <c r="I841" s="712"/>
    </row>
    <row r="842" spans="2:9" ht="27" customHeight="1" x14ac:dyDescent="0.2">
      <c r="B842" s="13" t="s">
        <v>33</v>
      </c>
      <c r="C842" s="62" t="s">
        <v>5</v>
      </c>
      <c r="D842" s="14" t="s">
        <v>6</v>
      </c>
      <c r="E842" s="14" t="s">
        <v>35</v>
      </c>
      <c r="F842" s="14" t="s">
        <v>36</v>
      </c>
      <c r="G842" s="14" t="s">
        <v>37</v>
      </c>
      <c r="H842" s="14" t="s">
        <v>38</v>
      </c>
      <c r="I842" s="15" t="s">
        <v>39</v>
      </c>
    </row>
    <row r="843" spans="2:9" ht="15" customHeight="1" x14ac:dyDescent="0.2">
      <c r="B843" s="328"/>
      <c r="C843" s="28"/>
      <c r="D843" s="29"/>
      <c r="E843" s="20"/>
      <c r="F843" s="20"/>
      <c r="G843" s="20"/>
      <c r="H843" s="20"/>
      <c r="I843" s="30"/>
    </row>
    <row r="844" spans="2:9" ht="15" customHeight="1" x14ac:dyDescent="0.2">
      <c r="B844" s="713" t="s">
        <v>43</v>
      </c>
      <c r="C844" s="713"/>
      <c r="D844" s="713"/>
      <c r="E844" s="713"/>
      <c r="F844" s="713"/>
      <c r="G844" s="713"/>
      <c r="H844" s="713"/>
      <c r="I844" s="344"/>
    </row>
    <row r="845" spans="2:9" ht="15" customHeight="1" x14ac:dyDescent="0.2">
      <c r="B845" s="712" t="s">
        <v>44</v>
      </c>
      <c r="C845" s="712"/>
      <c r="D845" s="712"/>
      <c r="E845" s="712"/>
      <c r="F845" s="712"/>
      <c r="G845" s="712"/>
      <c r="H845" s="712"/>
      <c r="I845" s="712"/>
    </row>
    <row r="846" spans="2:9" ht="15" customHeight="1" x14ac:dyDescent="0.2">
      <c r="B846" s="362" t="s">
        <v>33</v>
      </c>
      <c r="C846" s="357" t="s">
        <v>5</v>
      </c>
      <c r="D846" s="24" t="s">
        <v>6</v>
      </c>
      <c r="E846" s="25"/>
      <c r="F846" s="25"/>
      <c r="G846" s="25"/>
      <c r="H846" s="24" t="s">
        <v>45</v>
      </c>
      <c r="I846" s="36" t="s">
        <v>39</v>
      </c>
    </row>
    <row r="847" spans="2:9" ht="15" customHeight="1" x14ac:dyDescent="0.2">
      <c r="B847" s="35"/>
      <c r="C847" s="28"/>
      <c r="D847" s="29"/>
      <c r="E847" s="21"/>
      <c r="F847" s="21"/>
      <c r="G847" s="21"/>
      <c r="H847" s="20"/>
      <c r="I847" s="30"/>
    </row>
    <row r="848" spans="2:9" ht="15" customHeight="1" x14ac:dyDescent="0.2">
      <c r="B848" s="713" t="s">
        <v>43</v>
      </c>
      <c r="C848" s="713"/>
      <c r="D848" s="713"/>
      <c r="E848" s="713"/>
      <c r="F848" s="713"/>
      <c r="G848" s="713"/>
      <c r="H848" s="713"/>
      <c r="I848" s="30"/>
    </row>
    <row r="849" spans="2:9" ht="15" customHeight="1" x14ac:dyDescent="0.2">
      <c r="B849" s="712" t="s">
        <v>46</v>
      </c>
      <c r="C849" s="712"/>
      <c r="D849" s="712"/>
      <c r="E849" s="712"/>
      <c r="F849" s="712"/>
      <c r="G849" s="712"/>
      <c r="H849" s="712"/>
      <c r="I849" s="712"/>
    </row>
    <row r="850" spans="2:9" ht="15" customHeight="1" x14ac:dyDescent="0.2">
      <c r="B850" s="348" t="s">
        <v>33</v>
      </c>
      <c r="C850" s="356" t="s">
        <v>5</v>
      </c>
      <c r="D850" s="20" t="s">
        <v>6</v>
      </c>
      <c r="E850" s="21"/>
      <c r="F850" s="21"/>
      <c r="G850" s="21"/>
      <c r="H850" s="20" t="s">
        <v>45</v>
      </c>
      <c r="I850" s="36" t="s">
        <v>39</v>
      </c>
    </row>
    <row r="851" spans="2:9" ht="15" customHeight="1" x14ac:dyDescent="0.2">
      <c r="B851" s="328"/>
      <c r="C851" s="20"/>
      <c r="D851" s="20"/>
      <c r="E851" s="21"/>
      <c r="F851" s="21"/>
      <c r="G851" s="21"/>
      <c r="H851" s="20"/>
      <c r="I851" s="30"/>
    </row>
    <row r="852" spans="2:9" ht="15" customHeight="1" x14ac:dyDescent="0.2">
      <c r="B852" s="713" t="s">
        <v>43</v>
      </c>
      <c r="C852" s="713"/>
      <c r="D852" s="713"/>
      <c r="E852" s="713"/>
      <c r="F852" s="713"/>
      <c r="G852" s="713"/>
      <c r="H852" s="713"/>
      <c r="I852" s="30"/>
    </row>
    <row r="853" spans="2:9" ht="15" customHeight="1" x14ac:dyDescent="0.2">
      <c r="B853" s="712" t="s">
        <v>47</v>
      </c>
      <c r="C853" s="712"/>
      <c r="D853" s="712"/>
      <c r="E853" s="712"/>
      <c r="F853" s="712"/>
      <c r="G853" s="712"/>
      <c r="H853" s="712"/>
      <c r="I853" s="712"/>
    </row>
    <row r="854" spans="2:9" ht="15" customHeight="1" x14ac:dyDescent="0.2">
      <c r="B854" s="362" t="s">
        <v>33</v>
      </c>
      <c r="C854" s="357" t="s">
        <v>5</v>
      </c>
      <c r="D854" s="363" t="s">
        <v>6</v>
      </c>
      <c r="E854" s="25"/>
      <c r="F854" s="25"/>
      <c r="G854" s="25"/>
      <c r="H854" s="24" t="s">
        <v>45</v>
      </c>
      <c r="I854" s="36" t="s">
        <v>39</v>
      </c>
    </row>
    <row r="855" spans="2:9" ht="15" customHeight="1" x14ac:dyDescent="0.2">
      <c r="B855" s="35" t="s">
        <v>48</v>
      </c>
      <c r="C855" s="27" t="s">
        <v>41</v>
      </c>
      <c r="D855" s="582">
        <v>1.7</v>
      </c>
      <c r="E855" s="21"/>
      <c r="F855" s="21"/>
      <c r="G855" s="21"/>
      <c r="H855" s="582">
        <f>INSUMOS!E13</f>
        <v>7.81</v>
      </c>
      <c r="I855" s="583">
        <f>H855*D855</f>
        <v>13.28</v>
      </c>
    </row>
    <row r="856" spans="2:9" ht="15" customHeight="1" x14ac:dyDescent="0.2">
      <c r="B856" s="713" t="s">
        <v>43</v>
      </c>
      <c r="C856" s="713"/>
      <c r="D856" s="713"/>
      <c r="E856" s="713"/>
      <c r="F856" s="713"/>
      <c r="G856" s="713"/>
      <c r="H856" s="713"/>
      <c r="I856" s="584">
        <f>SUM(I855:I855)</f>
        <v>13.28</v>
      </c>
    </row>
    <row r="857" spans="2:9" ht="15" customHeight="1" x14ac:dyDescent="0.2">
      <c r="B857" s="355" t="s">
        <v>49</v>
      </c>
      <c r="C857" s="277">
        <v>1</v>
      </c>
      <c r="D857" s="709" t="s">
        <v>50</v>
      </c>
      <c r="E857" s="710"/>
      <c r="F857" s="710"/>
      <c r="G857" s="710"/>
      <c r="H857" s="711"/>
      <c r="I857" s="584">
        <f>I844+I848+I852+I856</f>
        <v>13.28</v>
      </c>
    </row>
    <row r="858" spans="2:9" ht="15" customHeight="1" x14ac:dyDescent="0.2">
      <c r="B858" s="725"/>
      <c r="C858" s="726"/>
      <c r="D858" s="726"/>
      <c r="E858" s="726"/>
      <c r="F858" s="726"/>
      <c r="G858" s="726"/>
      <c r="H858" s="727"/>
      <c r="I858" s="584">
        <f>I857/C857</f>
        <v>13.28</v>
      </c>
    </row>
    <row r="859" spans="2:9" ht="15" customHeight="1" x14ac:dyDescent="0.2">
      <c r="B859" s="351" t="s">
        <v>135</v>
      </c>
      <c r="C859" s="520">
        <f>BDI!C$36</f>
        <v>25</v>
      </c>
      <c r="D859" s="352" t="s">
        <v>103</v>
      </c>
      <c r="E859" s="353"/>
      <c r="F859" s="353"/>
      <c r="G859" s="353"/>
      <c r="H859" s="354"/>
      <c r="I859" s="583">
        <f>C859/100*I858</f>
        <v>3.32</v>
      </c>
    </row>
    <row r="860" spans="2:9" ht="15" customHeight="1" thickBot="1" x14ac:dyDescent="0.25">
      <c r="B860" s="708" t="s">
        <v>51</v>
      </c>
      <c r="C860" s="708"/>
      <c r="D860" s="708"/>
      <c r="E860" s="708"/>
      <c r="F860" s="708"/>
      <c r="G860" s="708"/>
      <c r="H860" s="708"/>
      <c r="I860" s="549">
        <f>SUM(I858:I859)</f>
        <v>16.600000000000001</v>
      </c>
    </row>
    <row r="861" spans="2:9" ht="15" customHeight="1" thickBot="1" x14ac:dyDescent="0.25">
      <c r="B861" s="461"/>
      <c r="C861" s="461"/>
      <c r="D861" s="461"/>
      <c r="E861" s="461"/>
      <c r="F861" s="461"/>
      <c r="G861" s="461"/>
      <c r="H861" s="461"/>
      <c r="I861" s="429"/>
    </row>
    <row r="862" spans="2:9" ht="15" customHeight="1" x14ac:dyDescent="0.2">
      <c r="B862" s="577" t="s">
        <v>361</v>
      </c>
      <c r="C862" s="578" t="s">
        <v>592</v>
      </c>
      <c r="D862" s="760" t="s">
        <v>30</v>
      </c>
      <c r="E862" s="761"/>
      <c r="F862" s="761"/>
      <c r="G862" s="761"/>
      <c r="H862" s="761"/>
      <c r="I862" s="762"/>
    </row>
    <row r="863" spans="2:9" ht="15" customHeight="1" x14ac:dyDescent="0.2">
      <c r="B863" s="718" t="s">
        <v>134</v>
      </c>
      <c r="C863" s="719"/>
      <c r="D863" s="719"/>
      <c r="E863" s="719"/>
      <c r="F863" s="719"/>
      <c r="G863" s="720"/>
      <c r="H863" s="715" t="s">
        <v>572</v>
      </c>
      <c r="I863" s="716"/>
    </row>
    <row r="864" spans="2:9" ht="15" customHeight="1" x14ac:dyDescent="0.2">
      <c r="B864" s="792" t="s">
        <v>337</v>
      </c>
      <c r="C864" s="793"/>
      <c r="D864" s="793"/>
      <c r="E864" s="793"/>
      <c r="F864" s="793"/>
      <c r="G864" s="794"/>
      <c r="H864" s="12" t="s">
        <v>31</v>
      </c>
      <c r="I864" s="214" t="s">
        <v>19</v>
      </c>
    </row>
    <row r="865" spans="2:9" ht="15" customHeight="1" x14ac:dyDescent="0.2">
      <c r="B865" s="798" t="s">
        <v>32</v>
      </c>
      <c r="C865" s="799"/>
      <c r="D865" s="799"/>
      <c r="E865" s="799"/>
      <c r="F865" s="799"/>
      <c r="G865" s="799"/>
      <c r="H865" s="799"/>
      <c r="I865" s="800"/>
    </row>
    <row r="866" spans="2:9" ht="15" customHeight="1" x14ac:dyDescent="0.2">
      <c r="B866" s="215" t="s">
        <v>33</v>
      </c>
      <c r="C866" s="216" t="s">
        <v>5</v>
      </c>
      <c r="D866" s="217" t="s">
        <v>6</v>
      </c>
      <c r="E866" s="218" t="s">
        <v>35</v>
      </c>
      <c r="F866" s="218" t="s">
        <v>36</v>
      </c>
      <c r="G866" s="218" t="s">
        <v>37</v>
      </c>
      <c r="H866" s="218" t="s">
        <v>38</v>
      </c>
      <c r="I866" s="219" t="s">
        <v>39</v>
      </c>
    </row>
    <row r="867" spans="2:9" ht="15" customHeight="1" x14ac:dyDescent="0.2">
      <c r="B867" s="328"/>
      <c r="C867" s="34"/>
      <c r="D867" s="394"/>
      <c r="E867" s="24"/>
      <c r="F867" s="24"/>
      <c r="G867" s="24"/>
      <c r="H867" s="24"/>
      <c r="I867" s="36">
        <f>H867*D867</f>
        <v>0</v>
      </c>
    </row>
    <row r="868" spans="2:9" ht="15" customHeight="1" x14ac:dyDescent="0.2">
      <c r="B868" s="801" t="s">
        <v>43</v>
      </c>
      <c r="C868" s="802"/>
      <c r="D868" s="802"/>
      <c r="E868" s="802"/>
      <c r="F868" s="802"/>
      <c r="G868" s="802"/>
      <c r="H868" s="803"/>
      <c r="I868" s="344">
        <f>SUM(I867:I867)</f>
        <v>0</v>
      </c>
    </row>
    <row r="869" spans="2:9" ht="15" customHeight="1" x14ac:dyDescent="0.2">
      <c r="B869" s="798" t="s">
        <v>44</v>
      </c>
      <c r="C869" s="799"/>
      <c r="D869" s="799"/>
      <c r="E869" s="799"/>
      <c r="F869" s="799"/>
      <c r="G869" s="799"/>
      <c r="H869" s="799"/>
      <c r="I869" s="800"/>
    </row>
    <row r="870" spans="2:9" ht="15" customHeight="1" x14ac:dyDescent="0.2">
      <c r="B870" s="362" t="s">
        <v>33</v>
      </c>
      <c r="C870" s="357" t="s">
        <v>5</v>
      </c>
      <c r="D870" s="25" t="s">
        <v>6</v>
      </c>
      <c r="E870" s="25"/>
      <c r="F870" s="25"/>
      <c r="G870" s="25"/>
      <c r="H870" s="24" t="s">
        <v>45</v>
      </c>
      <c r="I870" s="36" t="s">
        <v>39</v>
      </c>
    </row>
    <row r="871" spans="2:9" ht="15" customHeight="1" x14ac:dyDescent="0.2">
      <c r="B871" s="328" t="s">
        <v>238</v>
      </c>
      <c r="C871" s="28" t="s">
        <v>53</v>
      </c>
      <c r="D871" s="622">
        <v>0.05</v>
      </c>
      <c r="E871" s="21"/>
      <c r="F871" s="21"/>
      <c r="G871" s="21"/>
      <c r="H871" s="582">
        <f>INSUMOS!E53</f>
        <v>17.2</v>
      </c>
      <c r="I871" s="583">
        <f>H871*D871</f>
        <v>0.86</v>
      </c>
    </row>
    <row r="872" spans="2:9" ht="15" customHeight="1" x14ac:dyDescent="0.2">
      <c r="B872" s="328" t="s">
        <v>244</v>
      </c>
      <c r="C872" s="28" t="s">
        <v>19</v>
      </c>
      <c r="D872" s="622">
        <v>1</v>
      </c>
      <c r="E872" s="21"/>
      <c r="F872" s="21"/>
      <c r="G872" s="21"/>
      <c r="H872" s="582">
        <f>INSUMOS!E32</f>
        <v>5.64</v>
      </c>
      <c r="I872" s="583">
        <f>H872*D872</f>
        <v>5.64</v>
      </c>
    </row>
    <row r="873" spans="2:9" ht="15" customHeight="1" x14ac:dyDescent="0.2">
      <c r="B873" s="35" t="s">
        <v>245</v>
      </c>
      <c r="C873" s="28" t="s">
        <v>11</v>
      </c>
      <c r="D873" s="622">
        <v>0.02</v>
      </c>
      <c r="E873" s="21"/>
      <c r="F873" s="21"/>
      <c r="G873" s="21"/>
      <c r="H873" s="582">
        <f>INSUMOS!E33</f>
        <v>46.97</v>
      </c>
      <c r="I873" s="583">
        <f>H873*D873</f>
        <v>0.94</v>
      </c>
    </row>
    <row r="874" spans="2:9" ht="15" customHeight="1" x14ac:dyDescent="0.2">
      <c r="B874" s="801" t="s">
        <v>43</v>
      </c>
      <c r="C874" s="802"/>
      <c r="D874" s="802"/>
      <c r="E874" s="802"/>
      <c r="F874" s="802"/>
      <c r="G874" s="802"/>
      <c r="H874" s="803"/>
      <c r="I874" s="583">
        <f>SUM(I871:I873)</f>
        <v>7.44</v>
      </c>
    </row>
    <row r="875" spans="2:9" ht="15" customHeight="1" x14ac:dyDescent="0.2">
      <c r="B875" s="798" t="s">
        <v>46</v>
      </c>
      <c r="C875" s="799"/>
      <c r="D875" s="799"/>
      <c r="E875" s="799"/>
      <c r="F875" s="799"/>
      <c r="G875" s="799"/>
      <c r="H875" s="799"/>
      <c r="I875" s="800"/>
    </row>
    <row r="876" spans="2:9" ht="15" customHeight="1" x14ac:dyDescent="0.2">
      <c r="B876" s="348" t="s">
        <v>33</v>
      </c>
      <c r="C876" s="356" t="s">
        <v>5</v>
      </c>
      <c r="D876" s="21" t="s">
        <v>6</v>
      </c>
      <c r="E876" s="21"/>
      <c r="F876" s="21"/>
      <c r="G876" s="21"/>
      <c r="H876" s="20" t="s">
        <v>45</v>
      </c>
      <c r="I876" s="36" t="s">
        <v>39</v>
      </c>
    </row>
    <row r="877" spans="2:9" ht="15" customHeight="1" x14ac:dyDescent="0.2">
      <c r="B877" s="35" t="s">
        <v>246</v>
      </c>
      <c r="C877" s="28" t="s">
        <v>19</v>
      </c>
      <c r="D877" s="622">
        <v>1</v>
      </c>
      <c r="E877" s="21"/>
      <c r="F877" s="21"/>
      <c r="G877" s="21"/>
      <c r="H877" s="582">
        <f>I1359</f>
        <v>0.03</v>
      </c>
      <c r="I877" s="583">
        <f>D877*H877</f>
        <v>0.03</v>
      </c>
    </row>
    <row r="878" spans="2:9" ht="15" customHeight="1" x14ac:dyDescent="0.2">
      <c r="B878" s="801" t="s">
        <v>43</v>
      </c>
      <c r="C878" s="802"/>
      <c r="D878" s="802"/>
      <c r="E878" s="802"/>
      <c r="F878" s="802"/>
      <c r="G878" s="802"/>
      <c r="H878" s="803"/>
      <c r="I878" s="583">
        <f>SUM(I877:I877)</f>
        <v>0.03</v>
      </c>
    </row>
    <row r="879" spans="2:9" ht="15" customHeight="1" x14ac:dyDescent="0.2">
      <c r="B879" s="798" t="s">
        <v>47</v>
      </c>
      <c r="C879" s="799"/>
      <c r="D879" s="799"/>
      <c r="E879" s="799"/>
      <c r="F879" s="799"/>
      <c r="G879" s="799"/>
      <c r="H879" s="799"/>
      <c r="I879" s="800"/>
    </row>
    <row r="880" spans="2:9" ht="15" customHeight="1" x14ac:dyDescent="0.2">
      <c r="B880" s="362" t="s">
        <v>33</v>
      </c>
      <c r="C880" s="357" t="s">
        <v>5</v>
      </c>
      <c r="D880" s="395" t="s">
        <v>6</v>
      </c>
      <c r="E880" s="25"/>
      <c r="F880" s="25"/>
      <c r="G880" s="25"/>
      <c r="H880" s="24" t="s">
        <v>45</v>
      </c>
      <c r="I880" s="36" t="s">
        <v>39</v>
      </c>
    </row>
    <row r="881" spans="2:9" ht="15" customHeight="1" x14ac:dyDescent="0.2">
      <c r="B881" s="35" t="s">
        <v>48</v>
      </c>
      <c r="C881" s="27" t="s">
        <v>41</v>
      </c>
      <c r="D881" s="582">
        <v>0.1</v>
      </c>
      <c r="E881" s="25"/>
      <c r="F881" s="25"/>
      <c r="G881" s="25"/>
      <c r="H881" s="582">
        <f>INSUMOS!E13</f>
        <v>7.81</v>
      </c>
      <c r="I881" s="583">
        <f>H881*D881</f>
        <v>0.78</v>
      </c>
    </row>
    <row r="882" spans="2:9" ht="15" customHeight="1" x14ac:dyDescent="0.2">
      <c r="B882" s="207" t="s">
        <v>70</v>
      </c>
      <c r="C882" s="27" t="s">
        <v>41</v>
      </c>
      <c r="D882" s="582">
        <v>0.1</v>
      </c>
      <c r="E882" s="25"/>
      <c r="F882" s="25"/>
      <c r="G882" s="25"/>
      <c r="H882" s="582">
        <f>INSUMOS!E21</f>
        <v>10.37</v>
      </c>
      <c r="I882" s="583">
        <f>H882*D882</f>
        <v>1.04</v>
      </c>
    </row>
    <row r="883" spans="2:9" ht="15" customHeight="1" x14ac:dyDescent="0.2">
      <c r="B883" s="801" t="s">
        <v>43</v>
      </c>
      <c r="C883" s="802"/>
      <c r="D883" s="802"/>
      <c r="E883" s="802"/>
      <c r="F883" s="802"/>
      <c r="G883" s="802"/>
      <c r="H883" s="803"/>
      <c r="I883" s="584">
        <f>SUM(I881:I882)</f>
        <v>1.82</v>
      </c>
    </row>
    <row r="884" spans="2:9" ht="15" customHeight="1" x14ac:dyDescent="0.2">
      <c r="B884" s="350" t="s">
        <v>49</v>
      </c>
      <c r="C884" s="20">
        <v>1</v>
      </c>
      <c r="D884" s="835" t="s">
        <v>50</v>
      </c>
      <c r="E884" s="802"/>
      <c r="F884" s="802"/>
      <c r="G884" s="802"/>
      <c r="H884" s="803"/>
      <c r="I884" s="599">
        <f>I883+I878+I874+I868</f>
        <v>9.2899999999999991</v>
      </c>
    </row>
    <row r="885" spans="2:9" ht="15" customHeight="1" x14ac:dyDescent="0.2">
      <c r="B885" s="351"/>
      <c r="C885" s="396"/>
      <c r="D885" s="397"/>
      <c r="E885" s="397"/>
      <c r="F885" s="397"/>
      <c r="G885" s="397"/>
      <c r="H885" s="196"/>
      <c r="I885" s="599">
        <f>I884/C884</f>
        <v>9.2899999999999991</v>
      </c>
    </row>
    <row r="886" spans="2:9" ht="15" customHeight="1" x14ac:dyDescent="0.2">
      <c r="B886" s="351" t="s">
        <v>242</v>
      </c>
      <c r="C886" s="520">
        <f>BDI!C$36</f>
        <v>25</v>
      </c>
      <c r="D886" s="353" t="s">
        <v>103</v>
      </c>
      <c r="E886" s="353"/>
      <c r="F886" s="353"/>
      <c r="G886" s="353"/>
      <c r="H886" s="354"/>
      <c r="I886" s="583">
        <f>C886/100*I885</f>
        <v>2.3199999999999998</v>
      </c>
    </row>
    <row r="887" spans="2:9" ht="15" customHeight="1" thickBot="1" x14ac:dyDescent="0.25">
      <c r="B887" s="836" t="s">
        <v>51</v>
      </c>
      <c r="C887" s="805"/>
      <c r="D887" s="837"/>
      <c r="E887" s="837"/>
      <c r="F887" s="837"/>
      <c r="G887" s="837"/>
      <c r="H887" s="838"/>
      <c r="I887" s="549">
        <f>I885+I886</f>
        <v>11.61</v>
      </c>
    </row>
    <row r="888" spans="2:9" ht="15" customHeight="1" thickBot="1" x14ac:dyDescent="0.25">
      <c r="B888" s="461"/>
      <c r="C888" s="461"/>
      <c r="D888" s="461"/>
      <c r="E888" s="461"/>
      <c r="F888" s="461"/>
      <c r="G888" s="461"/>
      <c r="H888" s="461"/>
      <c r="I888" s="429"/>
    </row>
    <row r="889" spans="2:9" ht="15" customHeight="1" x14ac:dyDescent="0.2">
      <c r="B889" s="577" t="s">
        <v>361</v>
      </c>
      <c r="C889" s="578" t="s">
        <v>595</v>
      </c>
      <c r="D889" s="760" t="s">
        <v>30</v>
      </c>
      <c r="E889" s="761"/>
      <c r="F889" s="761"/>
      <c r="G889" s="761"/>
      <c r="H889" s="761"/>
      <c r="I889" s="762"/>
    </row>
    <row r="890" spans="2:9" ht="15" customHeight="1" x14ac:dyDescent="0.2">
      <c r="B890" s="718" t="s">
        <v>134</v>
      </c>
      <c r="C890" s="719"/>
      <c r="D890" s="719"/>
      <c r="E890" s="719"/>
      <c r="F890" s="719"/>
      <c r="G890" s="720"/>
      <c r="H890" s="715" t="s">
        <v>572</v>
      </c>
      <c r="I890" s="716"/>
    </row>
    <row r="891" spans="2:9" ht="30.75" customHeight="1" x14ac:dyDescent="0.2">
      <c r="B891" s="763" t="s">
        <v>338</v>
      </c>
      <c r="C891" s="764"/>
      <c r="D891" s="764"/>
      <c r="E891" s="764"/>
      <c r="F891" s="764"/>
      <c r="G891" s="765"/>
      <c r="H891" s="12" t="s">
        <v>31</v>
      </c>
      <c r="I891" s="208" t="s">
        <v>143</v>
      </c>
    </row>
    <row r="892" spans="2:9" ht="15" customHeight="1" x14ac:dyDescent="0.2">
      <c r="B892" s="712" t="s">
        <v>32</v>
      </c>
      <c r="C892" s="712"/>
      <c r="D892" s="712"/>
      <c r="E892" s="712"/>
      <c r="F892" s="712"/>
      <c r="G892" s="712"/>
      <c r="H892" s="712"/>
      <c r="I892" s="712"/>
    </row>
    <row r="893" spans="2:9" ht="23.25" customHeight="1" x14ac:dyDescent="0.2">
      <c r="B893" s="13" t="s">
        <v>33</v>
      </c>
      <c r="C893" s="62" t="s">
        <v>5</v>
      </c>
      <c r="D893" s="14" t="s">
        <v>6</v>
      </c>
      <c r="E893" s="14" t="s">
        <v>35</v>
      </c>
      <c r="F893" s="14" t="s">
        <v>36</v>
      </c>
      <c r="G893" s="14" t="s">
        <v>37</v>
      </c>
      <c r="H893" s="14" t="s">
        <v>38</v>
      </c>
      <c r="I893" s="209" t="s">
        <v>39</v>
      </c>
    </row>
    <row r="894" spans="2:9" ht="15" customHeight="1" x14ac:dyDescent="0.2">
      <c r="B894" s="328"/>
      <c r="C894" s="34"/>
      <c r="D894" s="54"/>
      <c r="E894" s="24"/>
      <c r="F894" s="24"/>
      <c r="G894" s="24"/>
      <c r="H894" s="24"/>
      <c r="I894" s="36"/>
    </row>
    <row r="895" spans="2:9" ht="15" customHeight="1" x14ac:dyDescent="0.2">
      <c r="B895" s="713" t="s">
        <v>43</v>
      </c>
      <c r="C895" s="713"/>
      <c r="D895" s="713"/>
      <c r="E895" s="713"/>
      <c r="F895" s="713"/>
      <c r="G895" s="713"/>
      <c r="H895" s="713"/>
      <c r="I895" s="344"/>
    </row>
    <row r="896" spans="2:9" ht="15" customHeight="1" x14ac:dyDescent="0.2">
      <c r="B896" s="712" t="s">
        <v>44</v>
      </c>
      <c r="C896" s="712"/>
      <c r="D896" s="712"/>
      <c r="E896" s="712"/>
      <c r="F896" s="712"/>
      <c r="G896" s="712"/>
      <c r="H896" s="712"/>
      <c r="I896" s="712"/>
    </row>
    <row r="897" spans="2:9" ht="15" customHeight="1" x14ac:dyDescent="0.2">
      <c r="B897" s="362" t="s">
        <v>33</v>
      </c>
      <c r="C897" s="361" t="s">
        <v>5</v>
      </c>
      <c r="D897" s="24" t="s">
        <v>6</v>
      </c>
      <c r="E897" s="25"/>
      <c r="F897" s="25"/>
      <c r="G897" s="25"/>
      <c r="H897" s="24" t="s">
        <v>45</v>
      </c>
      <c r="I897" s="36" t="s">
        <v>39</v>
      </c>
    </row>
    <row r="898" spans="2:9" ht="15" customHeight="1" x14ac:dyDescent="0.2">
      <c r="B898" s="328" t="s">
        <v>219</v>
      </c>
      <c r="C898" s="59" t="s">
        <v>143</v>
      </c>
      <c r="D898" s="586">
        <v>1</v>
      </c>
      <c r="E898" s="21"/>
      <c r="F898" s="21"/>
      <c r="G898" s="21"/>
      <c r="H898" s="582">
        <f>INSUMOS!E63</f>
        <v>1536.44</v>
      </c>
      <c r="I898" s="583">
        <f>H898*D898</f>
        <v>1536.44</v>
      </c>
    </row>
    <row r="899" spans="2:9" ht="24.75" customHeight="1" x14ac:dyDescent="0.2">
      <c r="B899" s="210" t="s">
        <v>227</v>
      </c>
      <c r="C899" s="20" t="s">
        <v>143</v>
      </c>
      <c r="D899" s="586">
        <v>1</v>
      </c>
      <c r="E899" s="21"/>
      <c r="F899" s="21"/>
      <c r="G899" s="21"/>
      <c r="H899" s="582">
        <f>INSUMOS!E51</f>
        <v>15.58</v>
      </c>
      <c r="I899" s="583">
        <f t="shared" ref="I899:I905" si="3">H899*D899</f>
        <v>15.58</v>
      </c>
    </row>
    <row r="900" spans="2:9" ht="22.5" customHeight="1" x14ac:dyDescent="0.2">
      <c r="B900" s="210" t="s">
        <v>228</v>
      </c>
      <c r="C900" s="20" t="s">
        <v>143</v>
      </c>
      <c r="D900" s="586">
        <v>3</v>
      </c>
      <c r="E900" s="21"/>
      <c r="F900" s="21"/>
      <c r="G900" s="21"/>
      <c r="H900" s="582">
        <f>INSUMOS!E98</f>
        <v>11.2</v>
      </c>
      <c r="I900" s="583">
        <f t="shared" si="3"/>
        <v>33.6</v>
      </c>
    </row>
    <row r="901" spans="2:9" ht="27.75" customHeight="1" x14ac:dyDescent="0.2">
      <c r="B901" s="210" t="s">
        <v>229</v>
      </c>
      <c r="C901" s="20" t="s">
        <v>143</v>
      </c>
      <c r="D901" s="586">
        <v>1</v>
      </c>
      <c r="E901" s="21"/>
      <c r="F901" s="21"/>
      <c r="G901" s="21"/>
      <c r="H901" s="582">
        <f>INSUMOS!E99</f>
        <v>30.99</v>
      </c>
      <c r="I901" s="583">
        <f t="shared" si="3"/>
        <v>30.99</v>
      </c>
    </row>
    <row r="902" spans="2:9" ht="15" customHeight="1" x14ac:dyDescent="0.2">
      <c r="B902" s="210" t="s">
        <v>230</v>
      </c>
      <c r="C902" s="20" t="s">
        <v>143</v>
      </c>
      <c r="D902" s="586">
        <v>1</v>
      </c>
      <c r="E902" s="21"/>
      <c r="F902" s="21"/>
      <c r="G902" s="21"/>
      <c r="H902" s="582">
        <f>INSUMOS!E100</f>
        <v>12.24</v>
      </c>
      <c r="I902" s="583">
        <f t="shared" si="3"/>
        <v>12.24</v>
      </c>
    </row>
    <row r="903" spans="2:9" ht="15" customHeight="1" x14ac:dyDescent="0.2">
      <c r="B903" s="210" t="s">
        <v>231</v>
      </c>
      <c r="C903" s="20" t="s">
        <v>143</v>
      </c>
      <c r="D903" s="586">
        <v>1</v>
      </c>
      <c r="E903" s="21"/>
      <c r="F903" s="21"/>
      <c r="G903" s="21"/>
      <c r="H903" s="582">
        <f>INSUMOS!E101</f>
        <v>7.54</v>
      </c>
      <c r="I903" s="583">
        <f t="shared" si="3"/>
        <v>7.54</v>
      </c>
    </row>
    <row r="904" spans="2:9" ht="27" customHeight="1" x14ac:dyDescent="0.2">
      <c r="B904" s="210" t="s">
        <v>232</v>
      </c>
      <c r="C904" s="20" t="s">
        <v>143</v>
      </c>
      <c r="D904" s="586">
        <v>1</v>
      </c>
      <c r="E904" s="21"/>
      <c r="F904" s="21"/>
      <c r="G904" s="21"/>
      <c r="H904" s="582">
        <f>INSUMOS!E102</f>
        <v>16.75</v>
      </c>
      <c r="I904" s="583">
        <f t="shared" si="3"/>
        <v>16.75</v>
      </c>
    </row>
    <row r="905" spans="2:9" ht="15" customHeight="1" x14ac:dyDescent="0.2">
      <c r="B905" s="35" t="s">
        <v>84</v>
      </c>
      <c r="C905" s="20" t="s">
        <v>143</v>
      </c>
      <c r="D905" s="586">
        <v>2</v>
      </c>
      <c r="E905" s="21"/>
      <c r="F905" s="21"/>
      <c r="G905" s="21"/>
      <c r="H905" s="582">
        <f>INSUMOS!E50</f>
        <v>16.55</v>
      </c>
      <c r="I905" s="583">
        <f t="shared" si="3"/>
        <v>33.1</v>
      </c>
    </row>
    <row r="906" spans="2:9" ht="15" customHeight="1" x14ac:dyDescent="0.2">
      <c r="B906" s="210" t="s">
        <v>233</v>
      </c>
      <c r="C906" s="20" t="s">
        <v>19</v>
      </c>
      <c r="D906" s="586">
        <v>4</v>
      </c>
      <c r="E906" s="21"/>
      <c r="F906" s="21"/>
      <c r="G906" s="21"/>
      <c r="H906" s="582">
        <f>INSUMOS!E32</f>
        <v>5.64</v>
      </c>
      <c r="I906" s="583">
        <f>H906*D906</f>
        <v>22.56</v>
      </c>
    </row>
    <row r="907" spans="2:9" ht="15" customHeight="1" x14ac:dyDescent="0.2">
      <c r="B907" s="756" t="s">
        <v>43</v>
      </c>
      <c r="C907" s="756"/>
      <c r="D907" s="756"/>
      <c r="E907" s="756"/>
      <c r="F907" s="756"/>
      <c r="G907" s="756"/>
      <c r="H907" s="756"/>
      <c r="I907" s="583">
        <f>SUM(I898:I906)</f>
        <v>1708.8</v>
      </c>
    </row>
    <row r="908" spans="2:9" ht="15" customHeight="1" x14ac:dyDescent="0.2">
      <c r="B908" s="712" t="s">
        <v>46</v>
      </c>
      <c r="C908" s="712"/>
      <c r="D908" s="712"/>
      <c r="E908" s="712"/>
      <c r="F908" s="712"/>
      <c r="G908" s="712"/>
      <c r="H908" s="712"/>
      <c r="I908" s="712"/>
    </row>
    <row r="909" spans="2:9" ht="15" customHeight="1" x14ac:dyDescent="0.2">
      <c r="B909" s="17" t="s">
        <v>33</v>
      </c>
      <c r="C909" s="26" t="s">
        <v>5</v>
      </c>
      <c r="D909" s="18" t="s">
        <v>6</v>
      </c>
      <c r="E909" s="198"/>
      <c r="F909" s="198"/>
      <c r="G909" s="198"/>
      <c r="H909" s="18" t="s">
        <v>45</v>
      </c>
      <c r="I909" s="36" t="s">
        <v>39</v>
      </c>
    </row>
    <row r="910" spans="2:9" ht="15" customHeight="1" x14ac:dyDescent="0.2">
      <c r="B910" s="328"/>
      <c r="C910" s="20"/>
      <c r="D910" s="20"/>
      <c r="E910" s="21"/>
      <c r="F910" s="21"/>
      <c r="G910" s="21"/>
      <c r="H910" s="20"/>
      <c r="I910" s="30"/>
    </row>
    <row r="911" spans="2:9" ht="15" customHeight="1" x14ac:dyDescent="0.2">
      <c r="B911" s="713" t="s">
        <v>43</v>
      </c>
      <c r="C911" s="713"/>
      <c r="D911" s="713"/>
      <c r="E911" s="713"/>
      <c r="F911" s="713"/>
      <c r="G911" s="713"/>
      <c r="H911" s="713"/>
      <c r="I911" s="30"/>
    </row>
    <row r="912" spans="2:9" ht="15" customHeight="1" x14ac:dyDescent="0.2">
      <c r="B912" s="712" t="s">
        <v>47</v>
      </c>
      <c r="C912" s="712"/>
      <c r="D912" s="712"/>
      <c r="E912" s="712"/>
      <c r="F912" s="712"/>
      <c r="G912" s="712"/>
      <c r="H912" s="712"/>
      <c r="I912" s="712"/>
    </row>
    <row r="913" spans="2:9" ht="15" customHeight="1" x14ac:dyDescent="0.2">
      <c r="B913" s="362" t="s">
        <v>33</v>
      </c>
      <c r="C913" s="361" t="s">
        <v>5</v>
      </c>
      <c r="D913" s="363" t="s">
        <v>6</v>
      </c>
      <c r="E913" s="25"/>
      <c r="F913" s="25"/>
      <c r="G913" s="25"/>
      <c r="H913" s="24" t="s">
        <v>45</v>
      </c>
      <c r="I913" s="36" t="s">
        <v>39</v>
      </c>
    </row>
    <row r="914" spans="2:9" ht="15" customHeight="1" x14ac:dyDescent="0.2">
      <c r="B914" s="35" t="s">
        <v>48</v>
      </c>
      <c r="C914" s="27" t="s">
        <v>41</v>
      </c>
      <c r="D914" s="582">
        <v>5</v>
      </c>
      <c r="E914" s="21"/>
      <c r="F914" s="21"/>
      <c r="G914" s="21"/>
      <c r="H914" s="582">
        <f>INSUMOS!E13</f>
        <v>7.81</v>
      </c>
      <c r="I914" s="583">
        <f>H914*D914</f>
        <v>39.049999999999997</v>
      </c>
    </row>
    <row r="915" spans="2:9" ht="15" customHeight="1" x14ac:dyDescent="0.2">
      <c r="B915" s="207" t="s">
        <v>70</v>
      </c>
      <c r="C915" s="27" t="s">
        <v>41</v>
      </c>
      <c r="D915" s="582">
        <v>5</v>
      </c>
      <c r="E915" s="21"/>
      <c r="F915" s="21"/>
      <c r="G915" s="21"/>
      <c r="H915" s="582">
        <f>INSUMOS!E21</f>
        <v>10.37</v>
      </c>
      <c r="I915" s="583">
        <f>H915*D915</f>
        <v>51.85</v>
      </c>
    </row>
    <row r="916" spans="2:9" ht="15" customHeight="1" x14ac:dyDescent="0.2">
      <c r="B916" s="713" t="s">
        <v>43</v>
      </c>
      <c r="C916" s="713"/>
      <c r="D916" s="713"/>
      <c r="E916" s="713"/>
      <c r="F916" s="713"/>
      <c r="G916" s="713"/>
      <c r="H916" s="713"/>
      <c r="I916" s="584">
        <f>SUM(I914:I915)</f>
        <v>90.9</v>
      </c>
    </row>
    <row r="917" spans="2:9" ht="15" customHeight="1" x14ac:dyDescent="0.2">
      <c r="B917" s="355" t="s">
        <v>49</v>
      </c>
      <c r="C917" s="277">
        <v>1</v>
      </c>
      <c r="D917" s="709" t="s">
        <v>50</v>
      </c>
      <c r="E917" s="710"/>
      <c r="F917" s="710"/>
      <c r="G917" s="710"/>
      <c r="H917" s="711"/>
      <c r="I917" s="584">
        <f>I895+I907+I911+I916</f>
        <v>1799.7</v>
      </c>
    </row>
    <row r="918" spans="2:9" ht="15" customHeight="1" x14ac:dyDescent="0.2">
      <c r="B918" s="725"/>
      <c r="C918" s="726"/>
      <c r="D918" s="726"/>
      <c r="E918" s="726"/>
      <c r="F918" s="726"/>
      <c r="G918" s="726"/>
      <c r="H918" s="727"/>
      <c r="I918" s="584">
        <f>I917/C917</f>
        <v>1799.7</v>
      </c>
    </row>
    <row r="919" spans="2:9" ht="15" customHeight="1" x14ac:dyDescent="0.2">
      <c r="B919" s="351" t="s">
        <v>135</v>
      </c>
      <c r="C919" s="520">
        <f>BDI!C$36</f>
        <v>25</v>
      </c>
      <c r="D919" s="352" t="s">
        <v>103</v>
      </c>
      <c r="E919" s="353"/>
      <c r="F919" s="353"/>
      <c r="G919" s="353"/>
      <c r="H919" s="354"/>
      <c r="I919" s="583">
        <f>C919/100*I918</f>
        <v>449.93</v>
      </c>
    </row>
    <row r="920" spans="2:9" ht="15" customHeight="1" thickBot="1" x14ac:dyDescent="0.25">
      <c r="B920" s="708" t="s">
        <v>51</v>
      </c>
      <c r="C920" s="708"/>
      <c r="D920" s="708"/>
      <c r="E920" s="708"/>
      <c r="F920" s="708"/>
      <c r="G920" s="708"/>
      <c r="H920" s="708"/>
      <c r="I920" s="549">
        <f>SUM(I918:I919)</f>
        <v>2249.63</v>
      </c>
    </row>
    <row r="921" spans="2:9" ht="29.25" customHeight="1" x14ac:dyDescent="0.2">
      <c r="B921" s="577" t="s">
        <v>361</v>
      </c>
      <c r="C921" s="579" t="s">
        <v>596</v>
      </c>
      <c r="D921" s="714" t="s">
        <v>30</v>
      </c>
      <c r="E921" s="714"/>
      <c r="F921" s="714"/>
      <c r="G921" s="714"/>
      <c r="H921" s="714"/>
      <c r="I921" s="714"/>
    </row>
    <row r="922" spans="2:9" ht="15" customHeight="1" x14ac:dyDescent="0.2">
      <c r="B922" s="718" t="s">
        <v>134</v>
      </c>
      <c r="C922" s="719"/>
      <c r="D922" s="719"/>
      <c r="E922" s="719"/>
      <c r="F922" s="719"/>
      <c r="G922" s="720"/>
      <c r="H922" s="715" t="s">
        <v>572</v>
      </c>
      <c r="I922" s="716"/>
    </row>
    <row r="923" spans="2:9" ht="29.25" customHeight="1" x14ac:dyDescent="0.2">
      <c r="B923" s="766" t="s">
        <v>339</v>
      </c>
      <c r="C923" s="766"/>
      <c r="D923" s="766"/>
      <c r="E923" s="766"/>
      <c r="F923" s="766"/>
      <c r="G923" s="766"/>
      <c r="H923" s="12" t="s">
        <v>31</v>
      </c>
      <c r="I923" s="208" t="s">
        <v>19</v>
      </c>
    </row>
    <row r="924" spans="2:9" ht="15" customHeight="1" x14ac:dyDescent="0.2">
      <c r="B924" s="712" t="s">
        <v>32</v>
      </c>
      <c r="C924" s="712"/>
      <c r="D924" s="712"/>
      <c r="E924" s="712"/>
      <c r="F924" s="712"/>
      <c r="G924" s="712"/>
      <c r="H924" s="712"/>
      <c r="I924" s="712"/>
    </row>
    <row r="925" spans="2:9" ht="28.5" customHeight="1" x14ac:dyDescent="0.2">
      <c r="B925" s="13" t="s">
        <v>33</v>
      </c>
      <c r="C925" s="62" t="s">
        <v>5</v>
      </c>
      <c r="D925" s="14" t="s">
        <v>6</v>
      </c>
      <c r="E925" s="14" t="s">
        <v>35</v>
      </c>
      <c r="F925" s="14" t="s">
        <v>36</v>
      </c>
      <c r="G925" s="14" t="s">
        <v>37</v>
      </c>
      <c r="H925" s="14" t="s">
        <v>38</v>
      </c>
      <c r="I925" s="15" t="s">
        <v>39</v>
      </c>
    </row>
    <row r="926" spans="2:9" ht="15" customHeight="1" x14ac:dyDescent="0.2">
      <c r="B926" s="328"/>
      <c r="C926" s="34"/>
      <c r="D926" s="54"/>
      <c r="E926" s="24"/>
      <c r="F926" s="24"/>
      <c r="G926" s="24"/>
      <c r="H926" s="24"/>
      <c r="I926" s="36"/>
    </row>
    <row r="927" spans="2:9" ht="15" customHeight="1" x14ac:dyDescent="0.2">
      <c r="B927" s="713" t="s">
        <v>43</v>
      </c>
      <c r="C927" s="713"/>
      <c r="D927" s="713"/>
      <c r="E927" s="713"/>
      <c r="F927" s="713"/>
      <c r="G927" s="713"/>
      <c r="H927" s="713"/>
      <c r="I927" s="344"/>
    </row>
    <row r="928" spans="2:9" ht="15" customHeight="1" x14ac:dyDescent="0.2">
      <c r="B928" s="712" t="s">
        <v>44</v>
      </c>
      <c r="C928" s="712"/>
      <c r="D928" s="712"/>
      <c r="E928" s="712"/>
      <c r="F928" s="712"/>
      <c r="G928" s="712"/>
      <c r="H928" s="712"/>
      <c r="I928" s="712"/>
    </row>
    <row r="929" spans="2:9" ht="15" customHeight="1" x14ac:dyDescent="0.2">
      <c r="B929" s="362" t="s">
        <v>33</v>
      </c>
      <c r="C929" s="361" t="s">
        <v>5</v>
      </c>
      <c r="D929" s="24" t="s">
        <v>6</v>
      </c>
      <c r="E929" s="25"/>
      <c r="F929" s="25"/>
      <c r="G929" s="25"/>
      <c r="H929" s="24" t="s">
        <v>45</v>
      </c>
      <c r="I929" s="36" t="s">
        <v>39</v>
      </c>
    </row>
    <row r="930" spans="2:9" ht="30.75" customHeight="1" x14ac:dyDescent="0.2">
      <c r="B930" s="45" t="s">
        <v>340</v>
      </c>
      <c r="C930" s="20" t="s">
        <v>23</v>
      </c>
      <c r="D930" s="633">
        <f>0.028/2</f>
        <v>1.4E-2</v>
      </c>
      <c r="E930" s="21"/>
      <c r="F930" s="21"/>
      <c r="G930" s="21"/>
      <c r="H930" s="582">
        <f>INSUMOS!E45</f>
        <v>32.4</v>
      </c>
      <c r="I930" s="583">
        <f>H930*D930</f>
        <v>0.45</v>
      </c>
    </row>
    <row r="931" spans="2:9" ht="37.5" customHeight="1" x14ac:dyDescent="0.2">
      <c r="B931" s="45" t="s">
        <v>353</v>
      </c>
      <c r="C931" s="28" t="s">
        <v>143</v>
      </c>
      <c r="D931" s="586">
        <v>0.66</v>
      </c>
      <c r="E931" s="21"/>
      <c r="F931" s="21"/>
      <c r="G931" s="21"/>
      <c r="H931" s="582">
        <f>INSUMOS!E46</f>
        <v>32.17</v>
      </c>
      <c r="I931" s="583">
        <f t="shared" ref="I931:I936" si="4">H931*D931</f>
        <v>21.23</v>
      </c>
    </row>
    <row r="932" spans="2:9" ht="15" customHeight="1" x14ac:dyDescent="0.2">
      <c r="B932" s="328" t="s">
        <v>341</v>
      </c>
      <c r="C932" s="20" t="s">
        <v>19</v>
      </c>
      <c r="D932" s="586">
        <v>10.28</v>
      </c>
      <c r="E932" s="21"/>
      <c r="F932" s="21"/>
      <c r="G932" s="21"/>
      <c r="H932" s="582">
        <f>INSUMOS!E47</f>
        <v>0.7</v>
      </c>
      <c r="I932" s="583">
        <f t="shared" si="4"/>
        <v>7.2</v>
      </c>
    </row>
    <row r="933" spans="2:9" ht="15" customHeight="1" x14ac:dyDescent="0.2">
      <c r="B933" s="418" t="s">
        <v>349</v>
      </c>
      <c r="C933" s="20" t="s">
        <v>19</v>
      </c>
      <c r="D933" s="586">
        <v>0.11</v>
      </c>
      <c r="E933" s="21"/>
      <c r="F933" s="21"/>
      <c r="G933" s="21"/>
      <c r="H933" s="582">
        <f>INSUMOS!E108*0.01666</f>
        <v>0.18</v>
      </c>
      <c r="I933" s="583">
        <f t="shared" si="4"/>
        <v>0.02</v>
      </c>
    </row>
    <row r="934" spans="2:9" ht="15" customHeight="1" x14ac:dyDescent="0.2">
      <c r="B934" s="419" t="s">
        <v>342</v>
      </c>
      <c r="C934" s="20" t="s">
        <v>23</v>
      </c>
      <c r="D934" s="586">
        <v>0.01</v>
      </c>
      <c r="E934" s="21"/>
      <c r="F934" s="21"/>
      <c r="G934" s="20"/>
      <c r="H934" s="582">
        <f>INSUMOS!E37</f>
        <v>59</v>
      </c>
      <c r="I934" s="583">
        <f t="shared" si="4"/>
        <v>0.59</v>
      </c>
    </row>
    <row r="935" spans="2:9" ht="15" customHeight="1" x14ac:dyDescent="0.2">
      <c r="B935" s="419" t="s">
        <v>343</v>
      </c>
      <c r="C935" s="20" t="s">
        <v>87</v>
      </c>
      <c r="D935" s="586">
        <v>1.8</v>
      </c>
      <c r="E935" s="21"/>
      <c r="F935" s="21"/>
      <c r="G935" s="20"/>
      <c r="H935" s="582">
        <f>INSUMOS!E34</f>
        <v>0.5</v>
      </c>
      <c r="I935" s="583">
        <f t="shared" si="4"/>
        <v>0.9</v>
      </c>
    </row>
    <row r="936" spans="2:9" ht="15" customHeight="1" x14ac:dyDescent="0.2">
      <c r="B936" s="35" t="s">
        <v>344</v>
      </c>
      <c r="C936" s="20" t="s">
        <v>23</v>
      </c>
      <c r="D936" s="586">
        <v>0.01</v>
      </c>
      <c r="E936" s="21"/>
      <c r="F936" s="21"/>
      <c r="G936" s="21"/>
      <c r="H936" s="582">
        <f>INSUMOS!E35</f>
        <v>62</v>
      </c>
      <c r="I936" s="583">
        <f t="shared" si="4"/>
        <v>0.62</v>
      </c>
    </row>
    <row r="937" spans="2:9" ht="15" customHeight="1" x14ac:dyDescent="0.2">
      <c r="B937" s="713" t="s">
        <v>43</v>
      </c>
      <c r="C937" s="713"/>
      <c r="D937" s="713"/>
      <c r="E937" s="713"/>
      <c r="F937" s="713"/>
      <c r="G937" s="713"/>
      <c r="H937" s="713"/>
      <c r="I937" s="583">
        <f>SUM(I930:I936)</f>
        <v>31.01</v>
      </c>
    </row>
    <row r="938" spans="2:9" ht="15" customHeight="1" x14ac:dyDescent="0.2">
      <c r="B938" s="712" t="s">
        <v>46</v>
      </c>
      <c r="C938" s="712"/>
      <c r="D938" s="712"/>
      <c r="E938" s="712"/>
      <c r="F938" s="712"/>
      <c r="G938" s="712"/>
      <c r="H938" s="712"/>
      <c r="I938" s="712"/>
    </row>
    <row r="939" spans="2:9" ht="15" customHeight="1" x14ac:dyDescent="0.2">
      <c r="B939" s="348" t="s">
        <v>33</v>
      </c>
      <c r="C939" s="27" t="s">
        <v>5</v>
      </c>
      <c r="D939" s="20" t="s">
        <v>6</v>
      </c>
      <c r="E939" s="21"/>
      <c r="F939" s="21"/>
      <c r="G939" s="21"/>
      <c r="H939" s="20" t="s">
        <v>45</v>
      </c>
      <c r="I939" s="36" t="s">
        <v>39</v>
      </c>
    </row>
    <row r="940" spans="2:9" ht="15" customHeight="1" x14ac:dyDescent="0.2">
      <c r="B940" s="328"/>
      <c r="C940" s="20"/>
      <c r="D940" s="20"/>
      <c r="E940" s="21"/>
      <c r="F940" s="21"/>
      <c r="G940" s="21"/>
      <c r="H940" s="20"/>
      <c r="I940" s="30"/>
    </row>
    <row r="941" spans="2:9" ht="15" customHeight="1" x14ac:dyDescent="0.2">
      <c r="B941" s="713" t="s">
        <v>43</v>
      </c>
      <c r="C941" s="713"/>
      <c r="D941" s="713"/>
      <c r="E941" s="713"/>
      <c r="F941" s="713"/>
      <c r="G941" s="713"/>
      <c r="H941" s="713"/>
      <c r="I941" s="30"/>
    </row>
    <row r="942" spans="2:9" ht="15" customHeight="1" x14ac:dyDescent="0.2">
      <c r="B942" s="712" t="s">
        <v>47</v>
      </c>
      <c r="C942" s="712"/>
      <c r="D942" s="712"/>
      <c r="E942" s="712"/>
      <c r="F942" s="712"/>
      <c r="G942" s="712"/>
      <c r="H942" s="712"/>
      <c r="I942" s="712"/>
    </row>
    <row r="943" spans="2:9" ht="15" customHeight="1" x14ac:dyDescent="0.2">
      <c r="B943" s="362" t="s">
        <v>33</v>
      </c>
      <c r="C943" s="361" t="s">
        <v>5</v>
      </c>
      <c r="D943" s="363" t="s">
        <v>6</v>
      </c>
      <c r="E943" s="25"/>
      <c r="F943" s="25"/>
      <c r="G943" s="25"/>
      <c r="H943" s="24" t="s">
        <v>45</v>
      </c>
      <c r="I943" s="36" t="s">
        <v>39</v>
      </c>
    </row>
    <row r="944" spans="2:9" ht="15" customHeight="1" x14ac:dyDescent="0.2">
      <c r="B944" s="35" t="s">
        <v>48</v>
      </c>
      <c r="C944" s="356" t="s">
        <v>41</v>
      </c>
      <c r="D944" s="603">
        <v>0.38</v>
      </c>
      <c r="E944" s="25"/>
      <c r="F944" s="25"/>
      <c r="G944" s="25"/>
      <c r="H944" s="603">
        <f>INSUMOS!E13</f>
        <v>7.81</v>
      </c>
      <c r="I944" s="602">
        <f>H944*D944</f>
        <v>2.97</v>
      </c>
    </row>
    <row r="945" spans="2:9" ht="15" customHeight="1" x14ac:dyDescent="0.2">
      <c r="B945" s="420" t="s">
        <v>83</v>
      </c>
      <c r="C945" s="356" t="s">
        <v>41</v>
      </c>
      <c r="D945" s="603">
        <v>0.4</v>
      </c>
      <c r="E945" s="25"/>
      <c r="F945" s="25"/>
      <c r="G945" s="25"/>
      <c r="H945" s="603">
        <f>INSUMOS!E17</f>
        <v>10.37</v>
      </c>
      <c r="I945" s="602">
        <f>H945*D945</f>
        <v>4.1500000000000004</v>
      </c>
    </row>
    <row r="946" spans="2:9" ht="15" customHeight="1" x14ac:dyDescent="0.2">
      <c r="B946" s="713" t="s">
        <v>43</v>
      </c>
      <c r="C946" s="713"/>
      <c r="D946" s="713"/>
      <c r="E946" s="713"/>
      <c r="F946" s="713"/>
      <c r="G946" s="713"/>
      <c r="H946" s="713"/>
      <c r="I946" s="599">
        <f>SUM(I944:I945)</f>
        <v>7.12</v>
      </c>
    </row>
    <row r="947" spans="2:9" ht="15" customHeight="1" x14ac:dyDescent="0.2">
      <c r="B947" s="355" t="s">
        <v>49</v>
      </c>
      <c r="C947" s="277">
        <v>1</v>
      </c>
      <c r="D947" s="709" t="s">
        <v>50</v>
      </c>
      <c r="E947" s="710"/>
      <c r="F947" s="710"/>
      <c r="G947" s="710"/>
      <c r="H947" s="711"/>
      <c r="I947" s="599">
        <f>I927+I937+I941+I946</f>
        <v>38.130000000000003</v>
      </c>
    </row>
    <row r="948" spans="2:9" ht="15" customHeight="1" x14ac:dyDescent="0.2">
      <c r="B948" s="725"/>
      <c r="C948" s="726"/>
      <c r="D948" s="726"/>
      <c r="E948" s="726"/>
      <c r="F948" s="726"/>
      <c r="G948" s="726"/>
      <c r="H948" s="727"/>
      <c r="I948" s="599">
        <f>I947/C947</f>
        <v>38.130000000000003</v>
      </c>
    </row>
    <row r="949" spans="2:9" ht="15" customHeight="1" x14ac:dyDescent="0.2">
      <c r="B949" s="351" t="s">
        <v>135</v>
      </c>
      <c r="C949" s="520">
        <f>BDI!C$36</f>
        <v>25</v>
      </c>
      <c r="D949" s="352" t="s">
        <v>103</v>
      </c>
      <c r="E949" s="353"/>
      <c r="F949" s="353"/>
      <c r="G949" s="353"/>
      <c r="H949" s="354"/>
      <c r="I949" s="583">
        <f>C949/100*I948</f>
        <v>9.5299999999999994</v>
      </c>
    </row>
    <row r="950" spans="2:9" ht="15" customHeight="1" thickBot="1" x14ac:dyDescent="0.25">
      <c r="B950" s="708" t="s">
        <v>51</v>
      </c>
      <c r="C950" s="708"/>
      <c r="D950" s="708"/>
      <c r="E950" s="708"/>
      <c r="F950" s="708"/>
      <c r="G950" s="708"/>
      <c r="H950" s="708"/>
      <c r="I950" s="549">
        <f>SUM(I948:I949)</f>
        <v>47.66</v>
      </c>
    </row>
    <row r="951" spans="2:9" ht="15" customHeight="1" thickBot="1" x14ac:dyDescent="0.25"/>
    <row r="952" spans="2:9" ht="30.75" customHeight="1" x14ac:dyDescent="0.2">
      <c r="B952" s="577" t="s">
        <v>361</v>
      </c>
      <c r="C952" s="579" t="s">
        <v>597</v>
      </c>
      <c r="D952" s="757" t="s">
        <v>30</v>
      </c>
      <c r="E952" s="757"/>
      <c r="F952" s="757"/>
      <c r="G952" s="757"/>
      <c r="H952" s="757"/>
      <c r="I952" s="758"/>
    </row>
    <row r="953" spans="2:9" ht="15" customHeight="1" x14ac:dyDescent="0.2">
      <c r="B953" s="718" t="s">
        <v>134</v>
      </c>
      <c r="C953" s="719"/>
      <c r="D953" s="719"/>
      <c r="E953" s="719"/>
      <c r="F953" s="719"/>
      <c r="G953" s="720"/>
      <c r="H953" s="715" t="s">
        <v>572</v>
      </c>
      <c r="I953" s="716"/>
    </row>
    <row r="954" spans="2:9" ht="29.25" customHeight="1" x14ac:dyDescent="0.2">
      <c r="B954" s="807" t="s">
        <v>345</v>
      </c>
      <c r="C954" s="808"/>
      <c r="D954" s="808"/>
      <c r="E954" s="808"/>
      <c r="F954" s="808"/>
      <c r="G954" s="809"/>
      <c r="H954" s="289" t="s">
        <v>31</v>
      </c>
      <c r="I954" s="290" t="s">
        <v>143</v>
      </c>
    </row>
    <row r="955" spans="2:9" ht="15" customHeight="1" x14ac:dyDescent="0.2">
      <c r="B955" s="738" t="s">
        <v>32</v>
      </c>
      <c r="C955" s="739"/>
      <c r="D955" s="739"/>
      <c r="E955" s="739"/>
      <c r="F955" s="739"/>
      <c r="G955" s="739"/>
      <c r="H955" s="739"/>
      <c r="I955" s="740"/>
    </row>
    <row r="956" spans="2:9" ht="23.25" customHeight="1" x14ac:dyDescent="0.2">
      <c r="B956" s="291" t="s">
        <v>33</v>
      </c>
      <c r="C956" s="14" t="s">
        <v>34</v>
      </c>
      <c r="D956" s="292" t="s">
        <v>6</v>
      </c>
      <c r="E956" s="293" t="s">
        <v>35</v>
      </c>
      <c r="F956" s="293" t="s">
        <v>36</v>
      </c>
      <c r="G956" s="294" t="s">
        <v>37</v>
      </c>
      <c r="H956" s="294" t="s">
        <v>38</v>
      </c>
      <c r="I956" s="295" t="s">
        <v>39</v>
      </c>
    </row>
    <row r="957" spans="2:9" ht="15" customHeight="1" x14ac:dyDescent="0.2">
      <c r="B957" s="111"/>
      <c r="C957" s="204"/>
      <c r="D957" s="296"/>
      <c r="E957" s="297"/>
      <c r="F957" s="298"/>
      <c r="G957" s="299"/>
      <c r="H957" s="300"/>
      <c r="I957" s="299"/>
    </row>
    <row r="958" spans="2:9" ht="15" customHeight="1" x14ac:dyDescent="0.2">
      <c r="B958" s="810" t="s">
        <v>43</v>
      </c>
      <c r="C958" s="811"/>
      <c r="D958" s="811"/>
      <c r="E958" s="811"/>
      <c r="F958" s="811"/>
      <c r="G958" s="811"/>
      <c r="H958" s="811"/>
      <c r="I958" s="301"/>
    </row>
    <row r="959" spans="2:9" ht="15" customHeight="1" x14ac:dyDescent="0.2">
      <c r="B959" s="738" t="s">
        <v>44</v>
      </c>
      <c r="C959" s="739"/>
      <c r="D959" s="739"/>
      <c r="E959" s="739"/>
      <c r="F959" s="739"/>
      <c r="G959" s="739"/>
      <c r="H959" s="739"/>
      <c r="I959" s="740"/>
    </row>
    <row r="960" spans="2:9" ht="15" customHeight="1" x14ac:dyDescent="0.2">
      <c r="B960" s="302" t="s">
        <v>33</v>
      </c>
      <c r="C960" s="346" t="s">
        <v>34</v>
      </c>
      <c r="D960" s="303" t="s">
        <v>6</v>
      </c>
      <c r="E960" s="304"/>
      <c r="F960" s="304"/>
      <c r="G960" s="304"/>
      <c r="H960" s="204" t="s">
        <v>45</v>
      </c>
      <c r="I960" s="305" t="s">
        <v>39</v>
      </c>
    </row>
    <row r="961" spans="2:9" ht="15" customHeight="1" x14ac:dyDescent="0.2">
      <c r="B961" s="111" t="s">
        <v>161</v>
      </c>
      <c r="C961" s="59" t="s">
        <v>53</v>
      </c>
      <c r="D961" s="625">
        <v>17</v>
      </c>
      <c r="E961" s="308"/>
      <c r="F961" s="308"/>
      <c r="G961" s="308"/>
      <c r="H961" s="543">
        <f>INSUMOS!E79</f>
        <v>4.5</v>
      </c>
      <c r="I961" s="544">
        <f>D961*H961</f>
        <v>76.5</v>
      </c>
    </row>
    <row r="962" spans="2:9" ht="15" customHeight="1" x14ac:dyDescent="0.2">
      <c r="B962" s="310" t="s">
        <v>162</v>
      </c>
      <c r="C962" s="112" t="s">
        <v>19</v>
      </c>
      <c r="D962" s="626">
        <v>7.4</v>
      </c>
      <c r="E962" s="312"/>
      <c r="F962" s="312"/>
      <c r="G962" s="312"/>
      <c r="H962" s="543">
        <f>INSUMOS!E80</f>
        <v>17.27</v>
      </c>
      <c r="I962" s="544">
        <f>D962*H962</f>
        <v>127.8</v>
      </c>
    </row>
    <row r="963" spans="2:9" ht="15" customHeight="1" x14ac:dyDescent="0.2">
      <c r="B963" s="310" t="s">
        <v>163</v>
      </c>
      <c r="C963" s="59" t="s">
        <v>143</v>
      </c>
      <c r="D963" s="626">
        <v>1</v>
      </c>
      <c r="E963" s="312"/>
      <c r="F963" s="312"/>
      <c r="G963" s="312"/>
      <c r="H963" s="543">
        <f>INSUMOS!E81</f>
        <v>23.18</v>
      </c>
      <c r="I963" s="544">
        <f>D963*H963</f>
        <v>23.18</v>
      </c>
    </row>
    <row r="964" spans="2:9" ht="28.5" customHeight="1" x14ac:dyDescent="0.2">
      <c r="B964" s="310" t="s">
        <v>164</v>
      </c>
      <c r="C964" s="112" t="s">
        <v>52</v>
      </c>
      <c r="D964" s="626">
        <v>1.98</v>
      </c>
      <c r="E964" s="312"/>
      <c r="F964" s="312"/>
      <c r="G964" s="312"/>
      <c r="H964" s="543">
        <f>INSUMOS!E82</f>
        <v>54.27</v>
      </c>
      <c r="I964" s="544">
        <f>D964*H964</f>
        <v>107.45</v>
      </c>
    </row>
    <row r="965" spans="2:9" ht="15" customHeight="1" x14ac:dyDescent="0.2">
      <c r="B965" s="741" t="s">
        <v>43</v>
      </c>
      <c r="C965" s="742"/>
      <c r="D965" s="742"/>
      <c r="E965" s="742"/>
      <c r="F965" s="742"/>
      <c r="G965" s="742"/>
      <c r="H965" s="742"/>
      <c r="I965" s="544">
        <f>SUM(I961:I964)</f>
        <v>334.93</v>
      </c>
    </row>
    <row r="966" spans="2:9" ht="15" customHeight="1" x14ac:dyDescent="0.2">
      <c r="B966" s="738" t="s">
        <v>46</v>
      </c>
      <c r="C966" s="739"/>
      <c r="D966" s="739"/>
      <c r="E966" s="739"/>
      <c r="F966" s="739"/>
      <c r="G966" s="739"/>
      <c r="H966" s="739"/>
      <c r="I966" s="740"/>
    </row>
    <row r="967" spans="2:9" ht="15" customHeight="1" x14ac:dyDescent="0.2">
      <c r="B967" s="313" t="s">
        <v>33</v>
      </c>
      <c r="C967" s="346" t="s">
        <v>34</v>
      </c>
      <c r="D967" s="204" t="s">
        <v>6</v>
      </c>
      <c r="E967" s="326"/>
      <c r="F967" s="326"/>
      <c r="G967" s="326"/>
      <c r="H967" s="204" t="s">
        <v>45</v>
      </c>
      <c r="I967" s="309" t="s">
        <v>39</v>
      </c>
    </row>
    <row r="968" spans="2:9" ht="39.75" customHeight="1" x14ac:dyDescent="0.2">
      <c r="B968" s="324" t="s">
        <v>346</v>
      </c>
      <c r="C968" s="204" t="s">
        <v>23</v>
      </c>
      <c r="D968" s="627">
        <v>0.27</v>
      </c>
      <c r="E968" s="326"/>
      <c r="F968" s="326"/>
      <c r="G968" s="326"/>
      <c r="H968" s="552">
        <f>I532</f>
        <v>488.53</v>
      </c>
      <c r="I968" s="544">
        <f>D968*H968</f>
        <v>131.9</v>
      </c>
    </row>
    <row r="969" spans="2:9" ht="15" customHeight="1" x14ac:dyDescent="0.2">
      <c r="B969" s="203" t="s">
        <v>226</v>
      </c>
      <c r="C969" s="204" t="s">
        <v>52</v>
      </c>
      <c r="D969" s="627">
        <v>3.9</v>
      </c>
      <c r="E969" s="326"/>
      <c r="F969" s="326"/>
      <c r="G969" s="326"/>
      <c r="H969" s="552">
        <f>I1177</f>
        <v>6.3</v>
      </c>
      <c r="I969" s="544">
        <f>D969*H969</f>
        <v>24.57</v>
      </c>
    </row>
    <row r="970" spans="2:9" ht="15" customHeight="1" x14ac:dyDescent="0.2">
      <c r="B970" s="203" t="s">
        <v>347</v>
      </c>
      <c r="C970" s="204" t="s">
        <v>23</v>
      </c>
      <c r="D970" s="627">
        <f>1.5*0.3*0.3</f>
        <v>0.13500000000000001</v>
      </c>
      <c r="E970" s="326"/>
      <c r="F970" s="326"/>
      <c r="G970" s="326"/>
      <c r="H970" s="552">
        <f>I834</f>
        <v>14.84</v>
      </c>
      <c r="I970" s="544">
        <f>D970*H970</f>
        <v>2</v>
      </c>
    </row>
    <row r="971" spans="2:9" ht="15" customHeight="1" x14ac:dyDescent="0.2">
      <c r="B971" s="203" t="s">
        <v>348</v>
      </c>
      <c r="C971" s="204" t="s">
        <v>52</v>
      </c>
      <c r="D971" s="627">
        <v>3.4</v>
      </c>
      <c r="E971" s="326"/>
      <c r="F971" s="326"/>
      <c r="G971" s="326"/>
      <c r="H971" s="552">
        <f>I1385</f>
        <v>11.14</v>
      </c>
      <c r="I971" s="544">
        <f>D971*H971</f>
        <v>37.880000000000003</v>
      </c>
    </row>
    <row r="972" spans="2:9" ht="15" customHeight="1" x14ac:dyDescent="0.2">
      <c r="B972" s="736" t="s">
        <v>43</v>
      </c>
      <c r="C972" s="737"/>
      <c r="D972" s="737"/>
      <c r="E972" s="737"/>
      <c r="F972" s="737"/>
      <c r="G972" s="737"/>
      <c r="H972" s="737"/>
      <c r="I972" s="544">
        <f>SUM(I968:I971)</f>
        <v>196.35</v>
      </c>
    </row>
    <row r="973" spans="2:9" ht="15" customHeight="1" x14ac:dyDescent="0.2">
      <c r="B973" s="738" t="s">
        <v>47</v>
      </c>
      <c r="C973" s="739"/>
      <c r="D973" s="739"/>
      <c r="E973" s="739"/>
      <c r="F973" s="739"/>
      <c r="G973" s="739"/>
      <c r="H973" s="739"/>
      <c r="I973" s="740"/>
    </row>
    <row r="974" spans="2:9" ht="15" customHeight="1" x14ac:dyDescent="0.2">
      <c r="B974" s="315" t="s">
        <v>33</v>
      </c>
      <c r="C974" s="346" t="s">
        <v>34</v>
      </c>
      <c r="D974" s="316" t="s">
        <v>6</v>
      </c>
      <c r="E974" s="308"/>
      <c r="F974" s="308"/>
      <c r="G974" s="308"/>
      <c r="H974" s="204" t="s">
        <v>45</v>
      </c>
      <c r="I974" s="305" t="s">
        <v>39</v>
      </c>
    </row>
    <row r="975" spans="2:9" ht="15" customHeight="1" x14ac:dyDescent="0.2">
      <c r="B975" s="317" t="s">
        <v>83</v>
      </c>
      <c r="C975" s="318" t="s">
        <v>41</v>
      </c>
      <c r="D975" s="545">
        <v>5.78</v>
      </c>
      <c r="E975" s="308"/>
      <c r="F975" s="308"/>
      <c r="G975" s="308"/>
      <c r="H975" s="543">
        <f>INSUMOS!E17</f>
        <v>10.37</v>
      </c>
      <c r="I975" s="544">
        <f>D975*H975</f>
        <v>59.94</v>
      </c>
    </row>
    <row r="976" spans="2:9" ht="15" customHeight="1" x14ac:dyDescent="0.2">
      <c r="B976" s="317" t="s">
        <v>48</v>
      </c>
      <c r="C976" s="318" t="s">
        <v>41</v>
      </c>
      <c r="D976" s="545">
        <v>2.89</v>
      </c>
      <c r="E976" s="308"/>
      <c r="F976" s="308"/>
      <c r="G976" s="308"/>
      <c r="H976" s="543">
        <f>INSUMOS!E13</f>
        <v>7.81</v>
      </c>
      <c r="I976" s="544">
        <f>D976*H976</f>
        <v>22.57</v>
      </c>
    </row>
    <row r="977" spans="1:11" ht="15" customHeight="1" x14ac:dyDescent="0.2">
      <c r="B977" s="736" t="s">
        <v>43</v>
      </c>
      <c r="C977" s="737"/>
      <c r="D977" s="737"/>
      <c r="E977" s="737"/>
      <c r="F977" s="737"/>
      <c r="G977" s="737"/>
      <c r="H977" s="737"/>
      <c r="I977" s="548">
        <f>SUM(I975:I976)</f>
        <v>82.51</v>
      </c>
    </row>
    <row r="978" spans="1:11" ht="15" customHeight="1" x14ac:dyDescent="0.2">
      <c r="B978" s="320" t="s">
        <v>49</v>
      </c>
      <c r="C978" s="299">
        <v>1</v>
      </c>
      <c r="D978" s="737" t="s">
        <v>50</v>
      </c>
      <c r="E978" s="737"/>
      <c r="F978" s="737"/>
      <c r="G978" s="737"/>
      <c r="H978" s="737"/>
      <c r="I978" s="548">
        <f>I977+I972+I965+I958</f>
        <v>613.79</v>
      </c>
    </row>
    <row r="979" spans="1:11" ht="15" customHeight="1" x14ac:dyDescent="0.2">
      <c r="B979" s="743" t="s">
        <v>302</v>
      </c>
      <c r="C979" s="744"/>
      <c r="D979" s="745"/>
      <c r="E979" s="745"/>
      <c r="F979" s="745"/>
      <c r="G979" s="745"/>
      <c r="H979" s="745"/>
      <c r="I979" s="544">
        <f>I978/C978</f>
        <v>613.79</v>
      </c>
    </row>
    <row r="980" spans="1:11" ht="15" customHeight="1" x14ac:dyDescent="0.2">
      <c r="B980" s="321" t="s">
        <v>303</v>
      </c>
      <c r="C980" s="520">
        <f>BDI!C$36</f>
        <v>25</v>
      </c>
      <c r="D980" s="746" t="s">
        <v>103</v>
      </c>
      <c r="E980" s="747"/>
      <c r="F980" s="747"/>
      <c r="G980" s="747"/>
      <c r="H980" s="748"/>
      <c r="I980" s="544">
        <f>C980/100*I979</f>
        <v>153.44999999999999</v>
      </c>
    </row>
    <row r="981" spans="1:11" ht="15" customHeight="1" thickBot="1" x14ac:dyDescent="0.25">
      <c r="B981" s="749" t="s">
        <v>51</v>
      </c>
      <c r="C981" s="750"/>
      <c r="D981" s="750"/>
      <c r="E981" s="750"/>
      <c r="F981" s="750"/>
      <c r="G981" s="750"/>
      <c r="H981" s="751"/>
      <c r="I981" s="549">
        <f>SUM(I979:I980)</f>
        <v>767.24</v>
      </c>
    </row>
    <row r="982" spans="1:11" s="47" customFormat="1" ht="14.25" customHeight="1" thickBot="1" x14ac:dyDescent="0.25">
      <c r="K982" s="11"/>
    </row>
    <row r="983" spans="1:11" s="47" customFormat="1" ht="31.5" customHeight="1" x14ac:dyDescent="0.2">
      <c r="B983" s="577" t="s">
        <v>361</v>
      </c>
      <c r="C983" s="579" t="s">
        <v>598</v>
      </c>
      <c r="D983" s="754" t="s">
        <v>30</v>
      </c>
      <c r="E983" s="754"/>
      <c r="F983" s="754"/>
      <c r="G983" s="754"/>
      <c r="H983" s="754"/>
      <c r="I983" s="754"/>
      <c r="K983" s="11"/>
    </row>
    <row r="984" spans="1:11" s="47" customFormat="1" ht="20.25" customHeight="1" x14ac:dyDescent="0.2">
      <c r="B984" s="718" t="s">
        <v>134</v>
      </c>
      <c r="C984" s="719"/>
      <c r="D984" s="719"/>
      <c r="E984" s="719"/>
      <c r="F984" s="719"/>
      <c r="G984" s="720"/>
      <c r="H984" s="715" t="s">
        <v>572</v>
      </c>
      <c r="I984" s="716"/>
    </row>
    <row r="985" spans="1:11" ht="12.75" customHeight="1" x14ac:dyDescent="0.2">
      <c r="A985" s="33"/>
      <c r="B985" s="717" t="s">
        <v>356</v>
      </c>
      <c r="C985" s="717"/>
      <c r="D985" s="717"/>
      <c r="E985" s="717"/>
      <c r="F985" s="717"/>
      <c r="G985" s="717"/>
      <c r="H985" s="12" t="s">
        <v>31</v>
      </c>
      <c r="I985" s="208" t="s">
        <v>143</v>
      </c>
      <c r="K985" s="47"/>
    </row>
    <row r="986" spans="1:11" ht="15.95" customHeight="1" x14ac:dyDescent="0.2">
      <c r="B986" s="712" t="s">
        <v>32</v>
      </c>
      <c r="C986" s="712"/>
      <c r="D986" s="712"/>
      <c r="E986" s="712"/>
      <c r="F986" s="712"/>
      <c r="G986" s="712"/>
      <c r="H986" s="712"/>
      <c r="I986" s="712"/>
      <c r="K986" s="47"/>
    </row>
    <row r="987" spans="1:11" ht="27" customHeight="1" x14ac:dyDescent="0.2">
      <c r="B987" s="13" t="s">
        <v>33</v>
      </c>
      <c r="C987" s="62" t="s">
        <v>5</v>
      </c>
      <c r="D987" s="14" t="s">
        <v>6</v>
      </c>
      <c r="E987" s="14" t="s">
        <v>35</v>
      </c>
      <c r="F987" s="14" t="s">
        <v>36</v>
      </c>
      <c r="G987" s="14" t="s">
        <v>37</v>
      </c>
      <c r="H987" s="14" t="s">
        <v>38</v>
      </c>
      <c r="I987" s="209" t="s">
        <v>39</v>
      </c>
    </row>
    <row r="988" spans="1:11" s="47" customFormat="1" ht="23.25" customHeight="1" x14ac:dyDescent="0.2">
      <c r="B988" s="35" t="s">
        <v>292</v>
      </c>
      <c r="C988" s="28" t="s">
        <v>41</v>
      </c>
      <c r="D988" s="628">
        <v>4</v>
      </c>
      <c r="E988" s="20">
        <v>1</v>
      </c>
      <c r="F988" s="20"/>
      <c r="G988" s="582">
        <f>INSUMOS!E59</f>
        <v>67.5</v>
      </c>
      <c r="H988" s="20"/>
      <c r="I988" s="568">
        <f>D988*G988</f>
        <v>270</v>
      </c>
      <c r="K988" s="11"/>
    </row>
    <row r="989" spans="1:11" ht="15.95" customHeight="1" x14ac:dyDescent="0.2">
      <c r="B989" s="713" t="s">
        <v>43</v>
      </c>
      <c r="C989" s="713"/>
      <c r="D989" s="713"/>
      <c r="E989" s="713"/>
      <c r="F989" s="713"/>
      <c r="G989" s="713"/>
      <c r="H989" s="713"/>
      <c r="I989" s="584">
        <f>SUM(I988:I988)</f>
        <v>270</v>
      </c>
    </row>
    <row r="990" spans="1:11" ht="15.95" customHeight="1" x14ac:dyDescent="0.2">
      <c r="B990" s="712" t="s">
        <v>44</v>
      </c>
      <c r="C990" s="712"/>
      <c r="D990" s="712"/>
      <c r="E990" s="712"/>
      <c r="F990" s="712"/>
      <c r="G990" s="712"/>
      <c r="H990" s="712"/>
      <c r="I990" s="712"/>
      <c r="K990" s="47"/>
    </row>
    <row r="991" spans="1:11" ht="15.95" customHeight="1" x14ac:dyDescent="0.2">
      <c r="B991" s="362" t="s">
        <v>33</v>
      </c>
      <c r="C991" s="361" t="s">
        <v>5</v>
      </c>
      <c r="D991" s="24" t="s">
        <v>6</v>
      </c>
      <c r="E991" s="25"/>
      <c r="F991" s="25"/>
      <c r="G991" s="25"/>
      <c r="H991" s="24" t="s">
        <v>45</v>
      </c>
      <c r="I991" s="36" t="s">
        <v>39</v>
      </c>
    </row>
    <row r="992" spans="1:11" ht="15.95" customHeight="1" x14ac:dyDescent="0.2">
      <c r="B992" s="387" t="s">
        <v>234</v>
      </c>
      <c r="C992" s="388" t="s">
        <v>53</v>
      </c>
      <c r="D992" s="629">
        <v>12</v>
      </c>
      <c r="E992" s="196"/>
      <c r="F992" s="196"/>
      <c r="G992" s="196"/>
      <c r="H992" s="582">
        <f>INSUMOS!E93</f>
        <v>3.95</v>
      </c>
      <c r="I992" s="568">
        <f>H992*D992</f>
        <v>47.4</v>
      </c>
    </row>
    <row r="993" spans="2:11" ht="15.95" customHeight="1" x14ac:dyDescent="0.2">
      <c r="B993" s="387" t="s">
        <v>222</v>
      </c>
      <c r="C993" s="388" t="s">
        <v>53</v>
      </c>
      <c r="D993" s="629">
        <v>13</v>
      </c>
      <c r="E993" s="196"/>
      <c r="F993" s="196"/>
      <c r="G993" s="196"/>
      <c r="H993" s="582">
        <f>INSUMOS!E94</f>
        <v>4.1100000000000003</v>
      </c>
      <c r="I993" s="568">
        <f>H993*D993</f>
        <v>53.43</v>
      </c>
    </row>
    <row r="994" spans="2:11" s="47" customFormat="1" ht="30" customHeight="1" x14ac:dyDescent="0.2">
      <c r="B994" s="202" t="s">
        <v>235</v>
      </c>
      <c r="C994" s="388" t="s">
        <v>53</v>
      </c>
      <c r="D994" s="629">
        <v>6</v>
      </c>
      <c r="E994" s="196"/>
      <c r="F994" s="196"/>
      <c r="G994" s="196"/>
      <c r="H994" s="582">
        <f>INSUMOS!E95</f>
        <v>4.3499999999999996</v>
      </c>
      <c r="I994" s="568">
        <f>H994*D994</f>
        <v>26.1</v>
      </c>
      <c r="K994" s="11"/>
    </row>
    <row r="995" spans="2:11" ht="15.95" customHeight="1" x14ac:dyDescent="0.2">
      <c r="B995" s="713" t="s">
        <v>43</v>
      </c>
      <c r="C995" s="713"/>
      <c r="D995" s="713"/>
      <c r="E995" s="713"/>
      <c r="F995" s="713"/>
      <c r="G995" s="713"/>
      <c r="H995" s="713"/>
      <c r="I995" s="583">
        <f>SUM(I992:I994)</f>
        <v>126.93</v>
      </c>
    </row>
    <row r="996" spans="2:11" ht="15.95" customHeight="1" x14ac:dyDescent="0.2">
      <c r="B996" s="712" t="s">
        <v>46</v>
      </c>
      <c r="C996" s="712"/>
      <c r="D996" s="712"/>
      <c r="E996" s="712"/>
      <c r="F996" s="712"/>
      <c r="G996" s="712"/>
      <c r="H996" s="712"/>
      <c r="I996" s="712"/>
      <c r="K996" s="47"/>
    </row>
    <row r="997" spans="2:11" ht="15.95" customHeight="1" x14ac:dyDescent="0.2">
      <c r="B997" s="348" t="s">
        <v>33</v>
      </c>
      <c r="C997" s="27" t="s">
        <v>5</v>
      </c>
      <c r="D997" s="20" t="s">
        <v>6</v>
      </c>
      <c r="E997" s="21"/>
      <c r="F997" s="21"/>
      <c r="G997" s="21"/>
      <c r="H997" s="20" t="s">
        <v>45</v>
      </c>
      <c r="I997" s="36" t="s">
        <v>39</v>
      </c>
    </row>
    <row r="998" spans="2:11" ht="18" customHeight="1" x14ac:dyDescent="0.2">
      <c r="B998" s="202" t="s">
        <v>296</v>
      </c>
      <c r="C998" s="388" t="s">
        <v>225</v>
      </c>
      <c r="D998" s="630">
        <v>0.374</v>
      </c>
      <c r="E998" s="196"/>
      <c r="F998" s="196"/>
      <c r="G998" s="196"/>
      <c r="H998" s="607">
        <f>I1412</f>
        <v>335.33</v>
      </c>
      <c r="I998" s="568">
        <f>H998*D998</f>
        <v>125.41</v>
      </c>
      <c r="J998" s="11" t="s">
        <v>295</v>
      </c>
    </row>
    <row r="999" spans="2:11" s="47" customFormat="1" ht="21" customHeight="1" x14ac:dyDescent="0.2">
      <c r="B999" s="203" t="s">
        <v>226</v>
      </c>
      <c r="C999" s="204" t="s">
        <v>52</v>
      </c>
      <c r="D999" s="627">
        <v>1</v>
      </c>
      <c r="E999" s="326"/>
      <c r="F999" s="326"/>
      <c r="G999" s="326"/>
      <c r="H999" s="607">
        <f>I1177</f>
        <v>6.3</v>
      </c>
      <c r="I999" s="544">
        <f>D999*H999</f>
        <v>6.3</v>
      </c>
      <c r="K999" s="11"/>
    </row>
    <row r="1000" spans="2:11" x14ac:dyDescent="0.2">
      <c r="B1000" s="713" t="s">
        <v>43</v>
      </c>
      <c r="C1000" s="713"/>
      <c r="D1000" s="713"/>
      <c r="E1000" s="713"/>
      <c r="F1000" s="713"/>
      <c r="G1000" s="713"/>
      <c r="H1000" s="713"/>
      <c r="I1000" s="583">
        <f>SUM(I998:I999)</f>
        <v>131.71</v>
      </c>
    </row>
    <row r="1001" spans="2:11" ht="12.75" customHeight="1" x14ac:dyDescent="0.2">
      <c r="B1001" s="712" t="s">
        <v>47</v>
      </c>
      <c r="C1001" s="712"/>
      <c r="D1001" s="712"/>
      <c r="E1001" s="712"/>
      <c r="F1001" s="712"/>
      <c r="G1001" s="712"/>
      <c r="H1001" s="712"/>
      <c r="I1001" s="712"/>
      <c r="K1001" s="47"/>
    </row>
    <row r="1002" spans="2:11" x14ac:dyDescent="0.2">
      <c r="B1002" s="362" t="s">
        <v>33</v>
      </c>
      <c r="C1002" s="361" t="s">
        <v>5</v>
      </c>
      <c r="D1002" s="363" t="s">
        <v>6</v>
      </c>
      <c r="E1002" s="25"/>
      <c r="F1002" s="25"/>
      <c r="G1002" s="25"/>
      <c r="H1002" s="24" t="s">
        <v>45</v>
      </c>
      <c r="I1002" s="36" t="s">
        <v>39</v>
      </c>
    </row>
    <row r="1003" spans="2:11" x14ac:dyDescent="0.2">
      <c r="B1003" s="207" t="s">
        <v>83</v>
      </c>
      <c r="C1003" s="27" t="s">
        <v>41</v>
      </c>
      <c r="D1003" s="582">
        <v>6</v>
      </c>
      <c r="E1003" s="21"/>
      <c r="F1003" s="21"/>
      <c r="G1003" s="21"/>
      <c r="H1003" s="582">
        <f>INSUMOS!E17</f>
        <v>10.37</v>
      </c>
      <c r="I1003" s="583">
        <f>H1003*D1003</f>
        <v>62.22</v>
      </c>
    </row>
    <row r="1004" spans="2:11" x14ac:dyDescent="0.2">
      <c r="B1004" s="207" t="s">
        <v>48</v>
      </c>
      <c r="C1004" s="27" t="s">
        <v>41</v>
      </c>
      <c r="D1004" s="582">
        <v>6</v>
      </c>
      <c r="E1004" s="21"/>
      <c r="F1004" s="21"/>
      <c r="G1004" s="21"/>
      <c r="H1004" s="582">
        <f>INSUMOS!E13</f>
        <v>7.81</v>
      </c>
      <c r="I1004" s="583">
        <f>H1004*D1004</f>
        <v>46.86</v>
      </c>
    </row>
    <row r="1005" spans="2:11" x14ac:dyDescent="0.2">
      <c r="B1005" s="329" t="s">
        <v>357</v>
      </c>
      <c r="C1005" s="361" t="s">
        <v>41</v>
      </c>
      <c r="D1005" s="631">
        <v>3</v>
      </c>
      <c r="E1005" s="21"/>
      <c r="F1005" s="21"/>
      <c r="G1005" s="21"/>
      <c r="H1005" s="582">
        <f>INSUMOS!E107</f>
        <v>10.37</v>
      </c>
      <c r="I1005" s="583">
        <f t="shared" ref="I1005:I1006" si="5">H1005*D1005</f>
        <v>31.11</v>
      </c>
    </row>
    <row r="1006" spans="2:11" x14ac:dyDescent="0.2">
      <c r="B1006" s="329" t="s">
        <v>54</v>
      </c>
      <c r="C1006" s="361" t="s">
        <v>41</v>
      </c>
      <c r="D1006" s="631">
        <v>3</v>
      </c>
      <c r="E1006" s="21"/>
      <c r="F1006" s="21"/>
      <c r="G1006" s="21"/>
      <c r="H1006" s="582">
        <f>INSUMOS!E16</f>
        <v>10.37</v>
      </c>
      <c r="I1006" s="583">
        <f t="shared" si="5"/>
        <v>31.11</v>
      </c>
    </row>
    <row r="1007" spans="2:11" x14ac:dyDescent="0.2">
      <c r="B1007" s="713" t="s">
        <v>43</v>
      </c>
      <c r="C1007" s="713"/>
      <c r="D1007" s="713"/>
      <c r="E1007" s="713"/>
      <c r="F1007" s="713"/>
      <c r="G1007" s="713"/>
      <c r="H1007" s="713"/>
      <c r="I1007" s="584">
        <f>SUM(I1003:I1006)</f>
        <v>171.3</v>
      </c>
    </row>
    <row r="1008" spans="2:11" s="47" customFormat="1" ht="16.5" customHeight="1" x14ac:dyDescent="0.2">
      <c r="B1008" s="350" t="s">
        <v>49</v>
      </c>
      <c r="C1008" s="20">
        <v>1</v>
      </c>
      <c r="D1008" s="728" t="s">
        <v>50</v>
      </c>
      <c r="E1008" s="728"/>
      <c r="F1008" s="728"/>
      <c r="G1008" s="728"/>
      <c r="H1008" s="728"/>
      <c r="I1008" s="584">
        <f>I1007+I1000+I995+I989</f>
        <v>699.94</v>
      </c>
      <c r="K1008" s="11"/>
    </row>
    <row r="1009" spans="1:11" s="47" customFormat="1" ht="15.75" customHeight="1" x14ac:dyDescent="0.2">
      <c r="B1009" s="725"/>
      <c r="C1009" s="726"/>
      <c r="D1009" s="726"/>
      <c r="E1009" s="726"/>
      <c r="F1009" s="726"/>
      <c r="G1009" s="726"/>
      <c r="H1009" s="727"/>
      <c r="I1009" s="584">
        <f>I1008/C1008</f>
        <v>699.94</v>
      </c>
      <c r="K1009" s="11"/>
    </row>
    <row r="1010" spans="1:11" s="47" customFormat="1" ht="14.25" customHeight="1" x14ac:dyDescent="0.2">
      <c r="B1010" s="351" t="s">
        <v>135</v>
      </c>
      <c r="C1010" s="520">
        <f>BDI!C$36</f>
        <v>25</v>
      </c>
      <c r="D1010" s="352" t="s">
        <v>103</v>
      </c>
      <c r="E1010" s="353"/>
      <c r="F1010" s="353"/>
      <c r="G1010" s="353"/>
      <c r="H1010" s="354"/>
      <c r="I1010" s="583">
        <f>C1010/100*I1009</f>
        <v>174.99</v>
      </c>
    </row>
    <row r="1011" spans="1:11" s="47" customFormat="1" ht="17.25" customHeight="1" thickBot="1" x14ac:dyDescent="0.25">
      <c r="B1011" s="708" t="s">
        <v>51</v>
      </c>
      <c r="C1011" s="708"/>
      <c r="D1011" s="708"/>
      <c r="E1011" s="708"/>
      <c r="F1011" s="708"/>
      <c r="G1011" s="708"/>
      <c r="H1011" s="708"/>
      <c r="I1011" s="549">
        <f>SUM(I1009:I1010)</f>
        <v>874.93</v>
      </c>
    </row>
    <row r="1012" spans="1:11" s="47" customFormat="1" ht="33" customHeight="1" x14ac:dyDescent="0.2">
      <c r="B1012" s="577" t="s">
        <v>361</v>
      </c>
      <c r="C1012" s="579" t="s">
        <v>599</v>
      </c>
      <c r="D1012" s="754" t="s">
        <v>30</v>
      </c>
      <c r="E1012" s="754"/>
      <c r="F1012" s="754"/>
      <c r="G1012" s="754"/>
      <c r="H1012" s="754"/>
      <c r="I1012" s="754"/>
    </row>
    <row r="1013" spans="1:11" x14ac:dyDescent="0.2">
      <c r="A1013" s="33"/>
      <c r="B1013" s="718" t="s">
        <v>134</v>
      </c>
      <c r="C1013" s="719"/>
      <c r="D1013" s="719"/>
      <c r="E1013" s="719"/>
      <c r="F1013" s="719"/>
      <c r="G1013" s="720"/>
      <c r="H1013" s="715" t="s">
        <v>572</v>
      </c>
      <c r="I1013" s="716"/>
      <c r="K1013" s="47"/>
    </row>
    <row r="1014" spans="1:11" ht="24" customHeight="1" x14ac:dyDescent="0.2">
      <c r="B1014" s="731" t="s">
        <v>568</v>
      </c>
      <c r="C1014" s="717"/>
      <c r="D1014" s="717"/>
      <c r="E1014" s="717"/>
      <c r="F1014" s="717"/>
      <c r="G1014" s="717"/>
      <c r="H1014" s="12" t="s">
        <v>31</v>
      </c>
      <c r="I1014" s="199" t="s">
        <v>143</v>
      </c>
      <c r="K1014" s="47"/>
    </row>
    <row r="1015" spans="1:11" ht="17.25" customHeight="1" x14ac:dyDescent="0.2">
      <c r="B1015" s="732" t="s">
        <v>32</v>
      </c>
      <c r="C1015" s="712"/>
      <c r="D1015" s="712"/>
      <c r="E1015" s="712"/>
      <c r="F1015" s="712"/>
      <c r="G1015" s="712"/>
      <c r="H1015" s="712"/>
      <c r="I1015" s="733"/>
    </row>
    <row r="1016" spans="1:11" s="47" customFormat="1" ht="30" customHeight="1" x14ac:dyDescent="0.2">
      <c r="B1016" s="75" t="s">
        <v>33</v>
      </c>
      <c r="C1016" s="62" t="s">
        <v>5</v>
      </c>
      <c r="D1016" s="14" t="s">
        <v>6</v>
      </c>
      <c r="E1016" s="14" t="s">
        <v>35</v>
      </c>
      <c r="F1016" s="14" t="s">
        <v>36</v>
      </c>
      <c r="G1016" s="14" t="s">
        <v>37</v>
      </c>
      <c r="H1016" s="14" t="s">
        <v>38</v>
      </c>
      <c r="I1016" s="200" t="s">
        <v>39</v>
      </c>
      <c r="K1016" s="11"/>
    </row>
    <row r="1017" spans="1:11" ht="15.95" customHeight="1" x14ac:dyDescent="0.2">
      <c r="B1017" s="35" t="s">
        <v>292</v>
      </c>
      <c r="C1017" s="28" t="s">
        <v>41</v>
      </c>
      <c r="D1017" s="628">
        <v>4.5</v>
      </c>
      <c r="E1017" s="20">
        <v>1</v>
      </c>
      <c r="F1017" s="20"/>
      <c r="G1017" s="582">
        <f>INSUMOS!E59</f>
        <v>67.5</v>
      </c>
      <c r="H1017" s="20"/>
      <c r="I1017" s="568">
        <f>D1017*G1017</f>
        <v>303.75</v>
      </c>
    </row>
    <row r="1018" spans="1:11" ht="15.95" customHeight="1" x14ac:dyDescent="0.2">
      <c r="B1018" s="734" t="s">
        <v>43</v>
      </c>
      <c r="C1018" s="713"/>
      <c r="D1018" s="713"/>
      <c r="E1018" s="713"/>
      <c r="F1018" s="713"/>
      <c r="G1018" s="713"/>
      <c r="H1018" s="713"/>
      <c r="I1018" s="567">
        <f>SUM(I1017:I1017)</f>
        <v>303.75</v>
      </c>
      <c r="K1018" s="47"/>
    </row>
    <row r="1019" spans="1:11" ht="15.95" customHeight="1" x14ac:dyDescent="0.2">
      <c r="B1019" s="732" t="s">
        <v>44</v>
      </c>
      <c r="C1019" s="712"/>
      <c r="D1019" s="712"/>
      <c r="E1019" s="712"/>
      <c r="F1019" s="712"/>
      <c r="G1019" s="712"/>
      <c r="H1019" s="712"/>
      <c r="I1019" s="733"/>
    </row>
    <row r="1020" spans="1:11" ht="15.95" customHeight="1" x14ac:dyDescent="0.2">
      <c r="B1020" s="382" t="s">
        <v>33</v>
      </c>
      <c r="C1020" s="357" t="s">
        <v>5</v>
      </c>
      <c r="D1020" s="24" t="s">
        <v>6</v>
      </c>
      <c r="E1020" s="25"/>
      <c r="F1020" s="25"/>
      <c r="G1020" s="25"/>
      <c r="H1020" s="24" t="s">
        <v>45</v>
      </c>
      <c r="I1020" s="201" t="s">
        <v>39</v>
      </c>
    </row>
    <row r="1021" spans="1:11" ht="15.95" customHeight="1" x14ac:dyDescent="0.2">
      <c r="B1021" s="387" t="s">
        <v>221</v>
      </c>
      <c r="C1021" s="388" t="s">
        <v>53</v>
      </c>
      <c r="D1021" s="629">
        <v>5.6</v>
      </c>
      <c r="E1021" s="196"/>
      <c r="F1021" s="196"/>
      <c r="G1021" s="196"/>
      <c r="H1021" s="607">
        <f>INSUMOS!E96</f>
        <v>4.1100000000000003</v>
      </c>
      <c r="I1021" s="568">
        <f>H1021*D1021</f>
        <v>23.02</v>
      </c>
    </row>
    <row r="1022" spans="1:11" s="47" customFormat="1" ht="30" customHeight="1" x14ac:dyDescent="0.2">
      <c r="B1022" s="387" t="s">
        <v>222</v>
      </c>
      <c r="C1022" s="388" t="s">
        <v>53</v>
      </c>
      <c r="D1022" s="629">
        <v>3.2</v>
      </c>
      <c r="E1022" s="196"/>
      <c r="F1022" s="196"/>
      <c r="G1022" s="196"/>
      <c r="H1022" s="607">
        <f>INSUMOS!E94</f>
        <v>4.1100000000000003</v>
      </c>
      <c r="I1022" s="568">
        <f>H1022*D1022</f>
        <v>13.15</v>
      </c>
      <c r="K1022" s="11"/>
    </row>
    <row r="1023" spans="1:11" ht="57" customHeight="1" x14ac:dyDescent="0.2">
      <c r="B1023" s="202" t="s">
        <v>223</v>
      </c>
      <c r="C1023" s="388" t="s">
        <v>224</v>
      </c>
      <c r="D1023" s="629">
        <v>6.16</v>
      </c>
      <c r="E1023" s="196"/>
      <c r="F1023" s="196"/>
      <c r="G1023" s="196"/>
      <c r="H1023" s="607">
        <f>INSUMOS!E97</f>
        <v>17.739999999999998</v>
      </c>
      <c r="I1023" s="568">
        <f>H1023*D1023</f>
        <v>109.28</v>
      </c>
    </row>
    <row r="1024" spans="1:11" ht="15.95" customHeight="1" x14ac:dyDescent="0.2">
      <c r="B1024" s="734" t="s">
        <v>43</v>
      </c>
      <c r="C1024" s="713"/>
      <c r="D1024" s="735"/>
      <c r="E1024" s="713"/>
      <c r="F1024" s="713"/>
      <c r="G1024" s="713"/>
      <c r="H1024" s="713"/>
      <c r="I1024" s="568">
        <f>SUM(I1021:I1023)</f>
        <v>145.44999999999999</v>
      </c>
      <c r="K1024" s="47"/>
    </row>
    <row r="1025" spans="2:11" ht="28.5" customHeight="1" x14ac:dyDescent="0.2">
      <c r="B1025" s="732" t="s">
        <v>46</v>
      </c>
      <c r="C1025" s="712"/>
      <c r="D1025" s="712"/>
      <c r="E1025" s="712"/>
      <c r="F1025" s="712"/>
      <c r="G1025" s="712"/>
      <c r="H1025" s="712"/>
      <c r="I1025" s="733"/>
    </row>
    <row r="1026" spans="2:11" ht="27" customHeight="1" x14ac:dyDescent="0.2">
      <c r="B1026" s="390" t="s">
        <v>33</v>
      </c>
      <c r="C1026" s="27" t="s">
        <v>5</v>
      </c>
      <c r="D1026" s="20" t="s">
        <v>6</v>
      </c>
      <c r="E1026" s="21"/>
      <c r="F1026" s="21"/>
      <c r="G1026" s="21"/>
      <c r="H1026" s="20" t="s">
        <v>45</v>
      </c>
      <c r="I1026" s="201" t="s">
        <v>39</v>
      </c>
    </row>
    <row r="1027" spans="2:11" ht="21" customHeight="1" x14ac:dyDescent="0.2">
      <c r="B1027" s="202" t="s">
        <v>296</v>
      </c>
      <c r="C1027" s="388" t="s">
        <v>225</v>
      </c>
      <c r="D1027" s="630">
        <f>0.311+0.972+0.284</f>
        <v>1.5669999999999999</v>
      </c>
      <c r="E1027" s="196"/>
      <c r="F1027" s="196"/>
      <c r="G1027" s="196"/>
      <c r="H1027" s="607">
        <f>I1412</f>
        <v>335.33</v>
      </c>
      <c r="I1027" s="568">
        <f>H1027*D1027</f>
        <v>525.46</v>
      </c>
    </row>
    <row r="1028" spans="2:11" ht="18.75" customHeight="1" x14ac:dyDescent="0.2">
      <c r="B1028" s="203" t="s">
        <v>226</v>
      </c>
      <c r="C1028" s="204" t="s">
        <v>52</v>
      </c>
      <c r="D1028" s="627">
        <v>2.7</v>
      </c>
      <c r="E1028" s="326"/>
      <c r="F1028" s="326"/>
      <c r="G1028" s="326"/>
      <c r="H1028" s="607">
        <f>I1177</f>
        <v>6.3</v>
      </c>
      <c r="I1028" s="544">
        <f>D1028*H1028</f>
        <v>17.010000000000002</v>
      </c>
    </row>
    <row r="1029" spans="2:11" ht="15.95" customHeight="1" x14ac:dyDescent="0.2">
      <c r="B1029" s="734" t="s">
        <v>43</v>
      </c>
      <c r="C1029" s="713"/>
      <c r="D1029" s="713"/>
      <c r="E1029" s="713"/>
      <c r="F1029" s="713"/>
      <c r="G1029" s="713"/>
      <c r="H1029" s="713"/>
      <c r="I1029" s="568">
        <f>SUM(I1027:I1028)</f>
        <v>542.47</v>
      </c>
    </row>
    <row r="1030" spans="2:11" ht="15.95" customHeight="1" x14ac:dyDescent="0.2">
      <c r="B1030" s="732" t="s">
        <v>47</v>
      </c>
      <c r="C1030" s="712"/>
      <c r="D1030" s="712"/>
      <c r="E1030" s="712"/>
      <c r="F1030" s="712"/>
      <c r="G1030" s="712"/>
      <c r="H1030" s="712"/>
      <c r="I1030" s="733"/>
    </row>
    <row r="1031" spans="2:11" ht="15.95" customHeight="1" x14ac:dyDescent="0.2">
      <c r="B1031" s="206" t="s">
        <v>33</v>
      </c>
      <c r="C1031" s="361" t="s">
        <v>5</v>
      </c>
      <c r="D1031" s="330" t="s">
        <v>6</v>
      </c>
      <c r="E1031" s="21"/>
      <c r="F1031" s="21"/>
      <c r="G1031" s="21"/>
      <c r="H1031" s="20" t="s">
        <v>45</v>
      </c>
      <c r="I1031" s="197" t="s">
        <v>39</v>
      </c>
    </row>
    <row r="1032" spans="2:11" s="47" customFormat="1" ht="16.5" customHeight="1" x14ac:dyDescent="0.2">
      <c r="B1032" s="207" t="s">
        <v>83</v>
      </c>
      <c r="C1032" s="27" t="s">
        <v>41</v>
      </c>
      <c r="D1032" s="582">
        <v>8.5</v>
      </c>
      <c r="E1032" s="21"/>
      <c r="F1032" s="21"/>
      <c r="G1032" s="21"/>
      <c r="H1032" s="582">
        <f>INSUMOS!E17</f>
        <v>10.37</v>
      </c>
      <c r="I1032" s="583">
        <f>H1032*D1032</f>
        <v>88.15</v>
      </c>
      <c r="K1032" s="11"/>
    </row>
    <row r="1033" spans="2:11" x14ac:dyDescent="0.2">
      <c r="B1033" s="207" t="s">
        <v>48</v>
      </c>
      <c r="C1033" s="27" t="s">
        <v>41</v>
      </c>
      <c r="D1033" s="582">
        <v>8.5</v>
      </c>
      <c r="E1033" s="21"/>
      <c r="F1033" s="21"/>
      <c r="G1033" s="21"/>
      <c r="H1033" s="582">
        <f>INSUMOS!E13</f>
        <v>7.81</v>
      </c>
      <c r="I1033" s="583">
        <f>H1033*D1033</f>
        <v>66.39</v>
      </c>
    </row>
    <row r="1034" spans="2:11" x14ac:dyDescent="0.2">
      <c r="B1034" s="329" t="s">
        <v>357</v>
      </c>
      <c r="C1034" s="361" t="s">
        <v>41</v>
      </c>
      <c r="D1034" s="631">
        <v>3</v>
      </c>
      <c r="E1034" s="21"/>
      <c r="F1034" s="21"/>
      <c r="G1034" s="21"/>
      <c r="H1034" s="582">
        <f>INSUMOS!E107</f>
        <v>10.37</v>
      </c>
      <c r="I1034" s="583">
        <f t="shared" ref="I1034:I1035" si="6">H1034*D1034</f>
        <v>31.11</v>
      </c>
      <c r="K1034" s="47"/>
    </row>
    <row r="1035" spans="2:11" x14ac:dyDescent="0.2">
      <c r="B1035" s="329" t="s">
        <v>54</v>
      </c>
      <c r="C1035" s="361" t="s">
        <v>41</v>
      </c>
      <c r="D1035" s="631">
        <v>3</v>
      </c>
      <c r="E1035" s="21"/>
      <c r="F1035" s="21"/>
      <c r="G1035" s="21"/>
      <c r="H1035" s="582">
        <f>INSUMOS!E16</f>
        <v>10.37</v>
      </c>
      <c r="I1035" s="583">
        <f t="shared" si="6"/>
        <v>31.11</v>
      </c>
    </row>
    <row r="1036" spans="2:11" x14ac:dyDescent="0.2">
      <c r="B1036" s="734" t="s">
        <v>43</v>
      </c>
      <c r="C1036" s="713"/>
      <c r="D1036" s="713"/>
      <c r="E1036" s="713"/>
      <c r="F1036" s="713"/>
      <c r="G1036" s="713"/>
      <c r="H1036" s="713"/>
      <c r="I1036" s="567">
        <f>SUM(I1032:I1035)</f>
        <v>216.76</v>
      </c>
    </row>
    <row r="1037" spans="2:11" x14ac:dyDescent="0.2">
      <c r="B1037" s="385" t="s">
        <v>49</v>
      </c>
      <c r="C1037" s="277">
        <v>1</v>
      </c>
      <c r="D1037" s="709" t="s">
        <v>50</v>
      </c>
      <c r="E1037" s="710"/>
      <c r="F1037" s="710"/>
      <c r="G1037" s="710"/>
      <c r="H1037" s="711"/>
      <c r="I1037" s="567">
        <f>I1018+I1024+I1029+I1036</f>
        <v>1208.43</v>
      </c>
    </row>
    <row r="1038" spans="2:11" x14ac:dyDescent="0.2">
      <c r="B1038" s="755"/>
      <c r="C1038" s="726"/>
      <c r="D1038" s="726"/>
      <c r="E1038" s="726"/>
      <c r="F1038" s="726"/>
      <c r="G1038" s="726"/>
      <c r="H1038" s="727"/>
      <c r="I1038" s="567">
        <f>I1037/C1037</f>
        <v>1208.43</v>
      </c>
    </row>
    <row r="1039" spans="2:11" x14ac:dyDescent="0.2">
      <c r="B1039" s="386" t="s">
        <v>135</v>
      </c>
      <c r="C1039" s="520">
        <f>BDI!C$36</f>
        <v>25</v>
      </c>
      <c r="D1039" s="352" t="s">
        <v>103</v>
      </c>
      <c r="E1039" s="353"/>
      <c r="F1039" s="353"/>
      <c r="G1039" s="353"/>
      <c r="H1039" s="354"/>
      <c r="I1039" s="568">
        <f>C1039/100*I1038</f>
        <v>302.11</v>
      </c>
    </row>
    <row r="1040" spans="2:11" ht="13.5" thickBot="1" x14ac:dyDescent="0.25">
      <c r="B1040" s="752" t="s">
        <v>51</v>
      </c>
      <c r="C1040" s="753"/>
      <c r="D1040" s="753"/>
      <c r="E1040" s="753"/>
      <c r="F1040" s="753"/>
      <c r="G1040" s="753"/>
      <c r="H1040" s="753"/>
      <c r="I1040" s="549">
        <f>SUM(I1038:I1039)</f>
        <v>1510.54</v>
      </c>
    </row>
    <row r="1041" spans="2:9" ht="15.75" x14ac:dyDescent="0.2">
      <c r="B1041" s="577" t="s">
        <v>361</v>
      </c>
      <c r="C1041" s="578" t="s">
        <v>587</v>
      </c>
      <c r="D1041" s="714" t="s">
        <v>30</v>
      </c>
      <c r="E1041" s="714"/>
      <c r="F1041" s="714"/>
      <c r="G1041" s="714"/>
      <c r="H1041" s="714"/>
      <c r="I1041" s="714"/>
    </row>
    <row r="1042" spans="2:9" x14ac:dyDescent="0.2">
      <c r="B1042" s="718" t="s">
        <v>134</v>
      </c>
      <c r="C1042" s="719"/>
      <c r="D1042" s="719"/>
      <c r="E1042" s="719"/>
      <c r="F1042" s="719"/>
      <c r="G1042" s="720"/>
      <c r="H1042" s="715" t="s">
        <v>572</v>
      </c>
      <c r="I1042" s="716"/>
    </row>
    <row r="1043" spans="2:9" x14ac:dyDescent="0.2">
      <c r="B1043" s="766" t="s">
        <v>352</v>
      </c>
      <c r="C1043" s="766"/>
      <c r="D1043" s="766"/>
      <c r="E1043" s="766"/>
      <c r="F1043" s="766"/>
      <c r="G1043" s="766"/>
      <c r="H1043" s="12" t="s">
        <v>31</v>
      </c>
      <c r="I1043" s="199" t="s">
        <v>143</v>
      </c>
    </row>
    <row r="1044" spans="2:9" x14ac:dyDescent="0.2">
      <c r="B1044" s="730" t="s">
        <v>32</v>
      </c>
      <c r="C1044" s="730"/>
      <c r="D1044" s="730"/>
      <c r="E1044" s="730"/>
      <c r="F1044" s="730"/>
      <c r="G1044" s="730"/>
      <c r="H1044" s="730"/>
      <c r="I1044" s="730"/>
    </row>
    <row r="1045" spans="2:9" ht="25.5" x14ac:dyDescent="0.2">
      <c r="B1045" s="215" t="s">
        <v>33</v>
      </c>
      <c r="C1045" s="216" t="s">
        <v>5</v>
      </c>
      <c r="D1045" s="217" t="s">
        <v>6</v>
      </c>
      <c r="E1045" s="218" t="s">
        <v>35</v>
      </c>
      <c r="F1045" s="218" t="s">
        <v>36</v>
      </c>
      <c r="G1045" s="218" t="s">
        <v>37</v>
      </c>
      <c r="H1045" s="218" t="s">
        <v>38</v>
      </c>
      <c r="I1045" s="219" t="s">
        <v>39</v>
      </c>
    </row>
    <row r="1046" spans="2:9" x14ac:dyDescent="0.2">
      <c r="B1046" s="35"/>
      <c r="C1046" s="34"/>
      <c r="D1046" s="34"/>
      <c r="E1046" s="24"/>
      <c r="F1046" s="24"/>
      <c r="G1046" s="24"/>
      <c r="H1046" s="24"/>
      <c r="I1046" s="30"/>
    </row>
    <row r="1047" spans="2:9" x14ac:dyDescent="0.2">
      <c r="B1047" s="713" t="s">
        <v>43</v>
      </c>
      <c r="C1047" s="713"/>
      <c r="D1047" s="713"/>
      <c r="E1047" s="713"/>
      <c r="F1047" s="713"/>
      <c r="G1047" s="713"/>
      <c r="H1047" s="713"/>
      <c r="I1047" s="344"/>
    </row>
    <row r="1048" spans="2:9" x14ac:dyDescent="0.2">
      <c r="B1048" s="730" t="s">
        <v>44</v>
      </c>
      <c r="C1048" s="730"/>
      <c r="D1048" s="730"/>
      <c r="E1048" s="730"/>
      <c r="F1048" s="730"/>
      <c r="G1048" s="730"/>
      <c r="H1048" s="730"/>
      <c r="I1048" s="730"/>
    </row>
    <row r="1049" spans="2:9" x14ac:dyDescent="0.2">
      <c r="B1049" s="362" t="s">
        <v>33</v>
      </c>
      <c r="C1049" s="357" t="s">
        <v>5</v>
      </c>
      <c r="D1049" s="25" t="s">
        <v>6</v>
      </c>
      <c r="E1049" s="25"/>
      <c r="F1049" s="25"/>
      <c r="G1049" s="25"/>
      <c r="H1049" s="24" t="s">
        <v>45</v>
      </c>
      <c r="I1049" s="36" t="s">
        <v>39</v>
      </c>
    </row>
    <row r="1050" spans="2:9" x14ac:dyDescent="0.2">
      <c r="B1050" s="328"/>
      <c r="C1050" s="28"/>
      <c r="D1050" s="29"/>
      <c r="E1050" s="21"/>
      <c r="F1050" s="21"/>
      <c r="G1050" s="21"/>
      <c r="H1050" s="20"/>
      <c r="I1050" s="30"/>
    </row>
    <row r="1051" spans="2:9" x14ac:dyDescent="0.2">
      <c r="B1051" s="713" t="s">
        <v>43</v>
      </c>
      <c r="C1051" s="713"/>
      <c r="D1051" s="713"/>
      <c r="E1051" s="713"/>
      <c r="F1051" s="713"/>
      <c r="G1051" s="713"/>
      <c r="H1051" s="713"/>
      <c r="I1051" s="30"/>
    </row>
    <row r="1052" spans="2:9" x14ac:dyDescent="0.2">
      <c r="B1052" s="730" t="s">
        <v>46</v>
      </c>
      <c r="C1052" s="730"/>
      <c r="D1052" s="730"/>
      <c r="E1052" s="730"/>
      <c r="F1052" s="730"/>
      <c r="G1052" s="730"/>
      <c r="H1052" s="730"/>
      <c r="I1052" s="730"/>
    </row>
    <row r="1053" spans="2:9" x14ac:dyDescent="0.2">
      <c r="B1053" s="348" t="s">
        <v>33</v>
      </c>
      <c r="C1053" s="356" t="s">
        <v>5</v>
      </c>
      <c r="D1053" s="21" t="s">
        <v>6</v>
      </c>
      <c r="E1053" s="21"/>
      <c r="F1053" s="21"/>
      <c r="G1053" s="21"/>
      <c r="H1053" s="20" t="s">
        <v>45</v>
      </c>
      <c r="I1053" s="36" t="s">
        <v>39</v>
      </c>
    </row>
    <row r="1054" spans="2:9" x14ac:dyDescent="0.2">
      <c r="B1054" s="328"/>
      <c r="C1054" s="20"/>
      <c r="D1054" s="21"/>
      <c r="E1054" s="21"/>
      <c r="F1054" s="21"/>
      <c r="G1054" s="21"/>
      <c r="H1054" s="20"/>
      <c r="I1054" s="30"/>
    </row>
    <row r="1055" spans="2:9" x14ac:dyDescent="0.2">
      <c r="B1055" s="713"/>
      <c r="C1055" s="713"/>
      <c r="D1055" s="713"/>
      <c r="E1055" s="713"/>
      <c r="F1055" s="713"/>
      <c r="G1055" s="713"/>
      <c r="H1055" s="713"/>
      <c r="I1055" s="30"/>
    </row>
    <row r="1056" spans="2:9" x14ac:dyDescent="0.2">
      <c r="B1056" s="730" t="s">
        <v>47</v>
      </c>
      <c r="C1056" s="730"/>
      <c r="D1056" s="730"/>
      <c r="E1056" s="730"/>
      <c r="F1056" s="730"/>
      <c r="G1056" s="730"/>
      <c r="H1056" s="730"/>
      <c r="I1056" s="730"/>
    </row>
    <row r="1057" spans="2:9" x14ac:dyDescent="0.2">
      <c r="B1057" s="362" t="s">
        <v>33</v>
      </c>
      <c r="C1057" s="357" t="s">
        <v>5</v>
      </c>
      <c r="D1057" s="395" t="s">
        <v>6</v>
      </c>
      <c r="E1057" s="395"/>
      <c r="F1057" s="395"/>
      <c r="G1057" s="395"/>
      <c r="H1057" s="363" t="s">
        <v>45</v>
      </c>
      <c r="I1057" s="408" t="s">
        <v>39</v>
      </c>
    </row>
    <row r="1058" spans="2:9" x14ac:dyDescent="0.2">
      <c r="B1058" s="409" t="s">
        <v>97</v>
      </c>
      <c r="C1058" s="27" t="s">
        <v>13</v>
      </c>
      <c r="D1058" s="582">
        <v>0.05</v>
      </c>
      <c r="E1058" s="25"/>
      <c r="F1058" s="25"/>
      <c r="G1058" s="25"/>
      <c r="H1058" s="582">
        <f>INSUMOS!E22</f>
        <v>10052.36</v>
      </c>
      <c r="I1058" s="583">
        <f>D1058*H1058</f>
        <v>502.62</v>
      </c>
    </row>
    <row r="1059" spans="2:9" x14ac:dyDescent="0.2">
      <c r="B1059" s="410" t="s">
        <v>98</v>
      </c>
      <c r="C1059" s="27" t="s">
        <v>13</v>
      </c>
      <c r="D1059" s="582">
        <v>0.05</v>
      </c>
      <c r="E1059" s="25"/>
      <c r="F1059" s="25"/>
      <c r="G1059" s="25"/>
      <c r="H1059" s="582">
        <f>INSUMOS!E23</f>
        <v>4110.0200000000004</v>
      </c>
      <c r="I1059" s="583">
        <f t="shared" ref="I1059" si="7">D1059*H1059</f>
        <v>205.5</v>
      </c>
    </row>
    <row r="1060" spans="2:9" x14ac:dyDescent="0.2">
      <c r="B1060" s="713" t="s">
        <v>43</v>
      </c>
      <c r="C1060" s="713"/>
      <c r="D1060" s="713"/>
      <c r="E1060" s="713"/>
      <c r="F1060" s="713"/>
      <c r="G1060" s="713"/>
      <c r="H1060" s="713"/>
      <c r="I1060" s="599">
        <f>SUM(I1058:I1059)</f>
        <v>708.12</v>
      </c>
    </row>
    <row r="1061" spans="2:9" x14ac:dyDescent="0.2">
      <c r="B1061" s="350" t="s">
        <v>49</v>
      </c>
      <c r="C1061" s="20">
        <v>1</v>
      </c>
      <c r="D1061" s="728" t="s">
        <v>50</v>
      </c>
      <c r="E1061" s="728"/>
      <c r="F1061" s="728"/>
      <c r="G1061" s="728"/>
      <c r="H1061" s="728"/>
      <c r="I1061" s="599">
        <f>I1060+I1055+I1051+I1047</f>
        <v>708.12</v>
      </c>
    </row>
    <row r="1062" spans="2:9" x14ac:dyDescent="0.2">
      <c r="B1062" s="351"/>
      <c r="C1062" s="396"/>
      <c r="D1062" s="397"/>
      <c r="E1062" s="397"/>
      <c r="F1062" s="397"/>
      <c r="G1062" s="397"/>
      <c r="H1062" s="196"/>
      <c r="I1062" s="584">
        <f>I1061/C1061</f>
        <v>708.12</v>
      </c>
    </row>
    <row r="1063" spans="2:9" x14ac:dyDescent="0.2">
      <c r="B1063" s="351" t="s">
        <v>242</v>
      </c>
      <c r="C1063" s="520">
        <f>BDI!C$36</f>
        <v>25</v>
      </c>
      <c r="D1063" s="353" t="s">
        <v>103</v>
      </c>
      <c r="E1063" s="353"/>
      <c r="F1063" s="353"/>
      <c r="G1063" s="353"/>
      <c r="H1063" s="354"/>
      <c r="I1063" s="583">
        <f>C1063/100*I1062</f>
        <v>177.03</v>
      </c>
    </row>
    <row r="1064" spans="2:9" ht="13.5" thickBot="1" x14ac:dyDescent="0.25">
      <c r="B1064" s="708" t="s">
        <v>51</v>
      </c>
      <c r="C1064" s="729"/>
      <c r="D1064" s="708"/>
      <c r="E1064" s="708"/>
      <c r="F1064" s="708"/>
      <c r="G1064" s="708"/>
      <c r="H1064" s="708"/>
      <c r="I1064" s="549">
        <f>I1062+I1063</f>
        <v>885.15</v>
      </c>
    </row>
    <row r="1065" spans="2:9" ht="13.5" thickBot="1" x14ac:dyDescent="0.25">
      <c r="B1065" s="23"/>
      <c r="C1065" s="23"/>
      <c r="D1065" s="23"/>
      <c r="E1065" s="23"/>
      <c r="F1065" s="23"/>
      <c r="G1065" s="23"/>
      <c r="H1065" s="23"/>
      <c r="I1065" s="322"/>
    </row>
    <row r="1066" spans="2:9" ht="15.75" x14ac:dyDescent="0.2">
      <c r="B1066" s="577" t="s">
        <v>361</v>
      </c>
      <c r="C1066" s="578" t="s">
        <v>588</v>
      </c>
      <c r="D1066" s="714" t="s">
        <v>30</v>
      </c>
      <c r="E1066" s="714"/>
      <c r="F1066" s="714"/>
      <c r="G1066" s="714"/>
      <c r="H1066" s="714"/>
      <c r="I1066" s="714"/>
    </row>
    <row r="1067" spans="2:9" x14ac:dyDescent="0.2">
      <c r="B1067" s="718" t="s">
        <v>134</v>
      </c>
      <c r="C1067" s="719"/>
      <c r="D1067" s="719"/>
      <c r="E1067" s="719"/>
      <c r="F1067" s="719"/>
      <c r="G1067" s="720"/>
      <c r="H1067" s="715" t="s">
        <v>572</v>
      </c>
      <c r="I1067" s="716"/>
    </row>
    <row r="1068" spans="2:9" x14ac:dyDescent="0.2">
      <c r="B1068" s="766" t="s">
        <v>355</v>
      </c>
      <c r="C1068" s="766"/>
      <c r="D1068" s="766"/>
      <c r="E1068" s="766"/>
      <c r="F1068" s="766"/>
      <c r="G1068" s="766"/>
      <c r="H1068" s="12" t="s">
        <v>31</v>
      </c>
      <c r="I1068" s="214" t="s">
        <v>19</v>
      </c>
    </row>
    <row r="1069" spans="2:9" x14ac:dyDescent="0.2">
      <c r="B1069" s="730" t="s">
        <v>32</v>
      </c>
      <c r="C1069" s="730"/>
      <c r="D1069" s="730"/>
      <c r="E1069" s="730"/>
      <c r="F1069" s="730"/>
      <c r="G1069" s="730"/>
      <c r="H1069" s="730"/>
      <c r="I1069" s="730"/>
    </row>
    <row r="1070" spans="2:9" ht="25.5" x14ac:dyDescent="0.2">
      <c r="B1070" s="411" t="s">
        <v>33</v>
      </c>
      <c r="C1070" s="412" t="s">
        <v>5</v>
      </c>
      <c r="D1070" s="413" t="s">
        <v>6</v>
      </c>
      <c r="E1070" s="414" t="s">
        <v>35</v>
      </c>
      <c r="F1070" s="414" t="s">
        <v>36</v>
      </c>
      <c r="G1070" s="414" t="s">
        <v>37</v>
      </c>
      <c r="H1070" s="414" t="s">
        <v>38</v>
      </c>
      <c r="I1070" s="415" t="s">
        <v>39</v>
      </c>
    </row>
    <row r="1071" spans="2:9" x14ac:dyDescent="0.2">
      <c r="B1071" s="35" t="s">
        <v>40</v>
      </c>
      <c r="C1071" s="34" t="s">
        <v>41</v>
      </c>
      <c r="D1071" s="632">
        <f>4/200</f>
        <v>0.02</v>
      </c>
      <c r="E1071" s="24">
        <v>1</v>
      </c>
      <c r="F1071" s="24"/>
      <c r="G1071" s="603">
        <f>INSUMOS!E59</f>
        <v>67.5</v>
      </c>
      <c r="H1071" s="24"/>
      <c r="I1071" s="583">
        <f>D1071*E1071*G1071+D1071*F1071*H1071</f>
        <v>1.35</v>
      </c>
    </row>
    <row r="1072" spans="2:9" x14ac:dyDescent="0.2">
      <c r="B1072" s="713" t="s">
        <v>43</v>
      </c>
      <c r="C1072" s="713"/>
      <c r="D1072" s="713"/>
      <c r="E1072" s="713"/>
      <c r="F1072" s="713"/>
      <c r="G1072" s="713"/>
      <c r="H1072" s="713"/>
      <c r="I1072" s="584">
        <f>SUM(I1071:I1071)</f>
        <v>1.35</v>
      </c>
    </row>
    <row r="1073" spans="2:9" x14ac:dyDescent="0.2">
      <c r="B1073" s="730" t="s">
        <v>44</v>
      </c>
      <c r="C1073" s="730"/>
      <c r="D1073" s="730"/>
      <c r="E1073" s="730"/>
      <c r="F1073" s="730"/>
      <c r="G1073" s="730"/>
      <c r="H1073" s="730"/>
      <c r="I1073" s="730"/>
    </row>
    <row r="1074" spans="2:9" x14ac:dyDescent="0.2">
      <c r="B1074" s="362" t="s">
        <v>33</v>
      </c>
      <c r="C1074" s="357" t="s">
        <v>5</v>
      </c>
      <c r="D1074" s="25" t="s">
        <v>6</v>
      </c>
      <c r="E1074" s="25"/>
      <c r="F1074" s="25"/>
      <c r="G1074" s="25"/>
      <c r="H1074" s="24" t="s">
        <v>45</v>
      </c>
      <c r="I1074" s="36" t="s">
        <v>39</v>
      </c>
    </row>
    <row r="1075" spans="2:9" x14ac:dyDescent="0.2">
      <c r="B1075" s="328" t="s">
        <v>92</v>
      </c>
      <c r="C1075" s="28" t="s">
        <v>53</v>
      </c>
      <c r="D1075" s="622">
        <f>600*149/1000/200</f>
        <v>0.45</v>
      </c>
      <c r="E1075" s="21"/>
      <c r="F1075" s="21"/>
      <c r="G1075" s="21"/>
      <c r="H1075" s="582">
        <f>INSUMOS!E90</f>
        <v>22.5</v>
      </c>
      <c r="I1075" s="583">
        <f t="shared" ref="I1075:I1081" si="8">H1075*D1075</f>
        <v>10.130000000000001</v>
      </c>
    </row>
    <row r="1076" spans="2:9" x14ac:dyDescent="0.2">
      <c r="B1076" s="328" t="s">
        <v>93</v>
      </c>
      <c r="C1076" s="28" t="s">
        <v>11</v>
      </c>
      <c r="D1076" s="622">
        <f>4/200</f>
        <v>0.02</v>
      </c>
      <c r="E1076" s="21"/>
      <c r="F1076" s="21"/>
      <c r="G1076" s="21"/>
      <c r="H1076" s="582">
        <f>INSUMOS!E86</f>
        <v>732.97</v>
      </c>
      <c r="I1076" s="583">
        <f t="shared" si="8"/>
        <v>14.66</v>
      </c>
    </row>
    <row r="1077" spans="2:9" x14ac:dyDescent="0.2">
      <c r="B1077" s="328" t="s">
        <v>94</v>
      </c>
      <c r="C1077" s="28" t="s">
        <v>11</v>
      </c>
      <c r="D1077" s="622">
        <f>12/200</f>
        <v>0.06</v>
      </c>
      <c r="E1077" s="21"/>
      <c r="F1077" s="21"/>
      <c r="G1077" s="21"/>
      <c r="H1077" s="582">
        <f>INSUMOS!E87</f>
        <v>6.41</v>
      </c>
      <c r="I1077" s="583">
        <f t="shared" si="8"/>
        <v>0.38</v>
      </c>
    </row>
    <row r="1078" spans="2:9" ht="25.5" x14ac:dyDescent="0.2">
      <c r="B1078" s="328" t="s">
        <v>247</v>
      </c>
      <c r="C1078" s="28" t="s">
        <v>11</v>
      </c>
      <c r="D1078" s="622">
        <f>4/200</f>
        <v>0.02</v>
      </c>
      <c r="E1078" s="21"/>
      <c r="F1078" s="21"/>
      <c r="G1078" s="21"/>
      <c r="H1078" s="582">
        <f>INSUMOS!E88</f>
        <v>22.95</v>
      </c>
      <c r="I1078" s="583">
        <f t="shared" si="8"/>
        <v>0.46</v>
      </c>
    </row>
    <row r="1079" spans="2:9" x14ac:dyDescent="0.2">
      <c r="B1079" s="328" t="s">
        <v>95</v>
      </c>
      <c r="C1079" s="28" t="s">
        <v>11</v>
      </c>
      <c r="D1079" s="622">
        <f>12/200</f>
        <v>0.06</v>
      </c>
      <c r="E1079" s="21"/>
      <c r="F1079" s="21"/>
      <c r="G1079" s="21"/>
      <c r="H1079" s="582">
        <f>INSUMOS!E89</f>
        <v>2.42</v>
      </c>
      <c r="I1079" s="583">
        <f t="shared" si="8"/>
        <v>0.15</v>
      </c>
    </row>
    <row r="1080" spans="2:9" x14ac:dyDescent="0.2">
      <c r="B1080" s="328" t="s">
        <v>96</v>
      </c>
      <c r="C1080" s="28" t="s">
        <v>11</v>
      </c>
      <c r="D1080" s="622">
        <f>8/200</f>
        <v>0.04</v>
      </c>
      <c r="E1080" s="21"/>
      <c r="F1080" s="21"/>
      <c r="G1080" s="21"/>
      <c r="H1080" s="582">
        <f>INSUMOS!E91</f>
        <v>3.88</v>
      </c>
      <c r="I1080" s="583">
        <f t="shared" si="8"/>
        <v>0.16</v>
      </c>
    </row>
    <row r="1081" spans="2:9" x14ac:dyDescent="0.2">
      <c r="B1081" s="328" t="s">
        <v>248</v>
      </c>
      <c r="C1081" s="28" t="s">
        <v>11</v>
      </c>
      <c r="D1081" s="622">
        <f>8/200</f>
        <v>0.04</v>
      </c>
      <c r="E1081" s="21"/>
      <c r="F1081" s="21"/>
      <c r="G1081" s="21"/>
      <c r="H1081" s="582">
        <f>INSUMOS!E92</f>
        <v>3.88</v>
      </c>
      <c r="I1081" s="583">
        <f t="shared" si="8"/>
        <v>0.16</v>
      </c>
    </row>
    <row r="1082" spans="2:9" x14ac:dyDescent="0.2">
      <c r="B1082" s="713" t="s">
        <v>43</v>
      </c>
      <c r="C1082" s="713"/>
      <c r="D1082" s="713"/>
      <c r="E1082" s="713"/>
      <c r="F1082" s="713"/>
      <c r="G1082" s="713"/>
      <c r="H1082" s="713"/>
      <c r="I1082" s="583">
        <f>SUM(I1075:I1081)</f>
        <v>26.1</v>
      </c>
    </row>
    <row r="1083" spans="2:9" x14ac:dyDescent="0.2">
      <c r="B1083" s="730" t="s">
        <v>46</v>
      </c>
      <c r="C1083" s="730"/>
      <c r="D1083" s="730"/>
      <c r="E1083" s="730"/>
      <c r="F1083" s="730"/>
      <c r="G1083" s="730"/>
      <c r="H1083" s="730"/>
      <c r="I1083" s="730"/>
    </row>
    <row r="1084" spans="2:9" x14ac:dyDescent="0.2">
      <c r="B1084" s="348" t="s">
        <v>33</v>
      </c>
      <c r="C1084" s="356" t="s">
        <v>5</v>
      </c>
      <c r="D1084" s="21" t="s">
        <v>6</v>
      </c>
      <c r="E1084" s="21"/>
      <c r="F1084" s="21"/>
      <c r="G1084" s="21"/>
      <c r="H1084" s="20" t="s">
        <v>45</v>
      </c>
      <c r="I1084" s="36" t="s">
        <v>39</v>
      </c>
    </row>
    <row r="1085" spans="2:9" x14ac:dyDescent="0.2">
      <c r="B1085" s="328"/>
      <c r="C1085" s="20"/>
      <c r="D1085" s="21"/>
      <c r="E1085" s="21"/>
      <c r="F1085" s="21"/>
      <c r="G1085" s="21"/>
      <c r="H1085" s="20"/>
      <c r="I1085" s="30"/>
    </row>
    <row r="1086" spans="2:9" x14ac:dyDescent="0.2">
      <c r="B1086" s="713"/>
      <c r="C1086" s="713"/>
      <c r="D1086" s="713"/>
      <c r="E1086" s="713"/>
      <c r="F1086" s="713"/>
      <c r="G1086" s="713"/>
      <c r="H1086" s="713"/>
      <c r="I1086" s="30"/>
    </row>
    <row r="1087" spans="2:9" x14ac:dyDescent="0.2">
      <c r="B1087" s="730" t="s">
        <v>47</v>
      </c>
      <c r="C1087" s="730"/>
      <c r="D1087" s="730"/>
      <c r="E1087" s="730"/>
      <c r="F1087" s="730"/>
      <c r="G1087" s="730"/>
      <c r="H1087" s="730"/>
      <c r="I1087" s="730"/>
    </row>
    <row r="1088" spans="2:9" x14ac:dyDescent="0.2">
      <c r="B1088" s="362" t="s">
        <v>33</v>
      </c>
      <c r="C1088" s="357" t="s">
        <v>5</v>
      </c>
      <c r="D1088" s="395" t="s">
        <v>6</v>
      </c>
      <c r="E1088" s="395"/>
      <c r="F1088" s="395"/>
      <c r="G1088" s="395"/>
      <c r="H1088" s="363" t="s">
        <v>45</v>
      </c>
      <c r="I1088" s="408" t="s">
        <v>39</v>
      </c>
    </row>
    <row r="1089" spans="2:9" x14ac:dyDescent="0.2">
      <c r="B1089" s="410" t="s">
        <v>99</v>
      </c>
      <c r="C1089" s="27" t="s">
        <v>41</v>
      </c>
      <c r="D1089" s="582">
        <f>3/200</f>
        <v>0.02</v>
      </c>
      <c r="E1089" s="25"/>
      <c r="F1089" s="25"/>
      <c r="G1089" s="25"/>
      <c r="H1089" s="582">
        <f>INSUMOS!E24</f>
        <v>14</v>
      </c>
      <c r="I1089" s="583">
        <f t="shared" ref="I1089:I1093" si="9">D1089*H1089</f>
        <v>0.28000000000000003</v>
      </c>
    </row>
    <row r="1090" spans="2:9" x14ac:dyDescent="0.2">
      <c r="B1090" s="410" t="s">
        <v>100</v>
      </c>
      <c r="C1090" s="27" t="s">
        <v>41</v>
      </c>
      <c r="D1090" s="582">
        <f>6/200</f>
        <v>0.03</v>
      </c>
      <c r="E1090" s="25"/>
      <c r="F1090" s="25"/>
      <c r="G1090" s="25"/>
      <c r="H1090" s="582">
        <f>INSUMOS!E25</f>
        <v>10.53</v>
      </c>
      <c r="I1090" s="583">
        <f t="shared" si="9"/>
        <v>0.32</v>
      </c>
    </row>
    <row r="1091" spans="2:9" x14ac:dyDescent="0.2">
      <c r="B1091" s="410" t="s">
        <v>249</v>
      </c>
      <c r="C1091" s="27" t="s">
        <v>41</v>
      </c>
      <c r="D1091" s="582">
        <f>8/200</f>
        <v>0.04</v>
      </c>
      <c r="E1091" s="25"/>
      <c r="F1091" s="25"/>
      <c r="G1091" s="25"/>
      <c r="H1091" s="582">
        <f>INSUMOS!E18</f>
        <v>10.37</v>
      </c>
      <c r="I1091" s="583">
        <f t="shared" si="9"/>
        <v>0.41</v>
      </c>
    </row>
    <row r="1092" spans="2:9" x14ac:dyDescent="0.2">
      <c r="B1092" s="410" t="s">
        <v>298</v>
      </c>
      <c r="C1092" s="27" t="s">
        <v>41</v>
      </c>
      <c r="D1092" s="582">
        <f>8/200</f>
        <v>0.04</v>
      </c>
      <c r="E1092" s="25"/>
      <c r="F1092" s="25"/>
      <c r="G1092" s="25"/>
      <c r="H1092" s="582">
        <f>INSUMOS!E26</f>
        <v>7.81</v>
      </c>
      <c r="I1092" s="583">
        <f t="shared" si="9"/>
        <v>0.31</v>
      </c>
    </row>
    <row r="1093" spans="2:9" x14ac:dyDescent="0.2">
      <c r="B1093" s="416" t="s">
        <v>250</v>
      </c>
      <c r="C1093" s="27" t="s">
        <v>41</v>
      </c>
      <c r="D1093" s="582">
        <f>8/200</f>
        <v>0.04</v>
      </c>
      <c r="E1093" s="25"/>
      <c r="F1093" s="25"/>
      <c r="G1093" s="25"/>
      <c r="H1093" s="582">
        <f>INSUMOS!E13</f>
        <v>7.81</v>
      </c>
      <c r="I1093" s="583">
        <f t="shared" si="9"/>
        <v>0.31</v>
      </c>
    </row>
    <row r="1094" spans="2:9" x14ac:dyDescent="0.2">
      <c r="B1094" s="713" t="s">
        <v>43</v>
      </c>
      <c r="C1094" s="713"/>
      <c r="D1094" s="713"/>
      <c r="E1094" s="713"/>
      <c r="F1094" s="713"/>
      <c r="G1094" s="713"/>
      <c r="H1094" s="713"/>
      <c r="I1094" s="599">
        <f>SUM(I1089:I1093)</f>
        <v>1.63</v>
      </c>
    </row>
    <row r="1095" spans="2:9" x14ac:dyDescent="0.2">
      <c r="B1095" s="350" t="s">
        <v>49</v>
      </c>
      <c r="C1095" s="20">
        <v>1</v>
      </c>
      <c r="D1095" s="728" t="s">
        <v>50</v>
      </c>
      <c r="E1095" s="728"/>
      <c r="F1095" s="728"/>
      <c r="G1095" s="728"/>
      <c r="H1095" s="728"/>
      <c r="I1095" s="599">
        <f>I1094+I1086+I1082+I1072</f>
        <v>29.08</v>
      </c>
    </row>
    <row r="1096" spans="2:9" x14ac:dyDescent="0.2">
      <c r="B1096" s="351"/>
      <c r="C1096" s="396"/>
      <c r="D1096" s="397"/>
      <c r="E1096" s="397"/>
      <c r="F1096" s="397"/>
      <c r="G1096" s="397"/>
      <c r="H1096" s="196"/>
      <c r="I1096" s="599">
        <f>I1095/C1095</f>
        <v>29.08</v>
      </c>
    </row>
    <row r="1097" spans="2:9" x14ac:dyDescent="0.2">
      <c r="B1097" s="351" t="s">
        <v>242</v>
      </c>
      <c r="C1097" s="520">
        <f>BDI!C$36</f>
        <v>25</v>
      </c>
      <c r="D1097" s="353" t="s">
        <v>103</v>
      </c>
      <c r="E1097" s="353"/>
      <c r="F1097" s="353"/>
      <c r="G1097" s="353"/>
      <c r="H1097" s="354"/>
      <c r="I1097" s="583">
        <f>C1097/100*I1096</f>
        <v>7.27</v>
      </c>
    </row>
    <row r="1098" spans="2:9" ht="13.5" thickBot="1" x14ac:dyDescent="0.25">
      <c r="B1098" s="708" t="s">
        <v>51</v>
      </c>
      <c r="C1098" s="729"/>
      <c r="D1098" s="708"/>
      <c r="E1098" s="708"/>
      <c r="F1098" s="708"/>
      <c r="G1098" s="708"/>
      <c r="H1098" s="708"/>
      <c r="I1098" s="549">
        <f>I1096+I1097</f>
        <v>36.35</v>
      </c>
    </row>
    <row r="1099" spans="2:9" ht="15" customHeight="1" thickBot="1" x14ac:dyDescent="0.25">
      <c r="B1099" s="752"/>
      <c r="C1099" s="753"/>
      <c r="D1099" s="753"/>
      <c r="E1099" s="753"/>
      <c r="F1099" s="753"/>
      <c r="G1099" s="753"/>
      <c r="H1099" s="753"/>
      <c r="I1099" s="391"/>
    </row>
    <row r="1100" spans="2:9" ht="15.75" x14ac:dyDescent="0.2">
      <c r="B1100" s="577" t="s">
        <v>361</v>
      </c>
      <c r="C1100" s="578" t="s">
        <v>601</v>
      </c>
      <c r="D1100" s="757" t="s">
        <v>30</v>
      </c>
      <c r="E1100" s="757"/>
      <c r="F1100" s="757"/>
      <c r="G1100" s="757"/>
      <c r="H1100" s="757"/>
      <c r="I1100" s="758"/>
    </row>
    <row r="1101" spans="2:9" x14ac:dyDescent="0.2">
      <c r="B1101" s="718" t="s">
        <v>134</v>
      </c>
      <c r="C1101" s="719"/>
      <c r="D1101" s="719"/>
      <c r="E1101" s="719"/>
      <c r="F1101" s="719"/>
      <c r="G1101" s="720"/>
      <c r="H1101" s="715" t="s">
        <v>572</v>
      </c>
      <c r="I1101" s="716"/>
    </row>
    <row r="1102" spans="2:9" ht="38.25" customHeight="1" x14ac:dyDescent="0.2">
      <c r="B1102" s="807" t="s">
        <v>583</v>
      </c>
      <c r="C1102" s="808"/>
      <c r="D1102" s="808"/>
      <c r="E1102" s="808"/>
      <c r="F1102" s="808"/>
      <c r="G1102" s="809"/>
      <c r="H1102" s="289" t="s">
        <v>31</v>
      </c>
      <c r="I1102" s="290" t="s">
        <v>143</v>
      </c>
    </row>
    <row r="1103" spans="2:9" ht="15.75" x14ac:dyDescent="0.2">
      <c r="B1103" s="738" t="s">
        <v>32</v>
      </c>
      <c r="C1103" s="739"/>
      <c r="D1103" s="739"/>
      <c r="E1103" s="739"/>
      <c r="F1103" s="739"/>
      <c r="G1103" s="739"/>
      <c r="H1103" s="739"/>
      <c r="I1103" s="740"/>
    </row>
    <row r="1104" spans="2:9" ht="25.5" x14ac:dyDescent="0.2">
      <c r="B1104" s="291" t="s">
        <v>33</v>
      </c>
      <c r="C1104" s="14" t="s">
        <v>34</v>
      </c>
      <c r="D1104" s="292" t="s">
        <v>6</v>
      </c>
      <c r="E1104" s="293" t="s">
        <v>35</v>
      </c>
      <c r="F1104" s="293" t="s">
        <v>36</v>
      </c>
      <c r="G1104" s="294" t="s">
        <v>37</v>
      </c>
      <c r="H1104" s="294" t="s">
        <v>38</v>
      </c>
      <c r="I1104" s="295" t="s">
        <v>39</v>
      </c>
    </row>
    <row r="1105" spans="2:9" x14ac:dyDescent="0.2">
      <c r="B1105" s="111"/>
      <c r="C1105" s="204"/>
      <c r="D1105" s="296"/>
      <c r="E1105" s="297"/>
      <c r="F1105" s="298"/>
      <c r="G1105" s="299"/>
      <c r="H1105" s="300"/>
      <c r="I1105" s="299"/>
    </row>
    <row r="1106" spans="2:9" x14ac:dyDescent="0.2">
      <c r="B1106" s="810" t="s">
        <v>43</v>
      </c>
      <c r="C1106" s="811"/>
      <c r="D1106" s="811"/>
      <c r="E1106" s="811"/>
      <c r="F1106" s="811"/>
      <c r="G1106" s="811"/>
      <c r="H1106" s="811"/>
      <c r="I1106" s="301"/>
    </row>
    <row r="1107" spans="2:9" ht="15.75" x14ac:dyDescent="0.2">
      <c r="B1107" s="738" t="s">
        <v>44</v>
      </c>
      <c r="C1107" s="739"/>
      <c r="D1107" s="739"/>
      <c r="E1107" s="739"/>
      <c r="F1107" s="739"/>
      <c r="G1107" s="739"/>
      <c r="H1107" s="739"/>
      <c r="I1107" s="740"/>
    </row>
    <row r="1108" spans="2:9" x14ac:dyDescent="0.2">
      <c r="B1108" s="302" t="s">
        <v>33</v>
      </c>
      <c r="C1108" s="346" t="s">
        <v>34</v>
      </c>
      <c r="D1108" s="303" t="s">
        <v>6</v>
      </c>
      <c r="E1108" s="304"/>
      <c r="F1108" s="304"/>
      <c r="G1108" s="304"/>
      <c r="H1108" s="204" t="s">
        <v>45</v>
      </c>
      <c r="I1108" s="305" t="s">
        <v>39</v>
      </c>
    </row>
    <row r="1109" spans="2:9" ht="38.25" x14ac:dyDescent="0.2">
      <c r="B1109" s="111" t="s">
        <v>304</v>
      </c>
      <c r="C1109" s="59" t="s">
        <v>143</v>
      </c>
      <c r="D1109" s="625">
        <v>1</v>
      </c>
      <c r="E1109" s="308"/>
      <c r="F1109" s="308"/>
      <c r="G1109" s="308"/>
      <c r="H1109" s="543">
        <f>INSUMOS!E106</f>
        <v>139.66999999999999</v>
      </c>
      <c r="I1109" s="544">
        <f>D1109*H1109</f>
        <v>139.66999999999999</v>
      </c>
    </row>
    <row r="1110" spans="2:9" x14ac:dyDescent="0.2">
      <c r="B1110" s="741" t="s">
        <v>43</v>
      </c>
      <c r="C1110" s="742"/>
      <c r="D1110" s="742"/>
      <c r="E1110" s="742"/>
      <c r="F1110" s="742"/>
      <c r="G1110" s="742"/>
      <c r="H1110" s="742"/>
      <c r="I1110" s="544">
        <f>SUM(I1109:I1109)</f>
        <v>139.66999999999999</v>
      </c>
    </row>
    <row r="1111" spans="2:9" ht="15.75" x14ac:dyDescent="0.2">
      <c r="B1111" s="738" t="s">
        <v>46</v>
      </c>
      <c r="C1111" s="739"/>
      <c r="D1111" s="739"/>
      <c r="E1111" s="739"/>
      <c r="F1111" s="739"/>
      <c r="G1111" s="739"/>
      <c r="H1111" s="739"/>
      <c r="I1111" s="740"/>
    </row>
    <row r="1112" spans="2:9" x14ac:dyDescent="0.2">
      <c r="B1112" s="313" t="s">
        <v>33</v>
      </c>
      <c r="C1112" s="346" t="s">
        <v>34</v>
      </c>
      <c r="D1112" s="204" t="s">
        <v>6</v>
      </c>
      <c r="E1112" s="326"/>
      <c r="F1112" s="326"/>
      <c r="G1112" s="326"/>
      <c r="H1112" s="204" t="s">
        <v>45</v>
      </c>
      <c r="I1112" s="309" t="s">
        <v>39</v>
      </c>
    </row>
    <row r="1113" spans="2:9" x14ac:dyDescent="0.2">
      <c r="B1113" s="323" t="s">
        <v>305</v>
      </c>
      <c r="C1113" s="204" t="s">
        <v>23</v>
      </c>
      <c r="D1113" s="627">
        <v>0.04</v>
      </c>
      <c r="E1113" s="326"/>
      <c r="F1113" s="326"/>
      <c r="G1113" s="326"/>
      <c r="H1113" s="552">
        <f>I317</f>
        <v>361.29</v>
      </c>
      <c r="I1113" s="544">
        <f>D1113*H1113</f>
        <v>14.45</v>
      </c>
    </row>
    <row r="1114" spans="2:9" x14ac:dyDescent="0.2">
      <c r="B1114" s="736" t="s">
        <v>43</v>
      </c>
      <c r="C1114" s="737"/>
      <c r="D1114" s="737"/>
      <c r="E1114" s="737"/>
      <c r="F1114" s="737"/>
      <c r="G1114" s="737"/>
      <c r="H1114" s="737"/>
      <c r="I1114" s="544">
        <f>SUM(I1113:I1113)</f>
        <v>14.45</v>
      </c>
    </row>
    <row r="1115" spans="2:9" ht="15.75" x14ac:dyDescent="0.2">
      <c r="B1115" s="738" t="s">
        <v>47</v>
      </c>
      <c r="C1115" s="739"/>
      <c r="D1115" s="739"/>
      <c r="E1115" s="739"/>
      <c r="F1115" s="739"/>
      <c r="G1115" s="739"/>
      <c r="H1115" s="739"/>
      <c r="I1115" s="740"/>
    </row>
    <row r="1116" spans="2:9" x14ac:dyDescent="0.2">
      <c r="B1116" s="315" t="s">
        <v>33</v>
      </c>
      <c r="C1116" s="346" t="s">
        <v>34</v>
      </c>
      <c r="D1116" s="316" t="s">
        <v>6</v>
      </c>
      <c r="E1116" s="308"/>
      <c r="F1116" s="308"/>
      <c r="G1116" s="308"/>
      <c r="H1116" s="204" t="s">
        <v>45</v>
      </c>
      <c r="I1116" s="305" t="s">
        <v>39</v>
      </c>
    </row>
    <row r="1117" spans="2:9" x14ac:dyDescent="0.2">
      <c r="B1117" s="317" t="s">
        <v>82</v>
      </c>
      <c r="C1117" s="318" t="s">
        <v>41</v>
      </c>
      <c r="D1117" s="545">
        <v>2</v>
      </c>
      <c r="E1117" s="308"/>
      <c r="F1117" s="308"/>
      <c r="G1117" s="308"/>
      <c r="H1117" s="543">
        <f>INSUMOS!E18</f>
        <v>10.37</v>
      </c>
      <c r="I1117" s="544">
        <f>D1117*H1117</f>
        <v>20.74</v>
      </c>
    </row>
    <row r="1118" spans="2:9" x14ac:dyDescent="0.2">
      <c r="B1118" s="317" t="s">
        <v>306</v>
      </c>
      <c r="C1118" s="318" t="s">
        <v>41</v>
      </c>
      <c r="D1118" s="545">
        <v>3</v>
      </c>
      <c r="E1118" s="308"/>
      <c r="F1118" s="308"/>
      <c r="G1118" s="308"/>
      <c r="H1118" s="543">
        <f>INSUMOS!E14</f>
        <v>7.81</v>
      </c>
      <c r="I1118" s="544">
        <f>D1118*H1118</f>
        <v>23.43</v>
      </c>
    </row>
    <row r="1119" spans="2:9" x14ac:dyDescent="0.2">
      <c r="B1119" s="317" t="s">
        <v>83</v>
      </c>
      <c r="C1119" s="318" t="s">
        <v>41</v>
      </c>
      <c r="D1119" s="545">
        <v>1</v>
      </c>
      <c r="E1119" s="308"/>
      <c r="F1119" s="308"/>
      <c r="G1119" s="308"/>
      <c r="H1119" s="543">
        <f>INSUMOS!E17</f>
        <v>10.37</v>
      </c>
      <c r="I1119" s="544">
        <f>D1119*H1119</f>
        <v>10.37</v>
      </c>
    </row>
    <row r="1120" spans="2:9" x14ac:dyDescent="0.2">
      <c r="B1120" s="736" t="s">
        <v>43</v>
      </c>
      <c r="C1120" s="737"/>
      <c r="D1120" s="737"/>
      <c r="E1120" s="737"/>
      <c r="F1120" s="737"/>
      <c r="G1120" s="737"/>
      <c r="H1120" s="737"/>
      <c r="I1120" s="548">
        <f>SUM(I1117:I1119)</f>
        <v>54.54</v>
      </c>
    </row>
    <row r="1121" spans="1:11" x14ac:dyDescent="0.2">
      <c r="B1121" s="320" t="s">
        <v>49</v>
      </c>
      <c r="C1121" s="299">
        <v>1</v>
      </c>
      <c r="D1121" s="737" t="s">
        <v>50</v>
      </c>
      <c r="E1121" s="737"/>
      <c r="F1121" s="737"/>
      <c r="G1121" s="737"/>
      <c r="H1121" s="737"/>
      <c r="I1121" s="548">
        <f>I1120+I1114+I1110+I1106</f>
        <v>208.66</v>
      </c>
    </row>
    <row r="1122" spans="1:11" x14ac:dyDescent="0.2">
      <c r="B1122" s="743" t="s">
        <v>302</v>
      </c>
      <c r="C1122" s="744"/>
      <c r="D1122" s="745"/>
      <c r="E1122" s="745"/>
      <c r="F1122" s="745"/>
      <c r="G1122" s="745"/>
      <c r="H1122" s="745"/>
      <c r="I1122" s="544">
        <f>I1121/C1121</f>
        <v>208.66</v>
      </c>
    </row>
    <row r="1123" spans="1:11" x14ac:dyDescent="0.2">
      <c r="B1123" s="321" t="s">
        <v>303</v>
      </c>
      <c r="C1123" s="520">
        <f>BDI!C$36</f>
        <v>25</v>
      </c>
      <c r="D1123" s="746" t="s">
        <v>103</v>
      </c>
      <c r="E1123" s="747"/>
      <c r="F1123" s="747"/>
      <c r="G1123" s="747"/>
      <c r="H1123" s="748"/>
      <c r="I1123" s="544">
        <f>C1123/100*I1122</f>
        <v>52.17</v>
      </c>
    </row>
    <row r="1124" spans="1:11" ht="13.5" thickBot="1" x14ac:dyDescent="0.25">
      <c r="B1124" s="749" t="s">
        <v>51</v>
      </c>
      <c r="C1124" s="750"/>
      <c r="D1124" s="750"/>
      <c r="E1124" s="750"/>
      <c r="F1124" s="750"/>
      <c r="G1124" s="750"/>
      <c r="H1124" s="751"/>
      <c r="I1124" s="549">
        <f>SUM(I1122:I1123)</f>
        <v>260.83</v>
      </c>
    </row>
    <row r="1125" spans="1:11" s="47" customFormat="1" ht="13.5" customHeight="1" thickBot="1" x14ac:dyDescent="0.25">
      <c r="B1125" s="752"/>
      <c r="C1125" s="753"/>
      <c r="D1125" s="753"/>
      <c r="E1125" s="753"/>
      <c r="F1125" s="753"/>
      <c r="G1125" s="753"/>
      <c r="H1125" s="753"/>
      <c r="I1125" s="391"/>
      <c r="J1125" s="11"/>
      <c r="K1125" s="11"/>
    </row>
    <row r="1126" spans="1:11" s="47" customFormat="1" ht="20.25" customHeight="1" x14ac:dyDescent="0.2">
      <c r="B1126" s="577" t="s">
        <v>361</v>
      </c>
      <c r="C1126" s="578" t="s">
        <v>600</v>
      </c>
      <c r="D1126" s="714" t="s">
        <v>30</v>
      </c>
      <c r="E1126" s="714"/>
      <c r="F1126" s="714"/>
      <c r="G1126" s="714"/>
      <c r="H1126" s="714"/>
      <c r="I1126" s="714"/>
      <c r="J1126" s="11"/>
      <c r="K1126" s="11"/>
    </row>
    <row r="1127" spans="1:11" s="47" customFormat="1" ht="16.5" customHeight="1" x14ac:dyDescent="0.2">
      <c r="B1127" s="718" t="s">
        <v>134</v>
      </c>
      <c r="C1127" s="719"/>
      <c r="D1127" s="719"/>
      <c r="E1127" s="719"/>
      <c r="F1127" s="719"/>
      <c r="G1127" s="720"/>
      <c r="H1127" s="715" t="s">
        <v>572</v>
      </c>
      <c r="I1127" s="716"/>
      <c r="J1127" s="11"/>
    </row>
    <row r="1128" spans="1:11" s="47" customFormat="1" ht="22.5" customHeight="1" x14ac:dyDescent="0.2">
      <c r="B1128" s="717" t="s">
        <v>251</v>
      </c>
      <c r="C1128" s="717"/>
      <c r="D1128" s="717"/>
      <c r="E1128" s="717"/>
      <c r="F1128" s="717"/>
      <c r="G1128" s="717"/>
      <c r="H1128" s="12" t="s">
        <v>31</v>
      </c>
      <c r="I1128" s="208" t="s">
        <v>143</v>
      </c>
    </row>
    <row r="1129" spans="1:11" ht="18.75" customHeight="1" x14ac:dyDescent="0.2">
      <c r="A1129" s="33"/>
      <c r="B1129" s="712" t="s">
        <v>32</v>
      </c>
      <c r="C1129" s="712"/>
      <c r="D1129" s="712"/>
      <c r="E1129" s="712"/>
      <c r="F1129" s="712"/>
      <c r="G1129" s="712"/>
      <c r="H1129" s="712"/>
      <c r="I1129" s="712"/>
      <c r="J1129" s="47"/>
      <c r="K1129" s="47"/>
    </row>
    <row r="1130" spans="1:11" ht="29.25" customHeight="1" x14ac:dyDescent="0.2">
      <c r="B1130" s="13" t="s">
        <v>33</v>
      </c>
      <c r="C1130" s="62" t="s">
        <v>5</v>
      </c>
      <c r="D1130" s="14" t="s">
        <v>6</v>
      </c>
      <c r="E1130" s="14" t="s">
        <v>35</v>
      </c>
      <c r="F1130" s="14" t="s">
        <v>36</v>
      </c>
      <c r="G1130" s="14" t="s">
        <v>37</v>
      </c>
      <c r="H1130" s="14" t="s">
        <v>38</v>
      </c>
      <c r="I1130" s="209" t="s">
        <v>39</v>
      </c>
      <c r="J1130" s="47"/>
      <c r="K1130" s="47"/>
    </row>
    <row r="1131" spans="1:11" ht="15.95" customHeight="1" x14ac:dyDescent="0.2">
      <c r="B1131" s="35" t="s">
        <v>292</v>
      </c>
      <c r="C1131" s="28" t="s">
        <v>41</v>
      </c>
      <c r="D1131" s="628">
        <v>2</v>
      </c>
      <c r="E1131" s="20">
        <v>1</v>
      </c>
      <c r="F1131" s="20"/>
      <c r="G1131" s="582">
        <f>INSUMOS!E59</f>
        <v>67.5</v>
      </c>
      <c r="H1131" s="20"/>
      <c r="I1131" s="568">
        <f>D1131*G1131</f>
        <v>135</v>
      </c>
      <c r="J1131" s="47"/>
    </row>
    <row r="1132" spans="1:11" s="47" customFormat="1" ht="18" customHeight="1" x14ac:dyDescent="0.2">
      <c r="B1132" s="713" t="s">
        <v>43</v>
      </c>
      <c r="C1132" s="713"/>
      <c r="D1132" s="713"/>
      <c r="E1132" s="713"/>
      <c r="F1132" s="713"/>
      <c r="G1132" s="713"/>
      <c r="H1132" s="713"/>
      <c r="I1132" s="584">
        <f>SUM(I1131:I1131)</f>
        <v>135</v>
      </c>
      <c r="J1132" s="11"/>
      <c r="K1132" s="11"/>
    </row>
    <row r="1133" spans="1:11" x14ac:dyDescent="0.2">
      <c r="B1133" s="712" t="s">
        <v>44</v>
      </c>
      <c r="C1133" s="712"/>
      <c r="D1133" s="712"/>
      <c r="E1133" s="712"/>
      <c r="F1133" s="712"/>
      <c r="G1133" s="712"/>
      <c r="H1133" s="712"/>
      <c r="I1133" s="712"/>
    </row>
    <row r="1134" spans="1:11" x14ac:dyDescent="0.2">
      <c r="B1134" s="362" t="s">
        <v>33</v>
      </c>
      <c r="C1134" s="361" t="s">
        <v>5</v>
      </c>
      <c r="D1134" s="24" t="s">
        <v>6</v>
      </c>
      <c r="E1134" s="25"/>
      <c r="F1134" s="25"/>
      <c r="G1134" s="25"/>
      <c r="H1134" s="24" t="s">
        <v>45</v>
      </c>
      <c r="I1134" s="36" t="s">
        <v>39</v>
      </c>
      <c r="K1134" s="47"/>
    </row>
    <row r="1135" spans="1:11" x14ac:dyDescent="0.2">
      <c r="B1135" s="387" t="s">
        <v>222</v>
      </c>
      <c r="C1135" s="388" t="s">
        <v>53</v>
      </c>
      <c r="D1135" s="629">
        <v>9</v>
      </c>
      <c r="E1135" s="196"/>
      <c r="F1135" s="196"/>
      <c r="G1135" s="196"/>
      <c r="H1135" s="582">
        <f>INSUMOS!E94</f>
        <v>4.1100000000000003</v>
      </c>
      <c r="I1135" s="568">
        <f>H1135*D1135</f>
        <v>36.99</v>
      </c>
      <c r="J1135" s="47"/>
    </row>
    <row r="1136" spans="1:11" s="47" customFormat="1" ht="20.25" customHeight="1" x14ac:dyDescent="0.2">
      <c r="B1136" s="202" t="s">
        <v>235</v>
      </c>
      <c r="C1136" s="388" t="s">
        <v>53</v>
      </c>
      <c r="D1136" s="629">
        <v>10</v>
      </c>
      <c r="E1136" s="196"/>
      <c r="F1136" s="196"/>
      <c r="G1136" s="196"/>
      <c r="H1136" s="582">
        <f>INSUMOS!E95</f>
        <v>4.3499999999999996</v>
      </c>
      <c r="I1136" s="568">
        <f>H1136*D1136</f>
        <v>43.5</v>
      </c>
      <c r="J1136" s="11"/>
      <c r="K1136" s="11"/>
    </row>
    <row r="1137" spans="2:11" ht="15.95" customHeight="1" x14ac:dyDescent="0.2">
      <c r="B1137" s="713" t="s">
        <v>43</v>
      </c>
      <c r="C1137" s="713"/>
      <c r="D1137" s="713"/>
      <c r="E1137" s="713"/>
      <c r="F1137" s="713"/>
      <c r="G1137" s="713"/>
      <c r="H1137" s="713"/>
      <c r="I1137" s="583">
        <f>SUM(I1135:I1136)</f>
        <v>80.489999999999995</v>
      </c>
    </row>
    <row r="1138" spans="2:11" ht="15.95" customHeight="1" x14ac:dyDescent="0.2">
      <c r="B1138" s="712" t="s">
        <v>46</v>
      </c>
      <c r="C1138" s="712"/>
      <c r="D1138" s="712"/>
      <c r="E1138" s="712"/>
      <c r="F1138" s="712"/>
      <c r="G1138" s="712"/>
      <c r="H1138" s="712"/>
      <c r="I1138" s="712"/>
      <c r="K1138" s="47"/>
    </row>
    <row r="1139" spans="2:11" ht="21" customHeight="1" x14ac:dyDescent="0.2">
      <c r="B1139" s="348" t="s">
        <v>33</v>
      </c>
      <c r="C1139" s="27" t="s">
        <v>5</v>
      </c>
      <c r="D1139" s="20" t="s">
        <v>6</v>
      </c>
      <c r="E1139" s="21"/>
      <c r="F1139" s="21"/>
      <c r="G1139" s="21"/>
      <c r="H1139" s="20" t="s">
        <v>45</v>
      </c>
      <c r="I1139" s="30" t="s">
        <v>39</v>
      </c>
      <c r="J1139" s="47"/>
    </row>
    <row r="1140" spans="2:11" ht="18" customHeight="1" x14ac:dyDescent="0.2">
      <c r="B1140" s="202" t="s">
        <v>296</v>
      </c>
      <c r="C1140" s="388" t="s">
        <v>225</v>
      </c>
      <c r="D1140" s="630">
        <v>0.59799999999999998</v>
      </c>
      <c r="E1140" s="196"/>
      <c r="F1140" s="196"/>
      <c r="G1140" s="196"/>
      <c r="H1140" s="607">
        <f>I1412</f>
        <v>335.33</v>
      </c>
      <c r="I1140" s="583">
        <f>D1140*H1140</f>
        <v>200.53</v>
      </c>
    </row>
    <row r="1141" spans="2:11" s="47" customFormat="1" ht="19.5" customHeight="1" x14ac:dyDescent="0.2">
      <c r="B1141" s="203" t="s">
        <v>226</v>
      </c>
      <c r="C1141" s="204" t="s">
        <v>52</v>
      </c>
      <c r="D1141" s="627">
        <v>1.35</v>
      </c>
      <c r="E1141" s="326"/>
      <c r="F1141" s="326"/>
      <c r="G1141" s="326"/>
      <c r="H1141" s="607">
        <f>I1177</f>
        <v>6.3</v>
      </c>
      <c r="I1141" s="544">
        <f>D1141*H1141</f>
        <v>8.51</v>
      </c>
      <c r="J1141" s="11"/>
      <c r="K1141" s="11"/>
    </row>
    <row r="1142" spans="2:11" x14ac:dyDescent="0.2">
      <c r="B1142" s="713" t="s">
        <v>43</v>
      </c>
      <c r="C1142" s="713"/>
      <c r="D1142" s="713"/>
      <c r="E1142" s="713"/>
      <c r="F1142" s="713"/>
      <c r="G1142" s="713"/>
      <c r="H1142" s="713"/>
      <c r="I1142" s="583">
        <f>SUM(I1140:I1141)</f>
        <v>209.04</v>
      </c>
    </row>
    <row r="1143" spans="2:11" x14ac:dyDescent="0.2">
      <c r="B1143" s="712" t="s">
        <v>47</v>
      </c>
      <c r="C1143" s="712"/>
      <c r="D1143" s="712"/>
      <c r="E1143" s="712"/>
      <c r="F1143" s="712"/>
      <c r="G1143" s="712"/>
      <c r="H1143" s="712"/>
      <c r="I1143" s="712"/>
      <c r="K1143" s="47"/>
    </row>
    <row r="1144" spans="2:11" x14ac:dyDescent="0.2">
      <c r="B1144" s="362" t="s">
        <v>33</v>
      </c>
      <c r="C1144" s="361" t="s">
        <v>5</v>
      </c>
      <c r="D1144" s="363" t="s">
        <v>6</v>
      </c>
      <c r="E1144" s="25"/>
      <c r="F1144" s="25"/>
      <c r="G1144" s="25"/>
      <c r="H1144" s="24" t="s">
        <v>45</v>
      </c>
      <c r="I1144" s="36" t="s">
        <v>39</v>
      </c>
      <c r="J1144" s="47"/>
    </row>
    <row r="1145" spans="2:11" x14ac:dyDescent="0.2">
      <c r="B1145" s="35" t="s">
        <v>48</v>
      </c>
      <c r="C1145" s="27" t="s">
        <v>41</v>
      </c>
      <c r="D1145" s="582">
        <v>4.9000000000000004</v>
      </c>
      <c r="E1145" s="21"/>
      <c r="F1145" s="21"/>
      <c r="G1145" s="21"/>
      <c r="H1145" s="582">
        <f>INSUMOS!E13</f>
        <v>7.81</v>
      </c>
      <c r="I1145" s="583">
        <f>H1145*D1145</f>
        <v>38.270000000000003</v>
      </c>
    </row>
    <row r="1146" spans="2:11" x14ac:dyDescent="0.2">
      <c r="B1146" s="392" t="s">
        <v>83</v>
      </c>
      <c r="C1146" s="393" t="s">
        <v>41</v>
      </c>
      <c r="D1146" s="582">
        <v>4.9000000000000004</v>
      </c>
      <c r="E1146" s="21"/>
      <c r="F1146" s="21"/>
      <c r="G1146" s="21"/>
      <c r="H1146" s="582">
        <f>INSUMOS!E17</f>
        <v>10.37</v>
      </c>
      <c r="I1146" s="583">
        <f>H1146*D1146</f>
        <v>50.81</v>
      </c>
    </row>
    <row r="1147" spans="2:11" x14ac:dyDescent="0.2">
      <c r="B1147" s="329" t="s">
        <v>357</v>
      </c>
      <c r="C1147" s="361" t="s">
        <v>41</v>
      </c>
      <c r="D1147" s="631">
        <v>2</v>
      </c>
      <c r="E1147" s="21"/>
      <c r="F1147" s="21"/>
      <c r="G1147" s="21"/>
      <c r="H1147" s="582">
        <f>INSUMOS!E107</f>
        <v>10.37</v>
      </c>
      <c r="I1147" s="583">
        <f t="shared" ref="I1147:I1148" si="10">H1147*D1147</f>
        <v>20.74</v>
      </c>
    </row>
    <row r="1148" spans="2:11" x14ac:dyDescent="0.2">
      <c r="B1148" s="329" t="s">
        <v>54</v>
      </c>
      <c r="C1148" s="361" t="s">
        <v>41</v>
      </c>
      <c r="D1148" s="631">
        <v>2</v>
      </c>
      <c r="E1148" s="21"/>
      <c r="F1148" s="21"/>
      <c r="G1148" s="21"/>
      <c r="H1148" s="582">
        <f>INSUMOS!E16</f>
        <v>10.37</v>
      </c>
      <c r="I1148" s="583">
        <f t="shared" si="10"/>
        <v>20.74</v>
      </c>
    </row>
    <row r="1149" spans="2:11" s="47" customFormat="1" ht="12.75" customHeight="1" x14ac:dyDescent="0.2">
      <c r="B1149" s="713" t="s">
        <v>43</v>
      </c>
      <c r="C1149" s="713"/>
      <c r="D1149" s="713"/>
      <c r="E1149" s="713"/>
      <c r="F1149" s="713"/>
      <c r="G1149" s="713"/>
      <c r="H1149" s="713"/>
      <c r="I1149" s="584">
        <f>SUM(I1145:I1148)</f>
        <v>130.56</v>
      </c>
      <c r="J1149" s="11"/>
      <c r="K1149" s="11"/>
    </row>
    <row r="1150" spans="2:11" s="47" customFormat="1" ht="14.25" customHeight="1" x14ac:dyDescent="0.2">
      <c r="B1150" s="350" t="s">
        <v>49</v>
      </c>
      <c r="C1150" s="20">
        <v>1</v>
      </c>
      <c r="D1150" s="728" t="s">
        <v>50</v>
      </c>
      <c r="E1150" s="728"/>
      <c r="F1150" s="728"/>
      <c r="G1150" s="728"/>
      <c r="H1150" s="728"/>
      <c r="I1150" s="584">
        <f>I1149+I1142+I1137+I1132</f>
        <v>555.09</v>
      </c>
      <c r="J1150" s="11"/>
      <c r="K1150" s="11"/>
    </row>
    <row r="1151" spans="2:11" s="47" customFormat="1" ht="13.5" customHeight="1" x14ac:dyDescent="0.2">
      <c r="B1151" s="725"/>
      <c r="C1151" s="726"/>
      <c r="D1151" s="726"/>
      <c r="E1151" s="726"/>
      <c r="F1151" s="726"/>
      <c r="G1151" s="726"/>
      <c r="H1151" s="727"/>
      <c r="I1151" s="584">
        <f>I1150/C1150</f>
        <v>555.09</v>
      </c>
      <c r="J1151" s="11"/>
    </row>
    <row r="1152" spans="2:11" s="47" customFormat="1" ht="15.75" customHeight="1" x14ac:dyDescent="0.2">
      <c r="B1152" s="351" t="s">
        <v>135</v>
      </c>
      <c r="C1152" s="520">
        <f>BDI!C$36</f>
        <v>25</v>
      </c>
      <c r="D1152" s="352" t="s">
        <v>103</v>
      </c>
      <c r="E1152" s="353"/>
      <c r="F1152" s="353"/>
      <c r="G1152" s="353"/>
      <c r="H1152" s="354"/>
      <c r="I1152" s="583">
        <f>C1152/100*I1151</f>
        <v>138.77000000000001</v>
      </c>
    </row>
    <row r="1153" spans="1:11" ht="13.5" thickBot="1" x14ac:dyDescent="0.25">
      <c r="A1153" s="33"/>
      <c r="B1153" s="708" t="s">
        <v>51</v>
      </c>
      <c r="C1153" s="708"/>
      <c r="D1153" s="708"/>
      <c r="E1153" s="708"/>
      <c r="F1153" s="708"/>
      <c r="G1153" s="708"/>
      <c r="H1153" s="708"/>
      <c r="I1153" s="549">
        <f>SUM(I1151:I1152)</f>
        <v>693.86</v>
      </c>
      <c r="J1153" s="47"/>
      <c r="K1153" s="47"/>
    </row>
    <row r="1154" spans="1:11" ht="15.95" customHeight="1" thickBot="1" x14ac:dyDescent="0.25">
      <c r="C1154" s="11"/>
      <c r="D1154" s="11"/>
      <c r="I1154" s="11"/>
    </row>
    <row r="1155" spans="1:11" ht="35.25" customHeight="1" x14ac:dyDescent="0.2">
      <c r="B1155" s="577" t="s">
        <v>361</v>
      </c>
      <c r="C1155" s="581" t="s">
        <v>584</v>
      </c>
      <c r="D1155" s="714" t="s">
        <v>30</v>
      </c>
      <c r="E1155" s="714"/>
      <c r="F1155" s="714"/>
      <c r="G1155" s="714"/>
      <c r="H1155" s="714"/>
      <c r="I1155" s="714"/>
      <c r="K1155" s="47"/>
    </row>
    <row r="1156" spans="1:11" ht="15.95" customHeight="1" x14ac:dyDescent="0.2">
      <c r="B1156" s="718" t="s">
        <v>134</v>
      </c>
      <c r="C1156" s="719"/>
      <c r="D1156" s="719"/>
      <c r="E1156" s="719"/>
      <c r="F1156" s="719"/>
      <c r="G1156" s="720"/>
      <c r="H1156" s="715" t="s">
        <v>572</v>
      </c>
      <c r="I1156" s="716"/>
    </row>
    <row r="1157" spans="1:11" x14ac:dyDescent="0.2">
      <c r="B1157" s="807" t="s">
        <v>299</v>
      </c>
      <c r="C1157" s="808"/>
      <c r="D1157" s="808"/>
      <c r="E1157" s="808"/>
      <c r="F1157" s="808"/>
      <c r="G1157" s="809"/>
      <c r="H1157" s="289" t="s">
        <v>31</v>
      </c>
      <c r="I1157" s="290" t="s">
        <v>52</v>
      </c>
    </row>
    <row r="1158" spans="1:11" ht="15.75" x14ac:dyDescent="0.2">
      <c r="B1158" s="738" t="s">
        <v>32</v>
      </c>
      <c r="C1158" s="739"/>
      <c r="D1158" s="739"/>
      <c r="E1158" s="739"/>
      <c r="F1158" s="739"/>
      <c r="G1158" s="739"/>
      <c r="H1158" s="739"/>
      <c r="I1158" s="740"/>
    </row>
    <row r="1159" spans="1:11" ht="25.5" x14ac:dyDescent="0.2">
      <c r="B1159" s="291" t="s">
        <v>33</v>
      </c>
      <c r="C1159" s="346" t="s">
        <v>34</v>
      </c>
      <c r="D1159" s="292" t="s">
        <v>6</v>
      </c>
      <c r="E1159" s="293" t="s">
        <v>35</v>
      </c>
      <c r="F1159" s="293" t="s">
        <v>36</v>
      </c>
      <c r="G1159" s="294" t="s">
        <v>37</v>
      </c>
      <c r="H1159" s="294" t="s">
        <v>38</v>
      </c>
      <c r="I1159" s="295" t="s">
        <v>39</v>
      </c>
    </row>
    <row r="1160" spans="1:11" x14ac:dyDescent="0.2">
      <c r="B1160" s="111"/>
      <c r="C1160" s="204"/>
      <c r="D1160" s="296"/>
      <c r="E1160" s="297"/>
      <c r="F1160" s="298"/>
      <c r="G1160" s="299"/>
      <c r="H1160" s="300"/>
      <c r="I1160" s="299"/>
    </row>
    <row r="1161" spans="1:11" x14ac:dyDescent="0.2">
      <c r="B1161" s="810" t="s">
        <v>43</v>
      </c>
      <c r="C1161" s="811"/>
      <c r="D1161" s="811"/>
      <c r="E1161" s="811"/>
      <c r="F1161" s="811"/>
      <c r="G1161" s="811"/>
      <c r="H1161" s="811"/>
      <c r="I1161" s="301"/>
    </row>
    <row r="1162" spans="1:11" ht="15.75" x14ac:dyDescent="0.2">
      <c r="B1162" s="738" t="s">
        <v>44</v>
      </c>
      <c r="C1162" s="739"/>
      <c r="D1162" s="739"/>
      <c r="E1162" s="739"/>
      <c r="F1162" s="739"/>
      <c r="G1162" s="739"/>
      <c r="H1162" s="739"/>
      <c r="I1162" s="740"/>
    </row>
    <row r="1163" spans="1:11" x14ac:dyDescent="0.2">
      <c r="B1163" s="302" t="s">
        <v>33</v>
      </c>
      <c r="C1163" s="346" t="s">
        <v>34</v>
      </c>
      <c r="D1163" s="303" t="s">
        <v>6</v>
      </c>
      <c r="E1163" s="304"/>
      <c r="F1163" s="304"/>
      <c r="G1163" s="304"/>
      <c r="H1163" s="204" t="s">
        <v>45</v>
      </c>
      <c r="I1163" s="305" t="s">
        <v>39</v>
      </c>
    </row>
    <row r="1164" spans="1:11" x14ac:dyDescent="0.2">
      <c r="B1164" s="306" t="s">
        <v>300</v>
      </c>
      <c r="C1164" s="59" t="s">
        <v>143</v>
      </c>
      <c r="D1164" s="625">
        <v>0.12</v>
      </c>
      <c r="E1164" s="308"/>
      <c r="F1164" s="308"/>
      <c r="G1164" s="308"/>
      <c r="H1164" s="543">
        <f>INSUMOS!E103</f>
        <v>0.43</v>
      </c>
      <c r="I1164" s="544">
        <f>D1164*H1164</f>
        <v>0.05</v>
      </c>
    </row>
    <row r="1165" spans="1:11" x14ac:dyDescent="0.2">
      <c r="B1165" s="310" t="s">
        <v>301</v>
      </c>
      <c r="C1165" s="112" t="s">
        <v>56</v>
      </c>
      <c r="D1165" s="626">
        <v>0.18</v>
      </c>
      <c r="E1165" s="312"/>
      <c r="F1165" s="312"/>
      <c r="G1165" s="312"/>
      <c r="H1165" s="543">
        <f>INSUMOS!E104</f>
        <v>13.11</v>
      </c>
      <c r="I1165" s="544">
        <f>D1165*H1165</f>
        <v>2.36</v>
      </c>
    </row>
    <row r="1166" spans="1:11" x14ac:dyDescent="0.2">
      <c r="B1166" s="741" t="s">
        <v>43</v>
      </c>
      <c r="C1166" s="742"/>
      <c r="D1166" s="742"/>
      <c r="E1166" s="742"/>
      <c r="F1166" s="742"/>
      <c r="G1166" s="742"/>
      <c r="H1166" s="742"/>
      <c r="I1166" s="544">
        <f>SUM(I1164:I1165)</f>
        <v>2.41</v>
      </c>
    </row>
    <row r="1167" spans="1:11" ht="15.75" x14ac:dyDescent="0.2">
      <c r="B1167" s="738" t="s">
        <v>46</v>
      </c>
      <c r="C1167" s="739"/>
      <c r="D1167" s="739"/>
      <c r="E1167" s="739"/>
      <c r="F1167" s="739"/>
      <c r="G1167" s="739"/>
      <c r="H1167" s="739"/>
      <c r="I1167" s="740"/>
    </row>
    <row r="1168" spans="1:11" x14ac:dyDescent="0.2">
      <c r="B1168" s="313" t="s">
        <v>33</v>
      </c>
      <c r="C1168" s="346" t="s">
        <v>34</v>
      </c>
      <c r="D1168" s="204" t="s">
        <v>6</v>
      </c>
      <c r="E1168" s="326"/>
      <c r="F1168" s="326"/>
      <c r="G1168" s="326"/>
      <c r="H1168" s="204" t="s">
        <v>45</v>
      </c>
      <c r="I1168" s="309" t="s">
        <v>39</v>
      </c>
    </row>
    <row r="1169" spans="2:9" x14ac:dyDescent="0.2">
      <c r="B1169" s="203"/>
      <c r="C1169" s="204"/>
      <c r="D1169" s="205"/>
      <c r="E1169" s="326"/>
      <c r="F1169" s="326"/>
      <c r="G1169" s="326"/>
      <c r="H1169" s="314"/>
      <c r="I1169" s="309"/>
    </row>
    <row r="1170" spans="2:9" x14ac:dyDescent="0.2">
      <c r="B1170" s="736" t="s">
        <v>43</v>
      </c>
      <c r="C1170" s="737"/>
      <c r="D1170" s="737"/>
      <c r="E1170" s="737"/>
      <c r="F1170" s="737"/>
      <c r="G1170" s="737"/>
      <c r="H1170" s="737"/>
      <c r="I1170" s="309"/>
    </row>
    <row r="1171" spans="2:9" ht="15.75" x14ac:dyDescent="0.2">
      <c r="B1171" s="738" t="s">
        <v>47</v>
      </c>
      <c r="C1171" s="739"/>
      <c r="D1171" s="739"/>
      <c r="E1171" s="739"/>
      <c r="F1171" s="739"/>
      <c r="G1171" s="739"/>
      <c r="H1171" s="739"/>
      <c r="I1171" s="740"/>
    </row>
    <row r="1172" spans="2:9" x14ac:dyDescent="0.2">
      <c r="B1172" s="315" t="s">
        <v>33</v>
      </c>
      <c r="C1172" s="346" t="s">
        <v>34</v>
      </c>
      <c r="D1172" s="316" t="s">
        <v>6</v>
      </c>
      <c r="E1172" s="308"/>
      <c r="F1172" s="308"/>
      <c r="G1172" s="308"/>
      <c r="H1172" s="204" t="s">
        <v>45</v>
      </c>
      <c r="I1172" s="305" t="s">
        <v>39</v>
      </c>
    </row>
    <row r="1173" spans="2:9" x14ac:dyDescent="0.2">
      <c r="B1173" s="317" t="s">
        <v>160</v>
      </c>
      <c r="C1173" s="318" t="s">
        <v>41</v>
      </c>
      <c r="D1173" s="545">
        <v>0.3</v>
      </c>
      <c r="E1173" s="308"/>
      <c r="F1173" s="308"/>
      <c r="G1173" s="308"/>
      <c r="H1173" s="543">
        <f>INSUMOS!E105</f>
        <v>10.37</v>
      </c>
      <c r="I1173" s="544">
        <f>D1173*H1173</f>
        <v>3.11</v>
      </c>
    </row>
    <row r="1174" spans="2:9" x14ac:dyDescent="0.2">
      <c r="B1174" s="317" t="s">
        <v>158</v>
      </c>
      <c r="C1174" s="318" t="s">
        <v>41</v>
      </c>
      <c r="D1174" s="545">
        <v>0.1</v>
      </c>
      <c r="E1174" s="308"/>
      <c r="F1174" s="308"/>
      <c r="G1174" s="308"/>
      <c r="H1174" s="543">
        <f>INSUMOS!E14</f>
        <v>7.81</v>
      </c>
      <c r="I1174" s="544">
        <f>D1174*H1174</f>
        <v>0.78</v>
      </c>
    </row>
    <row r="1175" spans="2:9" x14ac:dyDescent="0.2">
      <c r="B1175" s="736" t="s">
        <v>43</v>
      </c>
      <c r="C1175" s="737"/>
      <c r="D1175" s="737"/>
      <c r="E1175" s="737"/>
      <c r="F1175" s="737"/>
      <c r="G1175" s="737"/>
      <c r="H1175" s="737"/>
      <c r="I1175" s="548">
        <f>SUM(I1173:I1174)</f>
        <v>3.89</v>
      </c>
    </row>
    <row r="1176" spans="2:9" x14ac:dyDescent="0.2">
      <c r="B1176" s="320" t="s">
        <v>49</v>
      </c>
      <c r="C1176" s="299">
        <v>1</v>
      </c>
      <c r="D1176" s="737" t="s">
        <v>50</v>
      </c>
      <c r="E1176" s="737"/>
      <c r="F1176" s="737"/>
      <c r="G1176" s="737"/>
      <c r="H1176" s="737"/>
      <c r="I1176" s="548">
        <f>I1175+I1170+I1166+I1161</f>
        <v>6.3</v>
      </c>
    </row>
    <row r="1177" spans="2:9" x14ac:dyDescent="0.2">
      <c r="B1177" s="743" t="s">
        <v>302</v>
      </c>
      <c r="C1177" s="744"/>
      <c r="D1177" s="745"/>
      <c r="E1177" s="745"/>
      <c r="F1177" s="745"/>
      <c r="G1177" s="745"/>
      <c r="H1177" s="745"/>
      <c r="I1177" s="544">
        <f>I1176/C1176</f>
        <v>6.3</v>
      </c>
    </row>
    <row r="1178" spans="2:9" x14ac:dyDescent="0.2">
      <c r="B1178" s="321" t="s">
        <v>303</v>
      </c>
      <c r="C1178" s="520">
        <f>BDI!C$36</f>
        <v>25</v>
      </c>
      <c r="D1178" s="746" t="s">
        <v>103</v>
      </c>
      <c r="E1178" s="747"/>
      <c r="F1178" s="747"/>
      <c r="G1178" s="747"/>
      <c r="H1178" s="748"/>
      <c r="I1178" s="544">
        <f>C1178/100*I1177</f>
        <v>1.58</v>
      </c>
    </row>
    <row r="1179" spans="2:9" ht="13.5" thickBot="1" x14ac:dyDescent="0.25">
      <c r="B1179" s="749" t="s">
        <v>51</v>
      </c>
      <c r="C1179" s="750"/>
      <c r="D1179" s="750"/>
      <c r="E1179" s="750"/>
      <c r="F1179" s="750"/>
      <c r="G1179" s="750"/>
      <c r="H1179" s="751"/>
      <c r="I1179" s="549">
        <f>SUM(I1177:I1178)</f>
        <v>7.88</v>
      </c>
    </row>
    <row r="1180" spans="2:9" ht="13.5" thickBot="1" x14ac:dyDescent="0.25">
      <c r="C1180" s="11"/>
      <c r="D1180" s="11"/>
      <c r="I1180" s="11"/>
    </row>
    <row r="1181" spans="2:9" ht="15.75" x14ac:dyDescent="0.2">
      <c r="B1181" s="577" t="s">
        <v>361</v>
      </c>
      <c r="C1181" s="578" t="s">
        <v>458</v>
      </c>
      <c r="D1181" s="714" t="s">
        <v>30</v>
      </c>
      <c r="E1181" s="714"/>
      <c r="F1181" s="714"/>
      <c r="G1181" s="714"/>
      <c r="H1181" s="714"/>
      <c r="I1181" s="714"/>
    </row>
    <row r="1182" spans="2:9" x14ac:dyDescent="0.2">
      <c r="B1182" s="718" t="s">
        <v>134</v>
      </c>
      <c r="C1182" s="719"/>
      <c r="D1182" s="719"/>
      <c r="E1182" s="719"/>
      <c r="F1182" s="719"/>
      <c r="G1182" s="720"/>
      <c r="H1182" s="715" t="s">
        <v>572</v>
      </c>
      <c r="I1182" s="716"/>
    </row>
    <row r="1183" spans="2:9" ht="37.5" customHeight="1" x14ac:dyDescent="0.2">
      <c r="B1183" s="763" t="s">
        <v>585</v>
      </c>
      <c r="C1183" s="764"/>
      <c r="D1183" s="764"/>
      <c r="E1183" s="764"/>
      <c r="F1183" s="764"/>
      <c r="G1183" s="765"/>
      <c r="H1183" s="12" t="s">
        <v>31</v>
      </c>
      <c r="I1183" s="46" t="s">
        <v>143</v>
      </c>
    </row>
    <row r="1184" spans="2:9" x14ac:dyDescent="0.2">
      <c r="B1184" s="712" t="s">
        <v>32</v>
      </c>
      <c r="C1184" s="712"/>
      <c r="D1184" s="712"/>
      <c r="E1184" s="712"/>
      <c r="F1184" s="712"/>
      <c r="G1184" s="712"/>
      <c r="H1184" s="712"/>
      <c r="I1184" s="712"/>
    </row>
    <row r="1185" spans="2:9" ht="25.5" x14ac:dyDescent="0.2">
      <c r="B1185" s="13" t="s">
        <v>33</v>
      </c>
      <c r="C1185" s="62" t="s">
        <v>5</v>
      </c>
      <c r="D1185" s="14" t="s">
        <v>6</v>
      </c>
      <c r="E1185" s="14" t="s">
        <v>35</v>
      </c>
      <c r="F1185" s="14" t="s">
        <v>36</v>
      </c>
      <c r="G1185" s="14" t="s">
        <v>37</v>
      </c>
      <c r="H1185" s="14" t="s">
        <v>38</v>
      </c>
      <c r="I1185" s="15" t="s">
        <v>39</v>
      </c>
    </row>
    <row r="1186" spans="2:9" x14ac:dyDescent="0.2">
      <c r="B1186" s="464"/>
      <c r="C1186" s="480"/>
      <c r="D1186" s="481"/>
      <c r="E1186" s="482"/>
      <c r="F1186" s="482"/>
      <c r="G1186" s="482"/>
      <c r="H1186" s="482"/>
      <c r="I1186" s="458"/>
    </row>
    <row r="1187" spans="2:9" x14ac:dyDescent="0.2">
      <c r="B1187" s="756" t="s">
        <v>43</v>
      </c>
      <c r="C1187" s="756"/>
      <c r="D1187" s="756"/>
      <c r="E1187" s="756"/>
      <c r="F1187" s="756"/>
      <c r="G1187" s="756"/>
      <c r="H1187" s="756"/>
      <c r="I1187" s="460"/>
    </row>
    <row r="1188" spans="2:9" x14ac:dyDescent="0.2">
      <c r="B1188" s="712" t="s">
        <v>44</v>
      </c>
      <c r="C1188" s="712"/>
      <c r="D1188" s="712"/>
      <c r="E1188" s="712"/>
      <c r="F1188" s="712"/>
      <c r="G1188" s="712"/>
      <c r="H1188" s="712"/>
      <c r="I1188" s="712"/>
    </row>
    <row r="1189" spans="2:9" x14ac:dyDescent="0.2">
      <c r="B1189" s="462" t="s">
        <v>33</v>
      </c>
      <c r="C1189" s="463" t="s">
        <v>5</v>
      </c>
      <c r="D1189" s="18" t="s">
        <v>6</v>
      </c>
      <c r="E1189" s="198"/>
      <c r="F1189" s="198"/>
      <c r="G1189" s="198"/>
      <c r="H1189" s="18" t="s">
        <v>45</v>
      </c>
      <c r="I1189" s="32" t="s">
        <v>39</v>
      </c>
    </row>
    <row r="1190" spans="2:9" x14ac:dyDescent="0.2">
      <c r="B1190" s="459" t="s">
        <v>622</v>
      </c>
      <c r="C1190" s="18" t="s">
        <v>53</v>
      </c>
      <c r="D1190" s="620">
        <v>221</v>
      </c>
      <c r="E1190" s="198"/>
      <c r="F1190" s="198"/>
      <c r="G1190" s="14"/>
      <c r="H1190" s="562">
        <f>INSUMOS!E34</f>
        <v>0.5</v>
      </c>
      <c r="I1190" s="601">
        <f>D1190*H1190</f>
        <v>110.5</v>
      </c>
    </row>
    <row r="1191" spans="2:9" x14ac:dyDescent="0.2">
      <c r="B1191" s="459" t="s">
        <v>88</v>
      </c>
      <c r="C1191" s="18" t="s">
        <v>23</v>
      </c>
      <c r="D1191" s="621">
        <v>0.41099999999999998</v>
      </c>
      <c r="E1191" s="198"/>
      <c r="F1191" s="198"/>
      <c r="G1191" s="14"/>
      <c r="H1191" s="562">
        <f>INSUMOS!E37</f>
        <v>59</v>
      </c>
      <c r="I1191" s="601">
        <f>D1191*H1191</f>
        <v>24.25</v>
      </c>
    </row>
    <row r="1192" spans="2:9" x14ac:dyDescent="0.2">
      <c r="B1192" s="459" t="s">
        <v>89</v>
      </c>
      <c r="C1192" s="18" t="s">
        <v>23</v>
      </c>
      <c r="D1192" s="620">
        <v>0.24</v>
      </c>
      <c r="E1192" s="198"/>
      <c r="F1192" s="198"/>
      <c r="G1192" s="198"/>
      <c r="H1192" s="562">
        <f>INSUMOS!E35</f>
        <v>62</v>
      </c>
      <c r="I1192" s="601">
        <f>H1192*D1192</f>
        <v>14.88</v>
      </c>
    </row>
    <row r="1193" spans="2:9" x14ac:dyDescent="0.2">
      <c r="B1193" s="459" t="s">
        <v>90</v>
      </c>
      <c r="C1193" s="18" t="s">
        <v>23</v>
      </c>
      <c r="D1193" s="620">
        <v>0.24</v>
      </c>
      <c r="E1193" s="198"/>
      <c r="F1193" s="198"/>
      <c r="G1193" s="198"/>
      <c r="H1193" s="562">
        <f>INSUMOS!E36</f>
        <v>62</v>
      </c>
      <c r="I1193" s="601">
        <f>H1193*D1193</f>
        <v>14.88</v>
      </c>
    </row>
    <row r="1194" spans="2:9" ht="25.5" x14ac:dyDescent="0.2">
      <c r="B1194" s="484" t="s">
        <v>504</v>
      </c>
      <c r="C1194" s="26" t="s">
        <v>19</v>
      </c>
      <c r="D1194" s="620">
        <v>65</v>
      </c>
      <c r="E1194" s="198"/>
      <c r="F1194" s="198"/>
      <c r="G1194" s="198"/>
      <c r="H1194" s="562">
        <f>INSUMOS!E122</f>
        <v>18.079999999999998</v>
      </c>
      <c r="I1194" s="601">
        <f>H1194*D1194</f>
        <v>1175.2</v>
      </c>
    </row>
    <row r="1195" spans="2:9" x14ac:dyDescent="0.2">
      <c r="B1195" s="425" t="s">
        <v>193</v>
      </c>
      <c r="C1195" s="55" t="s">
        <v>143</v>
      </c>
      <c r="D1195" s="622">
        <v>1</v>
      </c>
      <c r="E1195" s="426"/>
      <c r="F1195" s="426"/>
      <c r="G1195" s="426"/>
      <c r="H1195" s="562">
        <f>INSUMOS!E49</f>
        <v>337.71</v>
      </c>
      <c r="I1195" s="601">
        <f>H1195*D1195</f>
        <v>337.71</v>
      </c>
    </row>
    <row r="1196" spans="2:9" ht="63.75" x14ac:dyDescent="0.2">
      <c r="B1196" s="485" t="s">
        <v>505</v>
      </c>
      <c r="C1196" s="55" t="s">
        <v>143</v>
      </c>
      <c r="D1196" s="585">
        <v>1</v>
      </c>
      <c r="E1196" s="198"/>
      <c r="F1196" s="198"/>
      <c r="G1196" s="198"/>
      <c r="H1196" s="562">
        <f>INSUMOS!E120</f>
        <v>6360</v>
      </c>
      <c r="I1196" s="601">
        <f>H1196*D1196</f>
        <v>6360</v>
      </c>
    </row>
    <row r="1197" spans="2:9" x14ac:dyDescent="0.2">
      <c r="B1197" s="756" t="s">
        <v>43</v>
      </c>
      <c r="C1197" s="756"/>
      <c r="D1197" s="756"/>
      <c r="E1197" s="756"/>
      <c r="F1197" s="756"/>
      <c r="G1197" s="756"/>
      <c r="H1197" s="756"/>
      <c r="I1197" s="601">
        <f>SUM(I1190:I1196)</f>
        <v>8037.42</v>
      </c>
    </row>
    <row r="1198" spans="2:9" x14ac:dyDescent="0.2">
      <c r="B1198" s="712" t="s">
        <v>46</v>
      </c>
      <c r="C1198" s="712"/>
      <c r="D1198" s="712"/>
      <c r="E1198" s="712"/>
      <c r="F1198" s="712"/>
      <c r="G1198" s="712"/>
      <c r="H1198" s="712"/>
      <c r="I1198" s="712"/>
    </row>
    <row r="1199" spans="2:9" x14ac:dyDescent="0.2">
      <c r="B1199" s="17" t="s">
        <v>33</v>
      </c>
      <c r="C1199" s="457" t="s">
        <v>5</v>
      </c>
      <c r="D1199" s="18" t="s">
        <v>6</v>
      </c>
      <c r="E1199" s="198"/>
      <c r="F1199" s="198"/>
      <c r="G1199" s="198"/>
      <c r="H1199" s="18" t="s">
        <v>45</v>
      </c>
      <c r="I1199" s="458" t="s">
        <v>39</v>
      </c>
    </row>
    <row r="1200" spans="2:9" x14ac:dyDescent="0.2">
      <c r="B1200" s="425"/>
      <c r="C1200" s="18"/>
      <c r="D1200" s="18"/>
      <c r="E1200" s="198"/>
      <c r="F1200" s="198"/>
      <c r="G1200" s="198"/>
      <c r="H1200" s="18"/>
      <c r="I1200" s="32"/>
    </row>
    <row r="1201" spans="2:9" x14ac:dyDescent="0.2">
      <c r="B1201" s="756" t="s">
        <v>43</v>
      </c>
      <c r="C1201" s="756"/>
      <c r="D1201" s="756"/>
      <c r="E1201" s="756"/>
      <c r="F1201" s="756"/>
      <c r="G1201" s="756"/>
      <c r="H1201" s="756"/>
      <c r="I1201" s="32"/>
    </row>
    <row r="1202" spans="2:9" x14ac:dyDescent="0.2">
      <c r="B1202" s="712" t="s">
        <v>47</v>
      </c>
      <c r="C1202" s="712"/>
      <c r="D1202" s="712"/>
      <c r="E1202" s="712"/>
      <c r="F1202" s="712"/>
      <c r="G1202" s="712"/>
      <c r="H1202" s="712"/>
      <c r="I1202" s="712"/>
    </row>
    <row r="1203" spans="2:9" x14ac:dyDescent="0.2">
      <c r="B1203" s="486" t="s">
        <v>33</v>
      </c>
      <c r="C1203" s="487" t="s">
        <v>5</v>
      </c>
      <c r="D1203" s="488" t="s">
        <v>6</v>
      </c>
      <c r="E1203" s="473"/>
      <c r="F1203" s="473"/>
      <c r="G1203" s="473"/>
      <c r="H1203" s="482" t="s">
        <v>45</v>
      </c>
      <c r="I1203" s="458" t="s">
        <v>39</v>
      </c>
    </row>
    <row r="1204" spans="2:9" x14ac:dyDescent="0.2">
      <c r="B1204" s="489" t="s">
        <v>506</v>
      </c>
      <c r="C1204" s="26" t="s">
        <v>41</v>
      </c>
      <c r="D1204" s="624">
        <v>7</v>
      </c>
      <c r="E1204" s="198"/>
      <c r="F1204" s="198"/>
      <c r="G1204" s="198"/>
      <c r="H1204" s="562">
        <f>INSUMOS!E14</f>
        <v>7.81</v>
      </c>
      <c r="I1204" s="611">
        <f>H1204*D1204</f>
        <v>54.67</v>
      </c>
    </row>
    <row r="1205" spans="2:9" x14ac:dyDescent="0.2">
      <c r="B1205" s="427" t="s">
        <v>48</v>
      </c>
      <c r="C1205" s="26" t="s">
        <v>41</v>
      </c>
      <c r="D1205" s="620">
        <v>10</v>
      </c>
      <c r="E1205" s="198"/>
      <c r="F1205" s="198"/>
      <c r="G1205" s="198"/>
      <c r="H1205" s="562">
        <f>INSUMOS!E13</f>
        <v>7.81</v>
      </c>
      <c r="I1205" s="611">
        <f>H1205*D1205</f>
        <v>78.099999999999994</v>
      </c>
    </row>
    <row r="1206" spans="2:9" x14ac:dyDescent="0.2">
      <c r="B1206" s="459" t="s">
        <v>70</v>
      </c>
      <c r="C1206" s="26" t="s">
        <v>41</v>
      </c>
      <c r="D1206" s="620">
        <v>7</v>
      </c>
      <c r="E1206" s="198"/>
      <c r="F1206" s="198"/>
      <c r="G1206" s="198"/>
      <c r="H1206" s="562">
        <f>INSUMOS!E21</f>
        <v>10.37</v>
      </c>
      <c r="I1206" s="611">
        <f>H1206*D1206</f>
        <v>72.59</v>
      </c>
    </row>
    <row r="1207" spans="2:9" x14ac:dyDescent="0.2">
      <c r="B1207" s="756" t="s">
        <v>43</v>
      </c>
      <c r="C1207" s="756"/>
      <c r="D1207" s="756"/>
      <c r="E1207" s="756"/>
      <c r="F1207" s="756"/>
      <c r="G1207" s="756"/>
      <c r="H1207" s="756"/>
      <c r="I1207" s="612">
        <f>SUM(I1204:I1206)</f>
        <v>205.36</v>
      </c>
    </row>
    <row r="1208" spans="2:9" x14ac:dyDescent="0.2">
      <c r="B1208" s="490" t="s">
        <v>49</v>
      </c>
      <c r="C1208" s="18">
        <v>1</v>
      </c>
      <c r="D1208" s="839" t="s">
        <v>50</v>
      </c>
      <c r="E1208" s="839"/>
      <c r="F1208" s="839"/>
      <c r="G1208" s="839"/>
      <c r="H1208" s="839"/>
      <c r="I1208" s="612">
        <f>I1207+I1201+I1197+I1187</f>
        <v>8242.7800000000007</v>
      </c>
    </row>
    <row r="1209" spans="2:9" x14ac:dyDescent="0.2">
      <c r="B1209" s="703"/>
      <c r="C1209" s="704"/>
      <c r="D1209" s="704"/>
      <c r="E1209" s="704"/>
      <c r="F1209" s="704"/>
      <c r="G1209" s="704"/>
      <c r="H1209" s="705"/>
      <c r="I1209" s="612">
        <f>I1208/C1208</f>
        <v>8242.7800000000007</v>
      </c>
    </row>
    <row r="1210" spans="2:9" x14ac:dyDescent="0.2">
      <c r="B1210" s="53" t="s">
        <v>135</v>
      </c>
      <c r="C1210" s="520">
        <f>BDI!C$36</f>
        <v>25</v>
      </c>
      <c r="D1210" s="56" t="s">
        <v>103</v>
      </c>
      <c r="E1210" s="51"/>
      <c r="F1210" s="51"/>
      <c r="G1210" s="51"/>
      <c r="H1210" s="52"/>
      <c r="I1210" s="611">
        <f>C1210/100*I1209</f>
        <v>2060.6999999999998</v>
      </c>
    </row>
    <row r="1211" spans="2:9" ht="16.5" thickBot="1" x14ac:dyDescent="0.25">
      <c r="B1211" s="759" t="s">
        <v>51</v>
      </c>
      <c r="C1211" s="759"/>
      <c r="D1211" s="759"/>
      <c r="E1211" s="759"/>
      <c r="F1211" s="759"/>
      <c r="G1211" s="759"/>
      <c r="H1211" s="759"/>
      <c r="I1211" s="623">
        <f>SUM(I1209:I1210)</f>
        <v>10303.48</v>
      </c>
    </row>
    <row r="1212" spans="2:9" ht="13.5" thickBot="1" x14ac:dyDescent="0.25"/>
    <row r="1213" spans="2:9" ht="15.75" x14ac:dyDescent="0.2">
      <c r="B1213" s="577" t="s">
        <v>361</v>
      </c>
      <c r="C1213" s="578" t="s">
        <v>475</v>
      </c>
      <c r="D1213" s="840" t="s">
        <v>30</v>
      </c>
      <c r="E1213" s="840"/>
      <c r="F1213" s="840"/>
      <c r="G1213" s="840"/>
      <c r="H1213" s="840"/>
      <c r="I1213" s="841"/>
    </row>
    <row r="1214" spans="2:9" ht="27.75" customHeight="1" x14ac:dyDescent="0.2">
      <c r="B1214" s="718" t="s">
        <v>134</v>
      </c>
      <c r="C1214" s="719"/>
      <c r="D1214" s="719"/>
      <c r="E1214" s="719"/>
      <c r="F1214" s="719"/>
      <c r="G1214" s="720"/>
      <c r="H1214" s="715" t="s">
        <v>572</v>
      </c>
      <c r="I1214" s="716"/>
    </row>
    <row r="1215" spans="2:9" ht="67.5" customHeight="1" x14ac:dyDescent="0.2">
      <c r="B1215" s="842" t="s">
        <v>591</v>
      </c>
      <c r="C1215" s="769"/>
      <c r="D1215" s="769"/>
      <c r="E1215" s="769"/>
      <c r="F1215" s="769"/>
      <c r="G1215" s="770"/>
      <c r="H1215" s="99" t="s">
        <v>31</v>
      </c>
      <c r="I1215" s="208" t="s">
        <v>143</v>
      </c>
    </row>
    <row r="1216" spans="2:9" x14ac:dyDescent="0.2">
      <c r="B1216" s="732" t="s">
        <v>32</v>
      </c>
      <c r="C1216" s="712"/>
      <c r="D1216" s="712"/>
      <c r="E1216" s="712"/>
      <c r="F1216" s="712"/>
      <c r="G1216" s="712"/>
      <c r="H1216" s="712"/>
      <c r="I1216" s="733"/>
    </row>
    <row r="1217" spans="2:9" ht="25.5" x14ac:dyDescent="0.2">
      <c r="B1217" s="75" t="s">
        <v>33</v>
      </c>
      <c r="C1217" s="62" t="s">
        <v>5</v>
      </c>
      <c r="D1217" s="14" t="s">
        <v>6</v>
      </c>
      <c r="E1217" s="14" t="s">
        <v>35</v>
      </c>
      <c r="F1217" s="14" t="s">
        <v>36</v>
      </c>
      <c r="G1217" s="14" t="s">
        <v>37</v>
      </c>
      <c r="H1217" s="14" t="s">
        <v>38</v>
      </c>
      <c r="I1217" s="76" t="s">
        <v>39</v>
      </c>
    </row>
    <row r="1218" spans="2:9" x14ac:dyDescent="0.2">
      <c r="B1218" s="491"/>
      <c r="C1218" s="480"/>
      <c r="D1218" s="481"/>
      <c r="E1218" s="482"/>
      <c r="F1218" s="482"/>
      <c r="G1218" s="482"/>
      <c r="H1218" s="482"/>
      <c r="I1218" s="492"/>
    </row>
    <row r="1219" spans="2:9" x14ac:dyDescent="0.2">
      <c r="B1219" s="843" t="s">
        <v>43</v>
      </c>
      <c r="C1219" s="844"/>
      <c r="D1219" s="844"/>
      <c r="E1219" s="844"/>
      <c r="F1219" s="844"/>
      <c r="G1219" s="844"/>
      <c r="H1219" s="844"/>
      <c r="I1219" s="493"/>
    </row>
    <row r="1220" spans="2:9" x14ac:dyDescent="0.2">
      <c r="B1220" s="780" t="s">
        <v>44</v>
      </c>
      <c r="C1220" s="781"/>
      <c r="D1220" s="781"/>
      <c r="E1220" s="781"/>
      <c r="F1220" s="781"/>
      <c r="G1220" s="781"/>
      <c r="H1220" s="781"/>
      <c r="I1220" s="782"/>
    </row>
    <row r="1221" spans="2:9" x14ac:dyDescent="0.2">
      <c r="B1221" s="494" t="s">
        <v>33</v>
      </c>
      <c r="C1221" s="495" t="s">
        <v>5</v>
      </c>
      <c r="D1221" s="55" t="s">
        <v>6</v>
      </c>
      <c r="E1221" s="496"/>
      <c r="F1221" s="496"/>
      <c r="G1221" s="496"/>
      <c r="H1221" s="55" t="s">
        <v>45</v>
      </c>
      <c r="I1221" s="497" t="s">
        <v>39</v>
      </c>
    </row>
    <row r="1222" spans="2:9" x14ac:dyDescent="0.2">
      <c r="B1222" s="498" t="s">
        <v>72</v>
      </c>
      <c r="C1222" s="59" t="s">
        <v>143</v>
      </c>
      <c r="D1222" s="499">
        <v>1</v>
      </c>
      <c r="E1222" s="500"/>
      <c r="F1222" s="500"/>
      <c r="G1222" s="500"/>
      <c r="H1222" s="561">
        <f>INSUMOS!E73</f>
        <v>34.49</v>
      </c>
      <c r="I1222" s="565">
        <f t="shared" ref="I1222:I1240" si="11">H1222*D1222</f>
        <v>34.49</v>
      </c>
    </row>
    <row r="1223" spans="2:9" x14ac:dyDescent="0.2">
      <c r="B1223" s="498" t="s">
        <v>73</v>
      </c>
      <c r="C1223" s="59" t="s">
        <v>143</v>
      </c>
      <c r="D1223" s="499">
        <v>1</v>
      </c>
      <c r="E1223" s="500"/>
      <c r="F1223" s="500"/>
      <c r="G1223" s="500"/>
      <c r="H1223" s="561">
        <f>INSUMOS!E74</f>
        <v>50.8</v>
      </c>
      <c r="I1223" s="565">
        <f t="shared" si="11"/>
        <v>50.8</v>
      </c>
    </row>
    <row r="1224" spans="2:9" x14ac:dyDescent="0.2">
      <c r="B1224" s="498" t="s">
        <v>507</v>
      </c>
      <c r="C1224" s="59" t="s">
        <v>143</v>
      </c>
      <c r="D1224" s="499">
        <v>2</v>
      </c>
      <c r="E1224" s="500"/>
      <c r="F1224" s="500"/>
      <c r="G1224" s="500"/>
      <c r="H1224" s="561">
        <f>INSUMOS!E75</f>
        <v>9.27</v>
      </c>
      <c r="I1224" s="565">
        <f t="shared" si="11"/>
        <v>18.54</v>
      </c>
    </row>
    <row r="1225" spans="2:9" x14ac:dyDescent="0.2">
      <c r="B1225" s="498" t="s">
        <v>508</v>
      </c>
      <c r="C1225" s="59" t="s">
        <v>143</v>
      </c>
      <c r="D1225" s="499">
        <v>1</v>
      </c>
      <c r="E1225" s="500"/>
      <c r="F1225" s="500"/>
      <c r="G1225" s="500"/>
      <c r="H1225" s="561">
        <f>INSUMOS!E77</f>
        <v>19.899999999999999</v>
      </c>
      <c r="I1225" s="565">
        <f>H1225*D1225</f>
        <v>19.899999999999999</v>
      </c>
    </row>
    <row r="1226" spans="2:9" x14ac:dyDescent="0.2">
      <c r="B1226" s="501" t="s">
        <v>509</v>
      </c>
      <c r="C1226" s="59" t="s">
        <v>143</v>
      </c>
      <c r="D1226" s="499">
        <v>8</v>
      </c>
      <c r="E1226" s="500"/>
      <c r="F1226" s="500"/>
      <c r="G1226" s="500"/>
      <c r="H1226" s="561">
        <f>INSUMOS!E76</f>
        <v>13.99</v>
      </c>
      <c r="I1226" s="565">
        <f t="shared" si="11"/>
        <v>111.92</v>
      </c>
    </row>
    <row r="1227" spans="2:9" x14ac:dyDescent="0.2">
      <c r="B1227" s="502" t="s">
        <v>75</v>
      </c>
      <c r="C1227" s="55" t="s">
        <v>19</v>
      </c>
      <c r="D1227" s="495">
        <v>20</v>
      </c>
      <c r="E1227" s="496"/>
      <c r="F1227" s="496"/>
      <c r="G1227" s="496"/>
      <c r="H1227" s="561">
        <f>INSUMOS!E39</f>
        <v>0.9</v>
      </c>
      <c r="I1227" s="565">
        <f t="shared" si="11"/>
        <v>18</v>
      </c>
    </row>
    <row r="1228" spans="2:9" x14ac:dyDescent="0.2">
      <c r="B1228" s="502" t="s">
        <v>76</v>
      </c>
      <c r="C1228" s="59" t="s">
        <v>143</v>
      </c>
      <c r="D1228" s="495">
        <v>4</v>
      </c>
      <c r="E1228" s="496"/>
      <c r="F1228" s="496"/>
      <c r="G1228" s="496"/>
      <c r="H1228" s="561">
        <f>INSUMOS!E40</f>
        <v>2.6</v>
      </c>
      <c r="I1228" s="565">
        <f t="shared" si="11"/>
        <v>10.4</v>
      </c>
    </row>
    <row r="1229" spans="2:9" x14ac:dyDescent="0.2">
      <c r="B1229" s="110" t="s">
        <v>510</v>
      </c>
      <c r="C1229" s="59" t="s">
        <v>143</v>
      </c>
      <c r="D1229" s="60">
        <v>3</v>
      </c>
      <c r="E1229" s="428"/>
      <c r="F1229" s="428"/>
      <c r="G1229" s="428"/>
      <c r="H1229" s="561">
        <f>INSUMOS!E72</f>
        <v>8.7899999999999991</v>
      </c>
      <c r="I1229" s="565">
        <f t="shared" si="11"/>
        <v>26.37</v>
      </c>
    </row>
    <row r="1230" spans="2:9" x14ac:dyDescent="0.2">
      <c r="B1230" s="110" t="s">
        <v>511</v>
      </c>
      <c r="C1230" s="59" t="s">
        <v>143</v>
      </c>
      <c r="D1230" s="60">
        <v>6</v>
      </c>
      <c r="E1230" s="428"/>
      <c r="F1230" s="428"/>
      <c r="G1230" s="428"/>
      <c r="H1230" s="561">
        <f>INSUMOS!E64</f>
        <v>2.3199999999999998</v>
      </c>
      <c r="I1230" s="565">
        <f>H1230*D1230</f>
        <v>13.92</v>
      </c>
    </row>
    <row r="1231" spans="2:9" x14ac:dyDescent="0.2">
      <c r="B1231" s="503" t="s">
        <v>512</v>
      </c>
      <c r="C1231" s="59" t="s">
        <v>143</v>
      </c>
      <c r="D1231" s="495">
        <v>0.08</v>
      </c>
      <c r="E1231" s="496"/>
      <c r="F1231" s="496"/>
      <c r="G1231" s="496"/>
      <c r="H1231" s="561">
        <f>INSUMOS!E41</f>
        <v>1049</v>
      </c>
      <c r="I1231" s="565">
        <f>H1231*D1231</f>
        <v>83.92</v>
      </c>
    </row>
    <row r="1232" spans="2:9" x14ac:dyDescent="0.2">
      <c r="B1232" s="503" t="s">
        <v>78</v>
      </c>
      <c r="C1232" s="59" t="s">
        <v>143</v>
      </c>
      <c r="D1232" s="495">
        <v>2</v>
      </c>
      <c r="E1232" s="496"/>
      <c r="F1232" s="496"/>
      <c r="G1232" s="496"/>
      <c r="H1232" s="561">
        <f>INSUMOS!E69</f>
        <v>3.29</v>
      </c>
      <c r="I1232" s="565">
        <f t="shared" si="11"/>
        <v>6.58</v>
      </c>
    </row>
    <row r="1233" spans="2:9" x14ac:dyDescent="0.2">
      <c r="B1233" s="78" t="s">
        <v>513</v>
      </c>
      <c r="C1233" s="59" t="s">
        <v>143</v>
      </c>
      <c r="D1233" s="60">
        <v>1</v>
      </c>
      <c r="E1233" s="428"/>
      <c r="F1233" s="428"/>
      <c r="G1233" s="428"/>
      <c r="H1233" s="561">
        <f>INSUMOS!E70</f>
        <v>13.42</v>
      </c>
      <c r="I1233" s="565">
        <f t="shared" si="11"/>
        <v>13.42</v>
      </c>
    </row>
    <row r="1234" spans="2:9" x14ac:dyDescent="0.2">
      <c r="B1234" s="504" t="s">
        <v>514</v>
      </c>
      <c r="C1234" s="59" t="s">
        <v>143</v>
      </c>
      <c r="D1234" s="495">
        <v>1</v>
      </c>
      <c r="E1234" s="496"/>
      <c r="F1234" s="496"/>
      <c r="G1234" s="496"/>
      <c r="H1234" s="561">
        <f>INSUMOS!E129</f>
        <v>2958.34</v>
      </c>
      <c r="I1234" s="565">
        <f t="shared" si="11"/>
        <v>2958.34</v>
      </c>
    </row>
    <row r="1235" spans="2:9" x14ac:dyDescent="0.2">
      <c r="B1235" s="504" t="s">
        <v>132</v>
      </c>
      <c r="C1235" s="59" t="s">
        <v>143</v>
      </c>
      <c r="D1235" s="495">
        <v>1</v>
      </c>
      <c r="E1235" s="496"/>
      <c r="F1235" s="496"/>
      <c r="G1235" s="496"/>
      <c r="H1235" s="561">
        <f>INSUMOS!E84</f>
        <v>82.88</v>
      </c>
      <c r="I1235" s="565">
        <f t="shared" si="11"/>
        <v>82.88</v>
      </c>
    </row>
    <row r="1236" spans="2:9" ht="25.5" x14ac:dyDescent="0.2">
      <c r="B1236" s="504" t="s">
        <v>515</v>
      </c>
      <c r="C1236" s="59" t="s">
        <v>143</v>
      </c>
      <c r="D1236" s="495">
        <v>1</v>
      </c>
      <c r="E1236" s="496"/>
      <c r="F1236" s="496"/>
      <c r="G1236" s="496"/>
      <c r="H1236" s="561">
        <f>INSUMOS!E128</f>
        <v>690</v>
      </c>
      <c r="I1236" s="565">
        <f t="shared" si="11"/>
        <v>690</v>
      </c>
    </row>
    <row r="1237" spans="2:9" ht="25.5" x14ac:dyDescent="0.2">
      <c r="B1237" s="83" t="s">
        <v>516</v>
      </c>
      <c r="C1237" s="59" t="s">
        <v>19</v>
      </c>
      <c r="D1237" s="60">
        <v>50</v>
      </c>
      <c r="E1237" s="428"/>
      <c r="F1237" s="428"/>
      <c r="G1237" s="428"/>
      <c r="H1237" s="561">
        <f>INSUMOS!E43</f>
        <v>16.66</v>
      </c>
      <c r="I1237" s="565">
        <f t="shared" si="11"/>
        <v>833</v>
      </c>
    </row>
    <row r="1238" spans="2:9" x14ac:dyDescent="0.2">
      <c r="B1238" s="79" t="s">
        <v>81</v>
      </c>
      <c r="C1238" s="59" t="s">
        <v>19</v>
      </c>
      <c r="D1238" s="60">
        <v>1</v>
      </c>
      <c r="E1238" s="428"/>
      <c r="F1238" s="428"/>
      <c r="G1238" s="428"/>
      <c r="H1238" s="561">
        <f>INSUMOS!E65</f>
        <v>34.69</v>
      </c>
      <c r="I1238" s="565">
        <f t="shared" si="11"/>
        <v>34.69</v>
      </c>
    </row>
    <row r="1239" spans="2:9" x14ac:dyDescent="0.2">
      <c r="B1239" s="505" t="s">
        <v>192</v>
      </c>
      <c r="C1239" s="59" t="s">
        <v>19</v>
      </c>
      <c r="D1239" s="495">
        <v>120</v>
      </c>
      <c r="E1239" s="496"/>
      <c r="F1239" s="496"/>
      <c r="G1239" s="496"/>
      <c r="H1239" s="561">
        <f>INSUMOS!E66</f>
        <v>3.53</v>
      </c>
      <c r="I1239" s="565">
        <f t="shared" si="11"/>
        <v>423.6</v>
      </c>
    </row>
    <row r="1240" spans="2:9" x14ac:dyDescent="0.2">
      <c r="B1240" s="505" t="s">
        <v>643</v>
      </c>
      <c r="C1240" s="59" t="s">
        <v>143</v>
      </c>
      <c r="D1240" s="495">
        <v>1</v>
      </c>
      <c r="E1240" s="660"/>
      <c r="F1240" s="660"/>
      <c r="G1240" s="660"/>
      <c r="H1240" s="561">
        <f>INSUMOS!E49</f>
        <v>337.71</v>
      </c>
      <c r="I1240" s="565">
        <f t="shared" si="11"/>
        <v>337.71</v>
      </c>
    </row>
    <row r="1241" spans="2:9" x14ac:dyDescent="0.2">
      <c r="B1241" s="845" t="s">
        <v>43</v>
      </c>
      <c r="C1241" s="846"/>
      <c r="D1241" s="846"/>
      <c r="E1241" s="846"/>
      <c r="F1241" s="846"/>
      <c r="G1241" s="846"/>
      <c r="H1241" s="846"/>
      <c r="I1241" s="565">
        <f>SUM(I1222:I1240)</f>
        <v>5768.48</v>
      </c>
    </row>
    <row r="1242" spans="2:9" x14ac:dyDescent="0.2">
      <c r="B1242" s="780" t="s">
        <v>46</v>
      </c>
      <c r="C1242" s="781"/>
      <c r="D1242" s="781"/>
      <c r="E1242" s="781"/>
      <c r="F1242" s="781"/>
      <c r="G1242" s="781"/>
      <c r="H1242" s="781"/>
      <c r="I1242" s="782"/>
    </row>
    <row r="1243" spans="2:9" x14ac:dyDescent="0.2">
      <c r="B1243" s="494" t="s">
        <v>33</v>
      </c>
      <c r="C1243" s="495" t="s">
        <v>5</v>
      </c>
      <c r="D1243" s="55" t="s">
        <v>6</v>
      </c>
      <c r="E1243" s="496"/>
      <c r="F1243" s="496"/>
      <c r="G1243" s="496"/>
      <c r="H1243" s="55" t="s">
        <v>45</v>
      </c>
      <c r="I1243" s="497" t="s">
        <v>39</v>
      </c>
    </row>
    <row r="1244" spans="2:9" x14ac:dyDescent="0.2">
      <c r="B1244" s="80"/>
      <c r="C1244" s="55"/>
      <c r="D1244" s="55"/>
      <c r="E1244" s="496"/>
      <c r="F1244" s="496"/>
      <c r="G1244" s="496"/>
      <c r="H1244" s="55"/>
      <c r="I1244" s="497"/>
    </row>
    <row r="1245" spans="2:9" x14ac:dyDescent="0.2">
      <c r="B1245" s="847" t="s">
        <v>43</v>
      </c>
      <c r="C1245" s="848"/>
      <c r="D1245" s="848"/>
      <c r="E1245" s="848"/>
      <c r="F1245" s="848"/>
      <c r="G1245" s="848"/>
      <c r="H1245" s="848"/>
      <c r="I1245" s="467"/>
    </row>
    <row r="1246" spans="2:9" x14ac:dyDescent="0.2">
      <c r="B1246" s="732" t="s">
        <v>47</v>
      </c>
      <c r="C1246" s="712"/>
      <c r="D1246" s="712"/>
      <c r="E1246" s="712"/>
      <c r="F1246" s="712"/>
      <c r="G1246" s="712"/>
      <c r="H1246" s="712"/>
      <c r="I1246" s="733"/>
    </row>
    <row r="1247" spans="2:9" x14ac:dyDescent="0.2">
      <c r="B1247" s="468" t="s">
        <v>33</v>
      </c>
      <c r="C1247" s="463" t="s">
        <v>5</v>
      </c>
      <c r="D1247" s="465" t="s">
        <v>6</v>
      </c>
      <c r="E1247" s="198"/>
      <c r="F1247" s="198"/>
      <c r="G1247" s="198"/>
      <c r="H1247" s="18" t="s">
        <v>45</v>
      </c>
      <c r="I1247" s="469" t="s">
        <v>39</v>
      </c>
    </row>
    <row r="1248" spans="2:9" x14ac:dyDescent="0.2">
      <c r="B1248" s="506" t="s">
        <v>48</v>
      </c>
      <c r="C1248" s="26" t="s">
        <v>41</v>
      </c>
      <c r="D1248" s="18">
        <v>8.5</v>
      </c>
      <c r="E1248" s="198"/>
      <c r="F1248" s="198"/>
      <c r="G1248" s="198"/>
      <c r="H1248" s="562">
        <f>INSUMOS!E13</f>
        <v>7.81</v>
      </c>
      <c r="I1248" s="566">
        <f>H1248*D1248</f>
        <v>66.39</v>
      </c>
    </row>
    <row r="1249" spans="2:9" x14ac:dyDescent="0.2">
      <c r="B1249" s="507" t="s">
        <v>82</v>
      </c>
      <c r="C1249" s="26" t="s">
        <v>41</v>
      </c>
      <c r="D1249" s="18">
        <v>2.5</v>
      </c>
      <c r="E1249" s="198"/>
      <c r="F1249" s="198"/>
      <c r="G1249" s="198"/>
      <c r="H1249" s="562">
        <f>INSUMOS!E18</f>
        <v>10.37</v>
      </c>
      <c r="I1249" s="566">
        <f>H1249*D1249</f>
        <v>25.93</v>
      </c>
    </row>
    <row r="1250" spans="2:9" x14ac:dyDescent="0.2">
      <c r="B1250" s="507" t="s">
        <v>70</v>
      </c>
      <c r="C1250" s="26" t="s">
        <v>41</v>
      </c>
      <c r="D1250" s="18">
        <v>4</v>
      </c>
      <c r="E1250" s="198"/>
      <c r="F1250" s="198"/>
      <c r="G1250" s="198"/>
      <c r="H1250" s="562">
        <f>INSUMOS!E21</f>
        <v>10.37</v>
      </c>
      <c r="I1250" s="566">
        <f>H1250*D1250</f>
        <v>41.48</v>
      </c>
    </row>
    <row r="1251" spans="2:9" x14ac:dyDescent="0.2">
      <c r="B1251" s="734" t="s">
        <v>43</v>
      </c>
      <c r="C1251" s="713"/>
      <c r="D1251" s="713"/>
      <c r="E1251" s="713"/>
      <c r="F1251" s="713"/>
      <c r="G1251" s="713"/>
      <c r="H1251" s="713"/>
      <c r="I1251" s="615">
        <f>SUM(I1248:I1250)</f>
        <v>133.80000000000001</v>
      </c>
    </row>
    <row r="1252" spans="2:9" x14ac:dyDescent="0.2">
      <c r="B1252" s="385" t="s">
        <v>49</v>
      </c>
      <c r="C1252" s="277">
        <v>1</v>
      </c>
      <c r="D1252" s="709" t="s">
        <v>50</v>
      </c>
      <c r="E1252" s="710"/>
      <c r="F1252" s="710"/>
      <c r="G1252" s="710"/>
      <c r="H1252" s="711"/>
      <c r="I1252" s="567">
        <f>I1219+I1241+I1245+I1251</f>
        <v>5902.28</v>
      </c>
    </row>
    <row r="1253" spans="2:9" x14ac:dyDescent="0.2">
      <c r="B1253" s="755"/>
      <c r="C1253" s="726"/>
      <c r="D1253" s="726"/>
      <c r="E1253" s="726"/>
      <c r="F1253" s="726"/>
      <c r="G1253" s="726"/>
      <c r="H1253" s="727"/>
      <c r="I1253" s="567">
        <f>I1252/C1252</f>
        <v>5902.28</v>
      </c>
    </row>
    <row r="1254" spans="2:9" x14ac:dyDescent="0.2">
      <c r="B1254" s="386" t="s">
        <v>135</v>
      </c>
      <c r="C1254" s="520">
        <f>BDI!C$36</f>
        <v>25</v>
      </c>
      <c r="D1254" s="352" t="s">
        <v>103</v>
      </c>
      <c r="E1254" s="353"/>
      <c r="F1254" s="353"/>
      <c r="G1254" s="353"/>
      <c r="H1254" s="354"/>
      <c r="I1254" s="568">
        <f>C1254/100*I1253</f>
        <v>1475.57</v>
      </c>
    </row>
    <row r="1255" spans="2:9" ht="13.5" thickBot="1" x14ac:dyDescent="0.25">
      <c r="B1255" s="790" t="s">
        <v>51</v>
      </c>
      <c r="C1255" s="791"/>
      <c r="D1255" s="791"/>
      <c r="E1255" s="791"/>
      <c r="F1255" s="791"/>
      <c r="G1255" s="791"/>
      <c r="H1255" s="791"/>
      <c r="I1255" s="549">
        <f>SUM(I1253:I1254)</f>
        <v>7377.85</v>
      </c>
    </row>
    <row r="1256" spans="2:9" ht="13.5" thickBot="1" x14ac:dyDescent="0.25"/>
    <row r="1257" spans="2:9" ht="15.75" x14ac:dyDescent="0.2">
      <c r="B1257" s="577" t="s">
        <v>361</v>
      </c>
      <c r="C1257" s="578" t="s">
        <v>476</v>
      </c>
      <c r="D1257" s="795" t="s">
        <v>30</v>
      </c>
      <c r="E1257" s="795"/>
      <c r="F1257" s="795"/>
      <c r="G1257" s="795"/>
      <c r="H1257" s="795"/>
      <c r="I1257" s="796"/>
    </row>
    <row r="1258" spans="2:9" x14ac:dyDescent="0.2">
      <c r="B1258" s="718" t="s">
        <v>134</v>
      </c>
      <c r="C1258" s="719"/>
      <c r="D1258" s="719"/>
      <c r="E1258" s="719"/>
      <c r="F1258" s="719"/>
      <c r="G1258" s="720"/>
      <c r="H1258" s="715" t="s">
        <v>572</v>
      </c>
      <c r="I1258" s="716"/>
    </row>
    <row r="1259" spans="2:9" x14ac:dyDescent="0.2">
      <c r="B1259" s="797" t="s">
        <v>570</v>
      </c>
      <c r="C1259" s="766"/>
      <c r="D1259" s="766"/>
      <c r="E1259" s="766"/>
      <c r="F1259" s="766"/>
      <c r="G1259" s="766"/>
      <c r="H1259" s="12" t="s">
        <v>31</v>
      </c>
      <c r="I1259" s="466" t="s">
        <v>19</v>
      </c>
    </row>
    <row r="1260" spans="2:9" x14ac:dyDescent="0.2">
      <c r="B1260" s="732" t="s">
        <v>32</v>
      </c>
      <c r="C1260" s="712"/>
      <c r="D1260" s="712"/>
      <c r="E1260" s="712"/>
      <c r="F1260" s="712"/>
      <c r="G1260" s="712"/>
      <c r="H1260" s="712"/>
      <c r="I1260" s="733"/>
    </row>
    <row r="1261" spans="2:9" ht="25.5" x14ac:dyDescent="0.2">
      <c r="B1261" s="75" t="s">
        <v>33</v>
      </c>
      <c r="C1261" s="62" t="s">
        <v>5</v>
      </c>
      <c r="D1261" s="14" t="s">
        <v>6</v>
      </c>
      <c r="E1261" s="14" t="s">
        <v>35</v>
      </c>
      <c r="F1261" s="14" t="s">
        <v>36</v>
      </c>
      <c r="G1261" s="14" t="s">
        <v>37</v>
      </c>
      <c r="H1261" s="14" t="s">
        <v>38</v>
      </c>
      <c r="I1261" s="76" t="s">
        <v>39</v>
      </c>
    </row>
    <row r="1262" spans="2:9" ht="12.75" customHeight="1" x14ac:dyDescent="0.2">
      <c r="B1262" s="511" t="s">
        <v>517</v>
      </c>
      <c r="C1262" s="512" t="s">
        <v>41</v>
      </c>
      <c r="D1262" s="513">
        <v>1</v>
      </c>
      <c r="E1262" s="508"/>
      <c r="F1262" s="20"/>
      <c r="G1262" s="562">
        <f>INSUMOS!E123</f>
        <v>7.5</v>
      </c>
      <c r="H1262" s="20"/>
      <c r="I1262" s="644">
        <f>D1262*G1262</f>
        <v>7.5</v>
      </c>
    </row>
    <row r="1263" spans="2:9" x14ac:dyDescent="0.2">
      <c r="B1263" s="514" t="s">
        <v>518</v>
      </c>
      <c r="C1263" s="512" t="s">
        <v>41</v>
      </c>
      <c r="D1263" s="513">
        <v>1</v>
      </c>
      <c r="E1263" s="508"/>
      <c r="F1263" s="87"/>
      <c r="G1263" s="614">
        <f>INSUMOS!E124</f>
        <v>1.33</v>
      </c>
      <c r="H1263" s="87"/>
      <c r="I1263" s="644">
        <f>D1263*G1263</f>
        <v>1.33</v>
      </c>
    </row>
    <row r="1264" spans="2:9" x14ac:dyDescent="0.2">
      <c r="B1264" s="788" t="s">
        <v>43</v>
      </c>
      <c r="C1264" s="756"/>
      <c r="D1264" s="756"/>
      <c r="E1264" s="756"/>
      <c r="F1264" s="756"/>
      <c r="G1264" s="756"/>
      <c r="H1264" s="756"/>
      <c r="I1264" s="645">
        <f>SUM(I1262:I1263)</f>
        <v>8.83</v>
      </c>
    </row>
    <row r="1265" spans="2:9" x14ac:dyDescent="0.2">
      <c r="B1265" s="732" t="s">
        <v>44</v>
      </c>
      <c r="C1265" s="712"/>
      <c r="D1265" s="712"/>
      <c r="E1265" s="712"/>
      <c r="F1265" s="712"/>
      <c r="G1265" s="712"/>
      <c r="H1265" s="712"/>
      <c r="I1265" s="733"/>
    </row>
    <row r="1266" spans="2:9" x14ac:dyDescent="0.2">
      <c r="B1266" s="468" t="s">
        <v>33</v>
      </c>
      <c r="C1266" s="463" t="s">
        <v>5</v>
      </c>
      <c r="D1266" s="18" t="s">
        <v>6</v>
      </c>
      <c r="E1266" s="198"/>
      <c r="F1266" s="198"/>
      <c r="G1266" s="198"/>
      <c r="H1266" s="18" t="s">
        <v>45</v>
      </c>
      <c r="I1266" s="469" t="s">
        <v>39</v>
      </c>
    </row>
    <row r="1267" spans="2:9" x14ac:dyDescent="0.2">
      <c r="B1267" s="470"/>
      <c r="C1267" s="31"/>
      <c r="D1267" s="424"/>
      <c r="E1267" s="198"/>
      <c r="F1267" s="198"/>
      <c r="G1267" s="198"/>
      <c r="H1267" s="18"/>
      <c r="I1267" s="469"/>
    </row>
    <row r="1268" spans="2:9" x14ac:dyDescent="0.2">
      <c r="B1268" s="788" t="s">
        <v>43</v>
      </c>
      <c r="C1268" s="756"/>
      <c r="D1268" s="756"/>
      <c r="E1268" s="756"/>
      <c r="F1268" s="756"/>
      <c r="G1268" s="756"/>
      <c r="H1268" s="756"/>
      <c r="I1268" s="469"/>
    </row>
    <row r="1269" spans="2:9" x14ac:dyDescent="0.2">
      <c r="B1269" s="732" t="s">
        <v>46</v>
      </c>
      <c r="C1269" s="712"/>
      <c r="D1269" s="712"/>
      <c r="E1269" s="712"/>
      <c r="F1269" s="712"/>
      <c r="G1269" s="712"/>
      <c r="H1269" s="712"/>
      <c r="I1269" s="733"/>
    </row>
    <row r="1270" spans="2:9" x14ac:dyDescent="0.2">
      <c r="B1270" s="471" t="s">
        <v>33</v>
      </c>
      <c r="C1270" s="457" t="s">
        <v>5</v>
      </c>
      <c r="D1270" s="18" t="s">
        <v>6</v>
      </c>
      <c r="E1270" s="198"/>
      <c r="F1270" s="198"/>
      <c r="G1270" s="198"/>
      <c r="H1270" s="18" t="s">
        <v>45</v>
      </c>
      <c r="I1270" s="492" t="s">
        <v>39</v>
      </c>
    </row>
    <row r="1271" spans="2:9" x14ac:dyDescent="0.2">
      <c r="B1271" s="375"/>
      <c r="C1271" s="18"/>
      <c r="D1271" s="18"/>
      <c r="E1271" s="198"/>
      <c r="F1271" s="198"/>
      <c r="G1271" s="198"/>
      <c r="H1271" s="18"/>
      <c r="I1271" s="469"/>
    </row>
    <row r="1272" spans="2:9" x14ac:dyDescent="0.2">
      <c r="B1272" s="788" t="s">
        <v>43</v>
      </c>
      <c r="C1272" s="756"/>
      <c r="D1272" s="756"/>
      <c r="E1272" s="756"/>
      <c r="F1272" s="756"/>
      <c r="G1272" s="756"/>
      <c r="H1272" s="756"/>
      <c r="I1272" s="469"/>
    </row>
    <row r="1273" spans="2:9" x14ac:dyDescent="0.2">
      <c r="B1273" s="732" t="s">
        <v>47</v>
      </c>
      <c r="C1273" s="712"/>
      <c r="D1273" s="712"/>
      <c r="E1273" s="712"/>
      <c r="F1273" s="712"/>
      <c r="G1273" s="712"/>
      <c r="H1273" s="712"/>
      <c r="I1273" s="733"/>
    </row>
    <row r="1274" spans="2:9" x14ac:dyDescent="0.2">
      <c r="B1274" s="468" t="s">
        <v>33</v>
      </c>
      <c r="C1274" s="463" t="s">
        <v>5</v>
      </c>
      <c r="D1274" s="465" t="s">
        <v>6</v>
      </c>
      <c r="E1274" s="509"/>
      <c r="F1274" s="198"/>
      <c r="G1274" s="198"/>
      <c r="H1274" s="18" t="s">
        <v>45</v>
      </c>
      <c r="I1274" s="469" t="s">
        <v>39</v>
      </c>
    </row>
    <row r="1275" spans="2:9" x14ac:dyDescent="0.2">
      <c r="B1275" s="515" t="s">
        <v>519</v>
      </c>
      <c r="C1275" s="516" t="s">
        <v>41</v>
      </c>
      <c r="D1275" s="517">
        <v>1</v>
      </c>
      <c r="E1275" s="389"/>
      <c r="F1275" s="479"/>
      <c r="G1275" s="198"/>
      <c r="H1275" s="562">
        <f>INSUMOS!E125</f>
        <v>11.36</v>
      </c>
      <c r="I1275" s="566">
        <f>H1275*D1275</f>
        <v>11.36</v>
      </c>
    </row>
    <row r="1276" spans="2:9" x14ac:dyDescent="0.2">
      <c r="B1276" s="515" t="s">
        <v>520</v>
      </c>
      <c r="C1276" s="516" t="s">
        <v>41</v>
      </c>
      <c r="D1276" s="517">
        <v>1</v>
      </c>
      <c r="E1276" s="389"/>
      <c r="F1276" s="479"/>
      <c r="G1276" s="198"/>
      <c r="H1276" s="562">
        <f>INSUMOS!E24</f>
        <v>14</v>
      </c>
      <c r="I1276" s="566">
        <f>H1276*D1276</f>
        <v>14</v>
      </c>
    </row>
    <row r="1277" spans="2:9" x14ac:dyDescent="0.2">
      <c r="B1277" s="515" t="s">
        <v>634</v>
      </c>
      <c r="C1277" s="516" t="s">
        <v>41</v>
      </c>
      <c r="D1277" s="518">
        <v>2</v>
      </c>
      <c r="E1277" s="519"/>
      <c r="F1277" s="479"/>
      <c r="G1277" s="198"/>
      <c r="H1277" s="562">
        <f>INSUMOS!E25</f>
        <v>10.53</v>
      </c>
      <c r="I1277" s="566">
        <f>H1277*D1277</f>
        <v>21.06</v>
      </c>
    </row>
    <row r="1278" spans="2:9" x14ac:dyDescent="0.2">
      <c r="B1278" s="788" t="s">
        <v>43</v>
      </c>
      <c r="C1278" s="756"/>
      <c r="D1278" s="756"/>
      <c r="E1278" s="756"/>
      <c r="F1278" s="756"/>
      <c r="G1278" s="756"/>
      <c r="H1278" s="756"/>
      <c r="I1278" s="615">
        <f>SUM(I1275:I1277)</f>
        <v>46.42</v>
      </c>
    </row>
    <row r="1279" spans="2:9" x14ac:dyDescent="0.2">
      <c r="B1279" s="477" t="s">
        <v>49</v>
      </c>
      <c r="C1279" s="58">
        <v>34.6</v>
      </c>
      <c r="D1279" s="700" t="s">
        <v>50</v>
      </c>
      <c r="E1279" s="701"/>
      <c r="F1279" s="701"/>
      <c r="G1279" s="701"/>
      <c r="H1279" s="702"/>
      <c r="I1279" s="615">
        <f>I1264+I1268+I1272+I1278</f>
        <v>55.25</v>
      </c>
    </row>
    <row r="1280" spans="2:9" x14ac:dyDescent="0.2">
      <c r="B1280" s="789"/>
      <c r="C1280" s="704"/>
      <c r="D1280" s="704"/>
      <c r="E1280" s="704"/>
      <c r="F1280" s="704"/>
      <c r="G1280" s="704"/>
      <c r="H1280" s="705"/>
      <c r="I1280" s="615">
        <f>I1279/C1279</f>
        <v>1.6</v>
      </c>
    </row>
    <row r="1281" spans="2:9" x14ac:dyDescent="0.2">
      <c r="B1281" s="478" t="s">
        <v>135</v>
      </c>
      <c r="C1281" s="520">
        <f>BDI!C$36</f>
        <v>25</v>
      </c>
      <c r="D1281" s="56" t="s">
        <v>103</v>
      </c>
      <c r="E1281" s="51"/>
      <c r="F1281" s="51"/>
      <c r="G1281" s="51"/>
      <c r="H1281" s="52"/>
      <c r="I1281" s="566">
        <f>C1281/100*I1280</f>
        <v>0.4</v>
      </c>
    </row>
    <row r="1282" spans="2:9" ht="13.5" thickBot="1" x14ac:dyDescent="0.25">
      <c r="B1282" s="790" t="s">
        <v>51</v>
      </c>
      <c r="C1282" s="791"/>
      <c r="D1282" s="791"/>
      <c r="E1282" s="791"/>
      <c r="F1282" s="791"/>
      <c r="G1282" s="791"/>
      <c r="H1282" s="791"/>
      <c r="I1282" s="549">
        <f>SUM(I1280:I1281)</f>
        <v>2</v>
      </c>
    </row>
    <row r="1284" spans="2:9" ht="13.5" thickBot="1" x14ac:dyDescent="0.25">
      <c r="B1284" s="365"/>
      <c r="C1284" s="368"/>
      <c r="D1284" s="368"/>
      <c r="E1284" s="365"/>
      <c r="F1284" s="365"/>
      <c r="G1284" s="365"/>
      <c r="H1284" s="365"/>
      <c r="I1284" s="368"/>
    </row>
    <row r="1285" spans="2:9" ht="15.75" x14ac:dyDescent="0.2">
      <c r="B1285" s="577" t="s">
        <v>361</v>
      </c>
      <c r="C1285" s="578" t="s">
        <v>543</v>
      </c>
      <c r="D1285" s="757" t="s">
        <v>30</v>
      </c>
      <c r="E1285" s="757"/>
      <c r="F1285" s="757"/>
      <c r="G1285" s="757"/>
      <c r="H1285" s="757"/>
      <c r="I1285" s="758"/>
    </row>
    <row r="1286" spans="2:9" ht="12.75" customHeight="1" x14ac:dyDescent="0.2">
      <c r="B1286" s="718" t="s">
        <v>134</v>
      </c>
      <c r="C1286" s="719"/>
      <c r="D1286" s="719"/>
      <c r="E1286" s="719"/>
      <c r="F1286" s="719"/>
      <c r="G1286" s="720"/>
      <c r="H1286" s="715" t="s">
        <v>572</v>
      </c>
      <c r="I1286" s="716"/>
    </row>
    <row r="1287" spans="2:9" ht="28.5" customHeight="1" x14ac:dyDescent="0.2">
      <c r="B1287" s="807" t="s">
        <v>602</v>
      </c>
      <c r="C1287" s="808"/>
      <c r="D1287" s="808"/>
      <c r="E1287" s="808"/>
      <c r="F1287" s="808"/>
      <c r="G1287" s="809"/>
      <c r="H1287" s="289" t="s">
        <v>31</v>
      </c>
      <c r="I1287" s="290" t="s">
        <v>143</v>
      </c>
    </row>
    <row r="1288" spans="2:9" ht="15.75" x14ac:dyDescent="0.2">
      <c r="B1288" s="738" t="s">
        <v>32</v>
      </c>
      <c r="C1288" s="739"/>
      <c r="D1288" s="739"/>
      <c r="E1288" s="739"/>
      <c r="F1288" s="739"/>
      <c r="G1288" s="739"/>
      <c r="H1288" s="739"/>
      <c r="I1288" s="740"/>
    </row>
    <row r="1289" spans="2:9" ht="25.5" x14ac:dyDescent="0.2">
      <c r="B1289" s="291" t="s">
        <v>33</v>
      </c>
      <c r="C1289" s="14" t="s">
        <v>34</v>
      </c>
      <c r="D1289" s="292" t="s">
        <v>6</v>
      </c>
      <c r="E1289" s="293" t="s">
        <v>35</v>
      </c>
      <c r="F1289" s="293" t="s">
        <v>36</v>
      </c>
      <c r="G1289" s="294" t="s">
        <v>37</v>
      </c>
      <c r="H1289" s="294" t="s">
        <v>38</v>
      </c>
      <c r="I1289" s="295" t="s">
        <v>39</v>
      </c>
    </row>
    <row r="1290" spans="2:9" x14ac:dyDescent="0.2">
      <c r="B1290" s="111"/>
      <c r="C1290" s="204"/>
      <c r="D1290" s="296"/>
      <c r="E1290" s="297"/>
      <c r="F1290" s="298"/>
      <c r="G1290" s="299"/>
      <c r="H1290" s="300"/>
      <c r="I1290" s="299"/>
    </row>
    <row r="1291" spans="2:9" x14ac:dyDescent="0.2">
      <c r="B1291" s="810" t="s">
        <v>43</v>
      </c>
      <c r="C1291" s="811"/>
      <c r="D1291" s="811"/>
      <c r="E1291" s="811"/>
      <c r="F1291" s="811"/>
      <c r="G1291" s="811"/>
      <c r="H1291" s="811"/>
      <c r="I1291" s="301"/>
    </row>
    <row r="1292" spans="2:9" ht="15.75" x14ac:dyDescent="0.2">
      <c r="B1292" s="738" t="s">
        <v>44</v>
      </c>
      <c r="C1292" s="739"/>
      <c r="D1292" s="739"/>
      <c r="E1292" s="739"/>
      <c r="F1292" s="739"/>
      <c r="G1292" s="739"/>
      <c r="H1292" s="739"/>
      <c r="I1292" s="740"/>
    </row>
    <row r="1293" spans="2:9" x14ac:dyDescent="0.2">
      <c r="B1293" s="302" t="s">
        <v>33</v>
      </c>
      <c r="C1293" s="14" t="s">
        <v>34</v>
      </c>
      <c r="D1293" s="303" t="s">
        <v>6</v>
      </c>
      <c r="E1293" s="304"/>
      <c r="F1293" s="304"/>
      <c r="G1293" s="304"/>
      <c r="H1293" s="204" t="s">
        <v>45</v>
      </c>
      <c r="I1293" s="305" t="s">
        <v>39</v>
      </c>
    </row>
    <row r="1294" spans="2:9" ht="25.5" x14ac:dyDescent="0.2">
      <c r="B1294" s="306" t="s">
        <v>521</v>
      </c>
      <c r="C1294" s="204" t="s">
        <v>143</v>
      </c>
      <c r="D1294" s="307">
        <v>3</v>
      </c>
      <c r="E1294" s="308"/>
      <c r="F1294" s="308"/>
      <c r="G1294" s="308"/>
      <c r="H1294" s="543">
        <f>INSUMOS!E65</f>
        <v>34.69</v>
      </c>
      <c r="I1294" s="544">
        <f>D1294*H1294</f>
        <v>104.07</v>
      </c>
    </row>
    <row r="1295" spans="2:9" x14ac:dyDescent="0.2">
      <c r="B1295" s="310" t="s">
        <v>522</v>
      </c>
      <c r="C1295" s="112" t="s">
        <v>19</v>
      </c>
      <c r="D1295" s="311">
        <v>9</v>
      </c>
      <c r="E1295" s="312"/>
      <c r="F1295" s="312"/>
      <c r="G1295" s="312"/>
      <c r="H1295" s="552">
        <f>INSUMOS!E126</f>
        <v>11.97</v>
      </c>
      <c r="I1295" s="544">
        <f>D1295*H1295</f>
        <v>107.73</v>
      </c>
    </row>
    <row r="1296" spans="2:9" x14ac:dyDescent="0.2">
      <c r="B1296" s="310" t="s">
        <v>523</v>
      </c>
      <c r="C1296" s="112" t="s">
        <v>19</v>
      </c>
      <c r="D1296" s="311">
        <v>5</v>
      </c>
      <c r="E1296" s="312"/>
      <c r="F1296" s="312"/>
      <c r="G1296" s="312"/>
      <c r="H1296" s="552">
        <f>INSUMOS!E127</f>
        <v>22.99</v>
      </c>
      <c r="I1296" s="544">
        <f>D1296*H1296</f>
        <v>114.95</v>
      </c>
    </row>
    <row r="1297" spans="2:9" x14ac:dyDescent="0.2">
      <c r="B1297" s="741" t="s">
        <v>43</v>
      </c>
      <c r="C1297" s="742"/>
      <c r="D1297" s="742"/>
      <c r="E1297" s="742"/>
      <c r="F1297" s="742"/>
      <c r="G1297" s="742"/>
      <c r="H1297" s="742"/>
      <c r="I1297" s="544">
        <f>SUM(I1294:I1296)</f>
        <v>326.75</v>
      </c>
    </row>
    <row r="1298" spans="2:9" ht="15.75" x14ac:dyDescent="0.2">
      <c r="B1298" s="738" t="s">
        <v>46</v>
      </c>
      <c r="C1298" s="739"/>
      <c r="D1298" s="739"/>
      <c r="E1298" s="739"/>
      <c r="F1298" s="739"/>
      <c r="G1298" s="739"/>
      <c r="H1298" s="739"/>
      <c r="I1298" s="740"/>
    </row>
    <row r="1299" spans="2:9" x14ac:dyDescent="0.2">
      <c r="B1299" s="313" t="s">
        <v>33</v>
      </c>
      <c r="C1299" s="14" t="s">
        <v>34</v>
      </c>
      <c r="D1299" s="204" t="s">
        <v>6</v>
      </c>
      <c r="E1299" s="422"/>
      <c r="F1299" s="422"/>
      <c r="G1299" s="422"/>
      <c r="H1299" s="204" t="s">
        <v>45</v>
      </c>
      <c r="I1299" s="309" t="s">
        <v>39</v>
      </c>
    </row>
    <row r="1300" spans="2:9" x14ac:dyDescent="0.2">
      <c r="B1300" s="323"/>
      <c r="C1300" s="204"/>
      <c r="D1300" s="205"/>
      <c r="E1300" s="422"/>
      <c r="F1300" s="422"/>
      <c r="G1300" s="422"/>
      <c r="H1300" s="299"/>
      <c r="I1300" s="309"/>
    </row>
    <row r="1301" spans="2:9" x14ac:dyDescent="0.2">
      <c r="B1301" s="736" t="s">
        <v>43</v>
      </c>
      <c r="C1301" s="737"/>
      <c r="D1301" s="737"/>
      <c r="E1301" s="737"/>
      <c r="F1301" s="737"/>
      <c r="G1301" s="737"/>
      <c r="H1301" s="737"/>
      <c r="I1301" s="309"/>
    </row>
    <row r="1302" spans="2:9" ht="15.75" x14ac:dyDescent="0.2">
      <c r="B1302" s="738" t="s">
        <v>47</v>
      </c>
      <c r="C1302" s="739"/>
      <c r="D1302" s="739"/>
      <c r="E1302" s="739"/>
      <c r="F1302" s="739"/>
      <c r="G1302" s="739"/>
      <c r="H1302" s="739"/>
      <c r="I1302" s="740"/>
    </row>
    <row r="1303" spans="2:9" x14ac:dyDescent="0.2">
      <c r="B1303" s="315" t="s">
        <v>33</v>
      </c>
      <c r="C1303" s="14" t="s">
        <v>34</v>
      </c>
      <c r="D1303" s="316" t="s">
        <v>6</v>
      </c>
      <c r="E1303" s="308"/>
      <c r="F1303" s="308"/>
      <c r="G1303" s="308"/>
      <c r="H1303" s="204" t="s">
        <v>45</v>
      </c>
      <c r="I1303" s="305" t="s">
        <v>39</v>
      </c>
    </row>
    <row r="1304" spans="2:9" x14ac:dyDescent="0.2">
      <c r="B1304" s="317" t="s">
        <v>82</v>
      </c>
      <c r="C1304" s="318" t="s">
        <v>41</v>
      </c>
      <c r="D1304" s="319">
        <v>0.4</v>
      </c>
      <c r="E1304" s="308"/>
      <c r="F1304" s="308"/>
      <c r="G1304" s="308"/>
      <c r="H1304" s="543">
        <f>INSUMOS!E18</f>
        <v>10.37</v>
      </c>
      <c r="I1304" s="544">
        <f>D1304*H1304</f>
        <v>4.1500000000000004</v>
      </c>
    </row>
    <row r="1305" spans="2:9" x14ac:dyDescent="0.2">
      <c r="B1305" s="317" t="s">
        <v>306</v>
      </c>
      <c r="C1305" s="318" t="s">
        <v>41</v>
      </c>
      <c r="D1305" s="319">
        <v>0.4</v>
      </c>
      <c r="E1305" s="308"/>
      <c r="F1305" s="308"/>
      <c r="G1305" s="308"/>
      <c r="H1305" s="543">
        <f>INSUMOS!E14</f>
        <v>7.81</v>
      </c>
      <c r="I1305" s="544">
        <f>D1305*H1305</f>
        <v>3.12</v>
      </c>
    </row>
    <row r="1306" spans="2:9" x14ac:dyDescent="0.2">
      <c r="B1306" s="736" t="s">
        <v>43</v>
      </c>
      <c r="C1306" s="737"/>
      <c r="D1306" s="737"/>
      <c r="E1306" s="737"/>
      <c r="F1306" s="737"/>
      <c r="G1306" s="737"/>
      <c r="H1306" s="737"/>
      <c r="I1306" s="548">
        <f>SUM(I1304:I1305)</f>
        <v>7.27</v>
      </c>
    </row>
    <row r="1307" spans="2:9" x14ac:dyDescent="0.2">
      <c r="B1307" s="320" t="s">
        <v>49</v>
      </c>
      <c r="C1307" s="510">
        <v>1</v>
      </c>
      <c r="D1307" s="737" t="s">
        <v>50</v>
      </c>
      <c r="E1307" s="737"/>
      <c r="F1307" s="737"/>
      <c r="G1307" s="737"/>
      <c r="H1307" s="737"/>
      <c r="I1307" s="548">
        <f>I1306+I1301+I1297+I1291</f>
        <v>334.02</v>
      </c>
    </row>
    <row r="1308" spans="2:9" x14ac:dyDescent="0.2">
      <c r="B1308" s="743" t="s">
        <v>302</v>
      </c>
      <c r="C1308" s="744"/>
      <c r="D1308" s="745"/>
      <c r="E1308" s="745"/>
      <c r="F1308" s="745"/>
      <c r="G1308" s="745"/>
      <c r="H1308" s="745"/>
      <c r="I1308" s="544">
        <f>I1307/C1307</f>
        <v>334.02</v>
      </c>
    </row>
    <row r="1309" spans="2:9" x14ac:dyDescent="0.2">
      <c r="B1309" s="321" t="s">
        <v>303</v>
      </c>
      <c r="C1309" s="520">
        <f>BDI!C$36</f>
        <v>25</v>
      </c>
      <c r="D1309" s="746" t="s">
        <v>103</v>
      </c>
      <c r="E1309" s="747"/>
      <c r="F1309" s="747"/>
      <c r="G1309" s="747"/>
      <c r="H1309" s="748"/>
      <c r="I1309" s="544">
        <f>C1309/100*I1308</f>
        <v>83.51</v>
      </c>
    </row>
    <row r="1310" spans="2:9" ht="13.5" thickBot="1" x14ac:dyDescent="0.25">
      <c r="B1310" s="749" t="s">
        <v>51</v>
      </c>
      <c r="C1310" s="750"/>
      <c r="D1310" s="750"/>
      <c r="E1310" s="750"/>
      <c r="F1310" s="750"/>
      <c r="G1310" s="750"/>
      <c r="H1310" s="751"/>
      <c r="I1310" s="549">
        <f>SUM(I1308:I1309)</f>
        <v>417.53</v>
      </c>
    </row>
    <row r="1311" spans="2:9" ht="13.5" thickBot="1" x14ac:dyDescent="0.25"/>
    <row r="1312" spans="2:9" ht="31.5" x14ac:dyDescent="0.2">
      <c r="B1312" s="577" t="s">
        <v>361</v>
      </c>
      <c r="C1312" s="579" t="s">
        <v>603</v>
      </c>
      <c r="D1312" s="757" t="s">
        <v>30</v>
      </c>
      <c r="E1312" s="757"/>
      <c r="F1312" s="757"/>
      <c r="G1312" s="757"/>
      <c r="H1312" s="757"/>
      <c r="I1312" s="758"/>
    </row>
    <row r="1313" spans="2:9" ht="12.75" customHeight="1" x14ac:dyDescent="0.2">
      <c r="B1313" s="718" t="s">
        <v>134</v>
      </c>
      <c r="C1313" s="719"/>
      <c r="D1313" s="719"/>
      <c r="E1313" s="719"/>
      <c r="F1313" s="719"/>
      <c r="G1313" s="720"/>
      <c r="H1313" s="715" t="s">
        <v>572</v>
      </c>
      <c r="I1313" s="716"/>
    </row>
    <row r="1314" spans="2:9" x14ac:dyDescent="0.2">
      <c r="B1314" s="807" t="s">
        <v>564</v>
      </c>
      <c r="C1314" s="808"/>
      <c r="D1314" s="808"/>
      <c r="E1314" s="808"/>
      <c r="F1314" s="808"/>
      <c r="G1314" s="809"/>
      <c r="H1314" s="289" t="s">
        <v>31</v>
      </c>
      <c r="I1314" s="290" t="s">
        <v>19</v>
      </c>
    </row>
    <row r="1315" spans="2:9" ht="15.75" x14ac:dyDescent="0.2">
      <c r="B1315" s="738" t="s">
        <v>32</v>
      </c>
      <c r="C1315" s="739"/>
      <c r="D1315" s="739"/>
      <c r="E1315" s="739"/>
      <c r="F1315" s="739"/>
      <c r="G1315" s="739"/>
      <c r="H1315" s="739"/>
      <c r="I1315" s="740"/>
    </row>
    <row r="1316" spans="2:9" ht="25.5" x14ac:dyDescent="0.2">
      <c r="B1316" s="291" t="s">
        <v>33</v>
      </c>
      <c r="C1316" s="14" t="s">
        <v>34</v>
      </c>
      <c r="D1316" s="292" t="s">
        <v>6</v>
      </c>
      <c r="E1316" s="293" t="s">
        <v>35</v>
      </c>
      <c r="F1316" s="293" t="s">
        <v>36</v>
      </c>
      <c r="G1316" s="294" t="s">
        <v>37</v>
      </c>
      <c r="H1316" s="294" t="s">
        <v>38</v>
      </c>
      <c r="I1316" s="295" t="s">
        <v>39</v>
      </c>
    </row>
    <row r="1317" spans="2:9" x14ac:dyDescent="0.2">
      <c r="B1317" s="111"/>
      <c r="C1317" s="204"/>
      <c r="D1317" s="296"/>
      <c r="E1317" s="297"/>
      <c r="F1317" s="298"/>
      <c r="G1317" s="299"/>
      <c r="H1317" s="300"/>
      <c r="I1317" s="299"/>
    </row>
    <row r="1318" spans="2:9" x14ac:dyDescent="0.2">
      <c r="B1318" s="810" t="s">
        <v>43</v>
      </c>
      <c r="C1318" s="811"/>
      <c r="D1318" s="811"/>
      <c r="E1318" s="811"/>
      <c r="F1318" s="811"/>
      <c r="G1318" s="811"/>
      <c r="H1318" s="811"/>
      <c r="I1318" s="301"/>
    </row>
    <row r="1319" spans="2:9" ht="15.75" x14ac:dyDescent="0.2">
      <c r="B1319" s="738" t="s">
        <v>44</v>
      </c>
      <c r="C1319" s="739"/>
      <c r="D1319" s="739"/>
      <c r="E1319" s="739"/>
      <c r="F1319" s="739"/>
      <c r="G1319" s="739"/>
      <c r="H1319" s="739"/>
      <c r="I1319" s="740"/>
    </row>
    <row r="1320" spans="2:9" x14ac:dyDescent="0.2">
      <c r="B1320" s="302" t="s">
        <v>33</v>
      </c>
      <c r="C1320" s="14" t="s">
        <v>34</v>
      </c>
      <c r="D1320" s="303" t="s">
        <v>6</v>
      </c>
      <c r="E1320" s="304"/>
      <c r="F1320" s="304"/>
      <c r="G1320" s="304"/>
      <c r="H1320" s="204" t="s">
        <v>45</v>
      </c>
      <c r="I1320" s="305" t="s">
        <v>39</v>
      </c>
    </row>
    <row r="1321" spans="2:9" x14ac:dyDescent="0.2">
      <c r="B1321" s="306" t="s">
        <v>552</v>
      </c>
      <c r="C1321" s="204" t="s">
        <v>143</v>
      </c>
      <c r="D1321" s="547">
        <v>3.9999999999999998E-7</v>
      </c>
      <c r="E1321" s="308"/>
      <c r="F1321" s="308"/>
      <c r="G1321" s="308"/>
      <c r="H1321" s="543">
        <f>INSUMOS!E110</f>
        <v>176704.25</v>
      </c>
      <c r="I1321" s="544">
        <f>D1321*H1321</f>
        <v>7.0000000000000007E-2</v>
      </c>
    </row>
    <row r="1322" spans="2:9" x14ac:dyDescent="0.2">
      <c r="B1322" s="741" t="s">
        <v>43</v>
      </c>
      <c r="C1322" s="742"/>
      <c r="D1322" s="742"/>
      <c r="E1322" s="742"/>
      <c r="F1322" s="742"/>
      <c r="G1322" s="742"/>
      <c r="H1322" s="742"/>
      <c r="I1322" s="544">
        <f>SUM(I1321:I1321)</f>
        <v>7.0000000000000007E-2</v>
      </c>
    </row>
    <row r="1323" spans="2:9" ht="15.75" x14ac:dyDescent="0.2">
      <c r="B1323" s="738" t="s">
        <v>46</v>
      </c>
      <c r="C1323" s="739"/>
      <c r="D1323" s="739"/>
      <c r="E1323" s="739"/>
      <c r="F1323" s="739"/>
      <c r="G1323" s="739"/>
      <c r="H1323" s="739"/>
      <c r="I1323" s="740"/>
    </row>
    <row r="1324" spans="2:9" x14ac:dyDescent="0.2">
      <c r="B1324" s="313" t="s">
        <v>33</v>
      </c>
      <c r="C1324" s="14" t="s">
        <v>34</v>
      </c>
      <c r="D1324" s="204" t="s">
        <v>6</v>
      </c>
      <c r="E1324" s="422"/>
      <c r="F1324" s="422"/>
      <c r="G1324" s="422"/>
      <c r="H1324" s="204" t="s">
        <v>45</v>
      </c>
      <c r="I1324" s="309" t="s">
        <v>39</v>
      </c>
    </row>
    <row r="1325" spans="2:9" x14ac:dyDescent="0.2">
      <c r="B1325" s="323"/>
      <c r="C1325" s="204"/>
      <c r="D1325" s="205"/>
      <c r="E1325" s="422"/>
      <c r="F1325" s="422"/>
      <c r="G1325" s="422"/>
      <c r="H1325" s="299"/>
      <c r="I1325" s="309"/>
    </row>
    <row r="1326" spans="2:9" x14ac:dyDescent="0.2">
      <c r="B1326" s="736" t="s">
        <v>43</v>
      </c>
      <c r="C1326" s="737"/>
      <c r="D1326" s="737"/>
      <c r="E1326" s="737"/>
      <c r="F1326" s="737"/>
      <c r="G1326" s="737"/>
      <c r="H1326" s="737"/>
      <c r="I1326" s="309"/>
    </row>
    <row r="1327" spans="2:9" ht="15.75" x14ac:dyDescent="0.2">
      <c r="B1327" s="738" t="s">
        <v>47</v>
      </c>
      <c r="C1327" s="739"/>
      <c r="D1327" s="739"/>
      <c r="E1327" s="739"/>
      <c r="F1327" s="739"/>
      <c r="G1327" s="739"/>
      <c r="H1327" s="739"/>
      <c r="I1327" s="740"/>
    </row>
    <row r="1328" spans="2:9" x14ac:dyDescent="0.2">
      <c r="B1328" s="315" t="s">
        <v>33</v>
      </c>
      <c r="C1328" s="14" t="s">
        <v>34</v>
      </c>
      <c r="D1328" s="316" t="s">
        <v>6</v>
      </c>
      <c r="E1328" s="308"/>
      <c r="F1328" s="308"/>
      <c r="G1328" s="308"/>
      <c r="H1328" s="204" t="s">
        <v>45</v>
      </c>
      <c r="I1328" s="305" t="s">
        <v>39</v>
      </c>
    </row>
    <row r="1329" spans="2:9" x14ac:dyDescent="0.2">
      <c r="B1329" s="317" t="s">
        <v>48</v>
      </c>
      <c r="C1329" s="318" t="s">
        <v>41</v>
      </c>
      <c r="D1329" s="545">
        <v>2.8E-3</v>
      </c>
      <c r="E1329" s="308"/>
      <c r="F1329" s="308"/>
      <c r="G1329" s="308"/>
      <c r="H1329" s="543">
        <f>INSUMOS!E13</f>
        <v>7.81</v>
      </c>
      <c r="I1329" s="544">
        <f>D1329*H1329</f>
        <v>0.02</v>
      </c>
    </row>
    <row r="1330" spans="2:9" x14ac:dyDescent="0.2">
      <c r="B1330" s="317" t="s">
        <v>62</v>
      </c>
      <c r="C1330" s="318" t="s">
        <v>13</v>
      </c>
      <c r="D1330" s="546">
        <v>2.2000000000000001E-6</v>
      </c>
      <c r="E1330" s="308"/>
      <c r="F1330" s="308"/>
      <c r="G1330" s="308"/>
      <c r="H1330" s="543">
        <f>INSUMOS!E109</f>
        <v>2409.5700000000002</v>
      </c>
      <c r="I1330" s="544">
        <f>D1330*H1330</f>
        <v>0.01</v>
      </c>
    </row>
    <row r="1331" spans="2:9" x14ac:dyDescent="0.2">
      <c r="B1331" s="736" t="s">
        <v>43</v>
      </c>
      <c r="C1331" s="737"/>
      <c r="D1331" s="737"/>
      <c r="E1331" s="737"/>
      <c r="F1331" s="737"/>
      <c r="G1331" s="737"/>
      <c r="H1331" s="737"/>
      <c r="I1331" s="548">
        <f>SUM(I1329:I1330)</f>
        <v>0.03</v>
      </c>
    </row>
    <row r="1332" spans="2:9" x14ac:dyDescent="0.2">
      <c r="B1332" s="320" t="s">
        <v>49</v>
      </c>
      <c r="C1332" s="510">
        <v>1</v>
      </c>
      <c r="D1332" s="737" t="s">
        <v>50</v>
      </c>
      <c r="E1332" s="737"/>
      <c r="F1332" s="737"/>
      <c r="G1332" s="737"/>
      <c r="H1332" s="737"/>
      <c r="I1332" s="548">
        <f>I1331+I1326+I1322+I1318</f>
        <v>0.1</v>
      </c>
    </row>
    <row r="1333" spans="2:9" x14ac:dyDescent="0.2">
      <c r="B1333" s="743" t="s">
        <v>302</v>
      </c>
      <c r="C1333" s="744"/>
      <c r="D1333" s="745"/>
      <c r="E1333" s="745"/>
      <c r="F1333" s="745"/>
      <c r="G1333" s="745"/>
      <c r="H1333" s="745"/>
      <c r="I1333" s="544">
        <f>I1332/C1332</f>
        <v>0.1</v>
      </c>
    </row>
    <row r="1334" spans="2:9" x14ac:dyDescent="0.2">
      <c r="B1334" s="321" t="s">
        <v>303</v>
      </c>
      <c r="C1334" s="520">
        <f>BDI!C$36</f>
        <v>25</v>
      </c>
      <c r="D1334" s="746" t="s">
        <v>103</v>
      </c>
      <c r="E1334" s="747"/>
      <c r="F1334" s="747"/>
      <c r="G1334" s="747"/>
      <c r="H1334" s="748"/>
      <c r="I1334" s="544">
        <f>C1334/100*I1333</f>
        <v>0.03</v>
      </c>
    </row>
    <row r="1335" spans="2:9" ht="13.5" thickBot="1" x14ac:dyDescent="0.25">
      <c r="B1335" s="749" t="s">
        <v>51</v>
      </c>
      <c r="C1335" s="750"/>
      <c r="D1335" s="750"/>
      <c r="E1335" s="750"/>
      <c r="F1335" s="750"/>
      <c r="G1335" s="750"/>
      <c r="H1335" s="751"/>
      <c r="I1335" s="549">
        <f>SUM(I1333:I1334)</f>
        <v>0.13</v>
      </c>
    </row>
    <row r="1337" spans="2:9" ht="13.5" thickBot="1" x14ac:dyDescent="0.25"/>
    <row r="1338" spans="2:9" ht="31.5" x14ac:dyDescent="0.2">
      <c r="B1338" s="577" t="s">
        <v>361</v>
      </c>
      <c r="C1338" s="579" t="s">
        <v>604</v>
      </c>
      <c r="D1338" s="757" t="s">
        <v>30</v>
      </c>
      <c r="E1338" s="757"/>
      <c r="F1338" s="757"/>
      <c r="G1338" s="757"/>
      <c r="H1338" s="757"/>
      <c r="I1338" s="758"/>
    </row>
    <row r="1339" spans="2:9" ht="12.75" customHeight="1" x14ac:dyDescent="0.2">
      <c r="B1339" s="718" t="s">
        <v>134</v>
      </c>
      <c r="C1339" s="719"/>
      <c r="D1339" s="719"/>
      <c r="E1339" s="719"/>
      <c r="F1339" s="719"/>
      <c r="G1339" s="720"/>
      <c r="H1339" s="715" t="s">
        <v>572</v>
      </c>
      <c r="I1339" s="716"/>
    </row>
    <row r="1340" spans="2:9" x14ac:dyDescent="0.2">
      <c r="B1340" s="807" t="s">
        <v>565</v>
      </c>
      <c r="C1340" s="808"/>
      <c r="D1340" s="808"/>
      <c r="E1340" s="808"/>
      <c r="F1340" s="808"/>
      <c r="G1340" s="809"/>
      <c r="H1340" s="289" t="s">
        <v>31</v>
      </c>
      <c r="I1340" s="290" t="s">
        <v>19</v>
      </c>
    </row>
    <row r="1341" spans="2:9" ht="15.75" x14ac:dyDescent="0.2">
      <c r="B1341" s="738" t="s">
        <v>32</v>
      </c>
      <c r="C1341" s="739"/>
      <c r="D1341" s="739"/>
      <c r="E1341" s="739"/>
      <c r="F1341" s="739"/>
      <c r="G1341" s="739"/>
      <c r="H1341" s="739"/>
      <c r="I1341" s="740"/>
    </row>
    <row r="1342" spans="2:9" ht="25.5" x14ac:dyDescent="0.2">
      <c r="B1342" s="291" t="s">
        <v>33</v>
      </c>
      <c r="C1342" s="14" t="s">
        <v>34</v>
      </c>
      <c r="D1342" s="292" t="s">
        <v>6</v>
      </c>
      <c r="E1342" s="293" t="s">
        <v>35</v>
      </c>
      <c r="F1342" s="293" t="s">
        <v>36</v>
      </c>
      <c r="G1342" s="294" t="s">
        <v>37</v>
      </c>
      <c r="H1342" s="294" t="s">
        <v>38</v>
      </c>
      <c r="I1342" s="295" t="s">
        <v>39</v>
      </c>
    </row>
    <row r="1343" spans="2:9" x14ac:dyDescent="0.2">
      <c r="B1343" s="111"/>
      <c r="C1343" s="204"/>
      <c r="D1343" s="296"/>
      <c r="E1343" s="297"/>
      <c r="F1343" s="298"/>
      <c r="G1343" s="299"/>
      <c r="H1343" s="300"/>
      <c r="I1343" s="299"/>
    </row>
    <row r="1344" spans="2:9" x14ac:dyDescent="0.2">
      <c r="B1344" s="810" t="s">
        <v>43</v>
      </c>
      <c r="C1344" s="811"/>
      <c r="D1344" s="811"/>
      <c r="E1344" s="811"/>
      <c r="F1344" s="811"/>
      <c r="G1344" s="811"/>
      <c r="H1344" s="811"/>
      <c r="I1344" s="301"/>
    </row>
    <row r="1345" spans="2:9" ht="15.75" x14ac:dyDescent="0.2">
      <c r="B1345" s="738" t="s">
        <v>44</v>
      </c>
      <c r="C1345" s="739"/>
      <c r="D1345" s="739"/>
      <c r="E1345" s="739"/>
      <c r="F1345" s="739"/>
      <c r="G1345" s="739"/>
      <c r="H1345" s="739"/>
      <c r="I1345" s="740"/>
    </row>
    <row r="1346" spans="2:9" x14ac:dyDescent="0.2">
      <c r="B1346" s="302" t="s">
        <v>33</v>
      </c>
      <c r="C1346" s="14" t="s">
        <v>34</v>
      </c>
      <c r="D1346" s="303" t="s">
        <v>6</v>
      </c>
      <c r="E1346" s="304"/>
      <c r="F1346" s="304"/>
      <c r="G1346" s="304"/>
      <c r="H1346" s="204" t="s">
        <v>45</v>
      </c>
      <c r="I1346" s="305" t="s">
        <v>39</v>
      </c>
    </row>
    <row r="1347" spans="2:9" x14ac:dyDescent="0.2">
      <c r="B1347" s="306" t="s">
        <v>552</v>
      </c>
      <c r="C1347" s="204" t="s">
        <v>143</v>
      </c>
      <c r="D1347" s="547">
        <v>9.9999999999999995E-8</v>
      </c>
      <c r="E1347" s="308"/>
      <c r="F1347" s="308"/>
      <c r="G1347" s="308"/>
      <c r="H1347" s="543">
        <f>INSUMOS!E110</f>
        <v>176704.25</v>
      </c>
      <c r="I1347" s="544">
        <f>D1347*H1347</f>
        <v>0.02</v>
      </c>
    </row>
    <row r="1348" spans="2:9" x14ac:dyDescent="0.2">
      <c r="B1348" s="741" t="s">
        <v>43</v>
      </c>
      <c r="C1348" s="742"/>
      <c r="D1348" s="742"/>
      <c r="E1348" s="742"/>
      <c r="F1348" s="742"/>
      <c r="G1348" s="742"/>
      <c r="H1348" s="742"/>
      <c r="I1348" s="544">
        <f>SUM(I1347:I1347)</f>
        <v>0.02</v>
      </c>
    </row>
    <row r="1349" spans="2:9" ht="15.75" x14ac:dyDescent="0.2">
      <c r="B1349" s="738" t="s">
        <v>46</v>
      </c>
      <c r="C1349" s="739"/>
      <c r="D1349" s="739"/>
      <c r="E1349" s="739"/>
      <c r="F1349" s="739"/>
      <c r="G1349" s="739"/>
      <c r="H1349" s="739"/>
      <c r="I1349" s="740"/>
    </row>
    <row r="1350" spans="2:9" x14ac:dyDescent="0.2">
      <c r="B1350" s="313" t="s">
        <v>33</v>
      </c>
      <c r="C1350" s="14" t="s">
        <v>34</v>
      </c>
      <c r="D1350" s="204" t="s">
        <v>6</v>
      </c>
      <c r="E1350" s="422"/>
      <c r="F1350" s="422"/>
      <c r="G1350" s="422"/>
      <c r="H1350" s="204" t="s">
        <v>45</v>
      </c>
      <c r="I1350" s="309" t="s">
        <v>39</v>
      </c>
    </row>
    <row r="1351" spans="2:9" x14ac:dyDescent="0.2">
      <c r="B1351" s="323"/>
      <c r="C1351" s="204"/>
      <c r="D1351" s="205"/>
      <c r="E1351" s="422"/>
      <c r="F1351" s="422"/>
      <c r="G1351" s="422"/>
      <c r="H1351" s="299"/>
      <c r="I1351" s="309"/>
    </row>
    <row r="1352" spans="2:9" x14ac:dyDescent="0.2">
      <c r="B1352" s="736" t="s">
        <v>43</v>
      </c>
      <c r="C1352" s="737"/>
      <c r="D1352" s="737"/>
      <c r="E1352" s="737"/>
      <c r="F1352" s="737"/>
      <c r="G1352" s="737"/>
      <c r="H1352" s="737"/>
      <c r="I1352" s="309"/>
    </row>
    <row r="1353" spans="2:9" ht="15.75" x14ac:dyDescent="0.2">
      <c r="B1353" s="738" t="s">
        <v>47</v>
      </c>
      <c r="C1353" s="739"/>
      <c r="D1353" s="739"/>
      <c r="E1353" s="739"/>
      <c r="F1353" s="739"/>
      <c r="G1353" s="739"/>
      <c r="H1353" s="739"/>
      <c r="I1353" s="740"/>
    </row>
    <row r="1354" spans="2:9" x14ac:dyDescent="0.2">
      <c r="B1354" s="315" t="s">
        <v>33</v>
      </c>
      <c r="C1354" s="14" t="s">
        <v>34</v>
      </c>
      <c r="D1354" s="316" t="s">
        <v>6</v>
      </c>
      <c r="E1354" s="308"/>
      <c r="F1354" s="308"/>
      <c r="G1354" s="308"/>
      <c r="H1354" s="204" t="s">
        <v>45</v>
      </c>
      <c r="I1354" s="305" t="s">
        <v>39</v>
      </c>
    </row>
    <row r="1355" spans="2:9" x14ac:dyDescent="0.2">
      <c r="B1355" s="317" t="s">
        <v>48</v>
      </c>
      <c r="C1355" s="318" t="s">
        <v>41</v>
      </c>
      <c r="D1355" s="545">
        <v>8.9999999999999998E-4</v>
      </c>
      <c r="E1355" s="308"/>
      <c r="F1355" s="308"/>
      <c r="G1355" s="308"/>
      <c r="H1355" s="543">
        <f>INSUMOS!E13</f>
        <v>7.81</v>
      </c>
      <c r="I1355" s="544">
        <f>D1355*H1355</f>
        <v>0.01</v>
      </c>
    </row>
    <row r="1356" spans="2:9" x14ac:dyDescent="0.2">
      <c r="B1356" s="317" t="s">
        <v>62</v>
      </c>
      <c r="C1356" s="318" t="s">
        <v>13</v>
      </c>
      <c r="D1356" s="546">
        <v>8.9999999999999996E-7</v>
      </c>
      <c r="E1356" s="308"/>
      <c r="F1356" s="308"/>
      <c r="G1356" s="308"/>
      <c r="H1356" s="543">
        <f>INSUMOS!E109</f>
        <v>2409.5700000000002</v>
      </c>
      <c r="I1356" s="544">
        <f>D1356*H1356</f>
        <v>0</v>
      </c>
    </row>
    <row r="1357" spans="2:9" x14ac:dyDescent="0.2">
      <c r="B1357" s="736" t="s">
        <v>43</v>
      </c>
      <c r="C1357" s="737"/>
      <c r="D1357" s="737"/>
      <c r="E1357" s="737"/>
      <c r="F1357" s="737"/>
      <c r="G1357" s="737"/>
      <c r="H1357" s="737"/>
      <c r="I1357" s="548">
        <f>SUM(I1355:I1356)</f>
        <v>0.01</v>
      </c>
    </row>
    <row r="1358" spans="2:9" x14ac:dyDescent="0.2">
      <c r="B1358" s="320" t="s">
        <v>49</v>
      </c>
      <c r="C1358" s="510">
        <v>1</v>
      </c>
      <c r="D1358" s="737" t="s">
        <v>50</v>
      </c>
      <c r="E1358" s="737"/>
      <c r="F1358" s="737"/>
      <c r="G1358" s="737"/>
      <c r="H1358" s="737"/>
      <c r="I1358" s="548">
        <f>I1357+I1352+I1348+I1344</f>
        <v>0.03</v>
      </c>
    </row>
    <row r="1359" spans="2:9" x14ac:dyDescent="0.2">
      <c r="B1359" s="743" t="s">
        <v>302</v>
      </c>
      <c r="C1359" s="744"/>
      <c r="D1359" s="745"/>
      <c r="E1359" s="745"/>
      <c r="F1359" s="745"/>
      <c r="G1359" s="745"/>
      <c r="H1359" s="745"/>
      <c r="I1359" s="544">
        <f>I1358/C1358</f>
        <v>0.03</v>
      </c>
    </row>
    <row r="1360" spans="2:9" x14ac:dyDescent="0.2">
      <c r="B1360" s="321" t="s">
        <v>303</v>
      </c>
      <c r="C1360" s="520">
        <f>BDI!C$36</f>
        <v>25</v>
      </c>
      <c r="D1360" s="746" t="s">
        <v>103</v>
      </c>
      <c r="E1360" s="747"/>
      <c r="F1360" s="747"/>
      <c r="G1360" s="747"/>
      <c r="H1360" s="748"/>
      <c r="I1360" s="544">
        <f>C1360/100*I1359</f>
        <v>0.01</v>
      </c>
    </row>
    <row r="1361" spans="2:9" ht="13.5" thickBot="1" x14ac:dyDescent="0.25">
      <c r="B1361" s="749" t="s">
        <v>51</v>
      </c>
      <c r="C1361" s="750"/>
      <c r="D1361" s="750"/>
      <c r="E1361" s="750"/>
      <c r="F1361" s="750"/>
      <c r="G1361" s="750"/>
      <c r="H1361" s="751"/>
      <c r="I1361" s="549">
        <f>SUM(I1359:I1360)</f>
        <v>0.04</v>
      </c>
    </row>
    <row r="1362" spans="2:9" ht="13.5" thickBot="1" x14ac:dyDescent="0.25"/>
    <row r="1363" spans="2:9" ht="31.5" x14ac:dyDescent="0.2">
      <c r="B1363" s="577" t="s">
        <v>361</v>
      </c>
      <c r="C1363" s="579" t="s">
        <v>605</v>
      </c>
      <c r="D1363" s="757" t="s">
        <v>30</v>
      </c>
      <c r="E1363" s="757"/>
      <c r="F1363" s="757"/>
      <c r="G1363" s="757"/>
      <c r="H1363" s="757"/>
      <c r="I1363" s="758"/>
    </row>
    <row r="1364" spans="2:9" ht="12.75" customHeight="1" x14ac:dyDescent="0.2">
      <c r="B1364" s="718" t="s">
        <v>134</v>
      </c>
      <c r="C1364" s="719"/>
      <c r="D1364" s="719"/>
      <c r="E1364" s="719"/>
      <c r="F1364" s="719"/>
      <c r="G1364" s="720"/>
      <c r="H1364" s="715" t="s">
        <v>572</v>
      </c>
      <c r="I1364" s="716"/>
    </row>
    <row r="1365" spans="2:9" x14ac:dyDescent="0.2">
      <c r="B1365" s="807" t="s">
        <v>566</v>
      </c>
      <c r="C1365" s="808"/>
      <c r="D1365" s="808"/>
      <c r="E1365" s="808"/>
      <c r="F1365" s="808"/>
      <c r="G1365" s="809"/>
      <c r="H1365" s="289" t="s">
        <v>31</v>
      </c>
      <c r="I1365" s="290" t="s">
        <v>52</v>
      </c>
    </row>
    <row r="1366" spans="2:9" ht="15.75" x14ac:dyDescent="0.2">
      <c r="B1366" s="738" t="s">
        <v>32</v>
      </c>
      <c r="C1366" s="739"/>
      <c r="D1366" s="739"/>
      <c r="E1366" s="739"/>
      <c r="F1366" s="739"/>
      <c r="G1366" s="739"/>
      <c r="H1366" s="739"/>
      <c r="I1366" s="740"/>
    </row>
    <row r="1367" spans="2:9" ht="25.5" x14ac:dyDescent="0.2">
      <c r="B1367" s="291" t="s">
        <v>33</v>
      </c>
      <c r="C1367" s="14" t="s">
        <v>34</v>
      </c>
      <c r="D1367" s="292" t="s">
        <v>6</v>
      </c>
      <c r="E1367" s="293" t="s">
        <v>35</v>
      </c>
      <c r="F1367" s="293" t="s">
        <v>36</v>
      </c>
      <c r="G1367" s="294" t="s">
        <v>37</v>
      </c>
      <c r="H1367" s="294" t="s">
        <v>38</v>
      </c>
      <c r="I1367" s="295" t="s">
        <v>39</v>
      </c>
    </row>
    <row r="1368" spans="2:9" x14ac:dyDescent="0.2">
      <c r="B1368" s="111"/>
      <c r="C1368" s="204"/>
      <c r="D1368" s="296"/>
      <c r="E1368" s="297"/>
      <c r="F1368" s="298"/>
      <c r="G1368" s="299"/>
      <c r="H1368" s="300"/>
      <c r="I1368" s="299"/>
    </row>
    <row r="1369" spans="2:9" x14ac:dyDescent="0.2">
      <c r="B1369" s="810" t="s">
        <v>43</v>
      </c>
      <c r="C1369" s="811"/>
      <c r="D1369" s="811"/>
      <c r="E1369" s="811"/>
      <c r="F1369" s="811"/>
      <c r="G1369" s="811"/>
      <c r="H1369" s="811"/>
      <c r="I1369" s="301"/>
    </row>
    <row r="1370" spans="2:9" ht="15.75" x14ac:dyDescent="0.2">
      <c r="B1370" s="738" t="s">
        <v>44</v>
      </c>
      <c r="C1370" s="739"/>
      <c r="D1370" s="739"/>
      <c r="E1370" s="739"/>
      <c r="F1370" s="739"/>
      <c r="G1370" s="739"/>
      <c r="H1370" s="739"/>
      <c r="I1370" s="740"/>
    </row>
    <row r="1371" spans="2:9" x14ac:dyDescent="0.2">
      <c r="B1371" s="302" t="s">
        <v>33</v>
      </c>
      <c r="C1371" s="14" t="s">
        <v>34</v>
      </c>
      <c r="D1371" s="303" t="s">
        <v>6</v>
      </c>
      <c r="E1371" s="304"/>
      <c r="F1371" s="304"/>
      <c r="G1371" s="304"/>
      <c r="H1371" s="204" t="s">
        <v>45</v>
      </c>
      <c r="I1371" s="305" t="s">
        <v>39</v>
      </c>
    </row>
    <row r="1372" spans="2:9" x14ac:dyDescent="0.2">
      <c r="B1372" s="306" t="s">
        <v>554</v>
      </c>
      <c r="C1372" s="204" t="s">
        <v>143</v>
      </c>
      <c r="D1372" s="553">
        <v>0.12</v>
      </c>
      <c r="E1372" s="308"/>
      <c r="F1372" s="308"/>
      <c r="G1372" s="308"/>
      <c r="H1372" s="543">
        <f>INSUMOS!E111</f>
        <v>1.81</v>
      </c>
      <c r="I1372" s="544">
        <f>D1372*H1372</f>
        <v>0.22</v>
      </c>
    </row>
    <row r="1373" spans="2:9" x14ac:dyDescent="0.2">
      <c r="B1373" s="310" t="s">
        <v>555</v>
      </c>
      <c r="C1373" s="112" t="s">
        <v>56</v>
      </c>
      <c r="D1373" s="554">
        <v>0.13</v>
      </c>
      <c r="E1373" s="312"/>
      <c r="F1373" s="312"/>
      <c r="G1373" s="312"/>
      <c r="H1373" s="552">
        <f>INSUMOS!E112</f>
        <v>24.14</v>
      </c>
      <c r="I1373" s="544">
        <f>D1373*H1373</f>
        <v>3.14</v>
      </c>
    </row>
    <row r="1374" spans="2:9" x14ac:dyDescent="0.2">
      <c r="B1374" s="741" t="s">
        <v>43</v>
      </c>
      <c r="C1374" s="742"/>
      <c r="D1374" s="742"/>
      <c r="E1374" s="742"/>
      <c r="F1374" s="742"/>
      <c r="G1374" s="742"/>
      <c r="H1374" s="742"/>
      <c r="I1374" s="544">
        <f>SUM(I1372:I1373)</f>
        <v>3.36</v>
      </c>
    </row>
    <row r="1375" spans="2:9" ht="15.75" x14ac:dyDescent="0.2">
      <c r="B1375" s="738" t="s">
        <v>46</v>
      </c>
      <c r="C1375" s="739"/>
      <c r="D1375" s="739"/>
      <c r="E1375" s="739"/>
      <c r="F1375" s="739"/>
      <c r="G1375" s="739"/>
      <c r="H1375" s="739"/>
      <c r="I1375" s="740"/>
    </row>
    <row r="1376" spans="2:9" x14ac:dyDescent="0.2">
      <c r="B1376" s="313" t="s">
        <v>33</v>
      </c>
      <c r="C1376" s="14" t="s">
        <v>34</v>
      </c>
      <c r="D1376" s="204" t="s">
        <v>6</v>
      </c>
      <c r="E1376" s="422"/>
      <c r="F1376" s="422"/>
      <c r="G1376" s="422"/>
      <c r="H1376" s="204" t="s">
        <v>45</v>
      </c>
      <c r="I1376" s="309" t="s">
        <v>39</v>
      </c>
    </row>
    <row r="1377" spans="2:9" x14ac:dyDescent="0.2">
      <c r="B1377" s="323"/>
      <c r="C1377" s="204"/>
      <c r="D1377" s="205"/>
      <c r="E1377" s="422"/>
      <c r="F1377" s="422"/>
      <c r="G1377" s="422"/>
      <c r="H1377" s="299"/>
      <c r="I1377" s="309"/>
    </row>
    <row r="1378" spans="2:9" x14ac:dyDescent="0.2">
      <c r="B1378" s="736" t="s">
        <v>43</v>
      </c>
      <c r="C1378" s="737"/>
      <c r="D1378" s="737"/>
      <c r="E1378" s="737"/>
      <c r="F1378" s="737"/>
      <c r="G1378" s="737"/>
      <c r="H1378" s="737"/>
      <c r="I1378" s="309"/>
    </row>
    <row r="1379" spans="2:9" ht="15.75" x14ac:dyDescent="0.2">
      <c r="B1379" s="738" t="s">
        <v>47</v>
      </c>
      <c r="C1379" s="739"/>
      <c r="D1379" s="739"/>
      <c r="E1379" s="739"/>
      <c r="F1379" s="739"/>
      <c r="G1379" s="739"/>
      <c r="H1379" s="739"/>
      <c r="I1379" s="740"/>
    </row>
    <row r="1380" spans="2:9" x14ac:dyDescent="0.2">
      <c r="B1380" s="315" t="s">
        <v>33</v>
      </c>
      <c r="C1380" s="14" t="s">
        <v>34</v>
      </c>
      <c r="D1380" s="316" t="s">
        <v>6</v>
      </c>
      <c r="E1380" s="308"/>
      <c r="F1380" s="308"/>
      <c r="G1380" s="308"/>
      <c r="H1380" s="204" t="s">
        <v>45</v>
      </c>
      <c r="I1380" s="305" t="s">
        <v>39</v>
      </c>
    </row>
    <row r="1381" spans="2:9" x14ac:dyDescent="0.2">
      <c r="B1381" s="317" t="s">
        <v>48</v>
      </c>
      <c r="C1381" s="318" t="s">
        <v>41</v>
      </c>
      <c r="D1381" s="555">
        <v>0.2</v>
      </c>
      <c r="E1381" s="308"/>
      <c r="F1381" s="308"/>
      <c r="G1381" s="308"/>
      <c r="H1381" s="543">
        <f>INSUMOS!E13</f>
        <v>7.81</v>
      </c>
      <c r="I1381" s="544">
        <f>D1381*H1381</f>
        <v>1.56</v>
      </c>
    </row>
    <row r="1382" spans="2:9" x14ac:dyDescent="0.2">
      <c r="B1382" s="317" t="s">
        <v>160</v>
      </c>
      <c r="C1382" s="318" t="s">
        <v>41</v>
      </c>
      <c r="D1382" s="555">
        <v>0.6</v>
      </c>
      <c r="E1382" s="308"/>
      <c r="F1382" s="308"/>
      <c r="G1382" s="308"/>
      <c r="H1382" s="543">
        <f>INSUMOS!E105</f>
        <v>10.37</v>
      </c>
      <c r="I1382" s="544">
        <f>D1382*H1382</f>
        <v>6.22</v>
      </c>
    </row>
    <row r="1383" spans="2:9" x14ac:dyDescent="0.2">
      <c r="B1383" s="736" t="s">
        <v>43</v>
      </c>
      <c r="C1383" s="737"/>
      <c r="D1383" s="737"/>
      <c r="E1383" s="737"/>
      <c r="F1383" s="737"/>
      <c r="G1383" s="737"/>
      <c r="H1383" s="737"/>
      <c r="I1383" s="548">
        <f>SUM(I1381:I1382)</f>
        <v>7.78</v>
      </c>
    </row>
    <row r="1384" spans="2:9" x14ac:dyDescent="0.2">
      <c r="B1384" s="320" t="s">
        <v>49</v>
      </c>
      <c r="C1384" s="510">
        <v>1</v>
      </c>
      <c r="D1384" s="737" t="s">
        <v>50</v>
      </c>
      <c r="E1384" s="737"/>
      <c r="F1384" s="737"/>
      <c r="G1384" s="737"/>
      <c r="H1384" s="737"/>
      <c r="I1384" s="548">
        <f>I1383+I1378+I1374+I1369</f>
        <v>11.14</v>
      </c>
    </row>
    <row r="1385" spans="2:9" x14ac:dyDescent="0.2">
      <c r="B1385" s="743" t="s">
        <v>302</v>
      </c>
      <c r="C1385" s="744"/>
      <c r="D1385" s="745"/>
      <c r="E1385" s="745"/>
      <c r="F1385" s="745"/>
      <c r="G1385" s="745"/>
      <c r="H1385" s="745"/>
      <c r="I1385" s="544">
        <f>I1384/C1384</f>
        <v>11.14</v>
      </c>
    </row>
    <row r="1386" spans="2:9" x14ac:dyDescent="0.2">
      <c r="B1386" s="321" t="s">
        <v>303</v>
      </c>
      <c r="C1386" s="520">
        <f>BDI!C$36</f>
        <v>25</v>
      </c>
      <c r="D1386" s="746" t="s">
        <v>103</v>
      </c>
      <c r="E1386" s="747"/>
      <c r="F1386" s="747"/>
      <c r="G1386" s="747"/>
      <c r="H1386" s="748"/>
      <c r="I1386" s="544">
        <f>C1386/100*I1385</f>
        <v>2.79</v>
      </c>
    </row>
    <row r="1387" spans="2:9" ht="13.5" thickBot="1" x14ac:dyDescent="0.25">
      <c r="B1387" s="749" t="s">
        <v>51</v>
      </c>
      <c r="C1387" s="750"/>
      <c r="D1387" s="750"/>
      <c r="E1387" s="750"/>
      <c r="F1387" s="750"/>
      <c r="G1387" s="750"/>
      <c r="H1387" s="751"/>
      <c r="I1387" s="549">
        <f>SUM(I1385:I1386)</f>
        <v>13.93</v>
      </c>
    </row>
    <row r="1388" spans="2:9" ht="63.75" x14ac:dyDescent="0.2">
      <c r="B1388" s="577" t="s">
        <v>361</v>
      </c>
      <c r="C1388" s="581" t="s">
        <v>606</v>
      </c>
      <c r="D1388" s="840" t="s">
        <v>30</v>
      </c>
      <c r="E1388" s="840"/>
      <c r="F1388" s="840"/>
      <c r="G1388" s="840"/>
      <c r="H1388" s="840"/>
      <c r="I1388" s="841"/>
    </row>
    <row r="1389" spans="2:9" x14ac:dyDescent="0.2">
      <c r="B1389" s="718" t="s">
        <v>134</v>
      </c>
      <c r="C1389" s="719"/>
      <c r="D1389" s="719"/>
      <c r="E1389" s="719"/>
      <c r="F1389" s="719"/>
      <c r="G1389" s="720"/>
      <c r="H1389" s="715" t="s">
        <v>572</v>
      </c>
      <c r="I1389" s="716"/>
    </row>
    <row r="1390" spans="2:9" x14ac:dyDescent="0.2">
      <c r="B1390" s="777" t="s">
        <v>567</v>
      </c>
      <c r="C1390" s="764"/>
      <c r="D1390" s="764"/>
      <c r="E1390" s="764"/>
      <c r="F1390" s="764"/>
      <c r="G1390" s="765"/>
      <c r="H1390" s="12" t="s">
        <v>31</v>
      </c>
      <c r="I1390" s="46" t="s">
        <v>23</v>
      </c>
    </row>
    <row r="1391" spans="2:9" x14ac:dyDescent="0.2">
      <c r="B1391" s="732" t="s">
        <v>32</v>
      </c>
      <c r="C1391" s="712"/>
      <c r="D1391" s="712"/>
      <c r="E1391" s="712"/>
      <c r="F1391" s="712"/>
      <c r="G1391" s="712"/>
      <c r="H1391" s="712"/>
      <c r="I1391" s="733"/>
    </row>
    <row r="1392" spans="2:9" ht="25.5" x14ac:dyDescent="0.2">
      <c r="B1392" s="75" t="s">
        <v>33</v>
      </c>
      <c r="C1392" s="62" t="s">
        <v>5</v>
      </c>
      <c r="D1392" s="14" t="s">
        <v>6</v>
      </c>
      <c r="E1392" s="14" t="s">
        <v>35</v>
      </c>
      <c r="F1392" s="14" t="s">
        <v>36</v>
      </c>
      <c r="G1392" s="14" t="s">
        <v>37</v>
      </c>
      <c r="H1392" s="14" t="s">
        <v>38</v>
      </c>
      <c r="I1392" s="76" t="s">
        <v>39</v>
      </c>
    </row>
    <row r="1393" spans="2:9" x14ac:dyDescent="0.2">
      <c r="B1393" s="491" t="s">
        <v>561</v>
      </c>
      <c r="C1393" s="480" t="s">
        <v>41</v>
      </c>
      <c r="D1393" s="557">
        <v>1.8335999999999999</v>
      </c>
      <c r="E1393" s="482"/>
      <c r="F1393" s="482"/>
      <c r="G1393" s="482"/>
      <c r="H1393" s="560">
        <f>INSUMOS!E44</f>
        <v>1.98</v>
      </c>
      <c r="I1393" s="563">
        <f>H1393*D1393</f>
        <v>3.63</v>
      </c>
    </row>
    <row r="1394" spans="2:9" x14ac:dyDescent="0.2">
      <c r="B1394" s="843" t="s">
        <v>43</v>
      </c>
      <c r="C1394" s="844"/>
      <c r="D1394" s="844"/>
      <c r="E1394" s="844"/>
      <c r="F1394" s="844"/>
      <c r="G1394" s="844"/>
      <c r="H1394" s="844"/>
      <c r="I1394" s="564">
        <f>SUM(I1393:I1393)</f>
        <v>3.63</v>
      </c>
    </row>
    <row r="1395" spans="2:9" x14ac:dyDescent="0.2">
      <c r="B1395" s="780" t="s">
        <v>44</v>
      </c>
      <c r="C1395" s="781"/>
      <c r="D1395" s="781"/>
      <c r="E1395" s="781"/>
      <c r="F1395" s="781"/>
      <c r="G1395" s="781"/>
      <c r="H1395" s="781"/>
      <c r="I1395" s="782"/>
    </row>
    <row r="1396" spans="2:9" x14ac:dyDescent="0.2">
      <c r="B1396" s="494" t="s">
        <v>33</v>
      </c>
      <c r="C1396" s="495" t="s">
        <v>5</v>
      </c>
      <c r="D1396" s="55" t="s">
        <v>6</v>
      </c>
      <c r="E1396" s="496"/>
      <c r="F1396" s="496"/>
      <c r="G1396" s="496"/>
      <c r="H1396" s="55" t="s">
        <v>45</v>
      </c>
      <c r="I1396" s="497" t="s">
        <v>39</v>
      </c>
    </row>
    <row r="1397" spans="2:9" x14ac:dyDescent="0.2">
      <c r="B1397" s="498" t="s">
        <v>556</v>
      </c>
      <c r="C1397" s="59" t="s">
        <v>23</v>
      </c>
      <c r="D1397" s="558">
        <v>0.8669</v>
      </c>
      <c r="E1397" s="500"/>
      <c r="F1397" s="500"/>
      <c r="G1397" s="500"/>
      <c r="H1397" s="561">
        <f>INSUMOS!E38</f>
        <v>48</v>
      </c>
      <c r="I1397" s="565">
        <f t="shared" ref="I1397:I1399" si="12">H1397*D1397</f>
        <v>41.61</v>
      </c>
    </row>
    <row r="1398" spans="2:9" x14ac:dyDescent="0.2">
      <c r="B1398" s="498" t="s">
        <v>557</v>
      </c>
      <c r="C1398" s="59" t="s">
        <v>53</v>
      </c>
      <c r="D1398" s="558">
        <v>349</v>
      </c>
      <c r="E1398" s="500"/>
      <c r="F1398" s="500"/>
      <c r="G1398" s="500"/>
      <c r="H1398" s="561">
        <f>INSUMOS!E34</f>
        <v>0.5</v>
      </c>
      <c r="I1398" s="565">
        <f t="shared" si="12"/>
        <v>174.5</v>
      </c>
    </row>
    <row r="1399" spans="2:9" x14ac:dyDescent="0.2">
      <c r="B1399" s="498" t="s">
        <v>558</v>
      </c>
      <c r="C1399" s="59" t="s">
        <v>23</v>
      </c>
      <c r="D1399" s="558">
        <v>0.20899999999999999</v>
      </c>
      <c r="E1399" s="500"/>
      <c r="F1399" s="500"/>
      <c r="G1399" s="500"/>
      <c r="H1399" s="561">
        <f>INSUMOS!E36</f>
        <v>62</v>
      </c>
      <c r="I1399" s="565">
        <f t="shared" si="12"/>
        <v>12.96</v>
      </c>
    </row>
    <row r="1400" spans="2:9" x14ac:dyDescent="0.2">
      <c r="B1400" s="498" t="s">
        <v>559</v>
      </c>
      <c r="C1400" s="59" t="s">
        <v>23</v>
      </c>
      <c r="D1400" s="558">
        <v>0.627</v>
      </c>
      <c r="E1400" s="500"/>
      <c r="F1400" s="500"/>
      <c r="G1400" s="500"/>
      <c r="H1400" s="561">
        <f>INSUMOS!E35</f>
        <v>62</v>
      </c>
      <c r="I1400" s="565">
        <f>H1400*D1400</f>
        <v>38.869999999999997</v>
      </c>
    </row>
    <row r="1401" spans="2:9" x14ac:dyDescent="0.2">
      <c r="B1401" s="845" t="s">
        <v>43</v>
      </c>
      <c r="C1401" s="846"/>
      <c r="D1401" s="846"/>
      <c r="E1401" s="846"/>
      <c r="F1401" s="846"/>
      <c r="G1401" s="846"/>
      <c r="H1401" s="846"/>
      <c r="I1401" s="565">
        <f>SUM(I1397:I1400)</f>
        <v>267.94</v>
      </c>
    </row>
    <row r="1402" spans="2:9" x14ac:dyDescent="0.2">
      <c r="B1402" s="780" t="s">
        <v>46</v>
      </c>
      <c r="C1402" s="781"/>
      <c r="D1402" s="781"/>
      <c r="E1402" s="781"/>
      <c r="F1402" s="781"/>
      <c r="G1402" s="781"/>
      <c r="H1402" s="781"/>
      <c r="I1402" s="782"/>
    </row>
    <row r="1403" spans="2:9" x14ac:dyDescent="0.2">
      <c r="B1403" s="494" t="s">
        <v>33</v>
      </c>
      <c r="C1403" s="495" t="s">
        <v>5</v>
      </c>
      <c r="D1403" s="55" t="s">
        <v>6</v>
      </c>
      <c r="E1403" s="496"/>
      <c r="F1403" s="496"/>
      <c r="G1403" s="496"/>
      <c r="H1403" s="55" t="s">
        <v>45</v>
      </c>
      <c r="I1403" s="497" t="s">
        <v>39</v>
      </c>
    </row>
    <row r="1404" spans="2:9" x14ac:dyDescent="0.2">
      <c r="B1404" s="80"/>
      <c r="C1404" s="55"/>
      <c r="D1404" s="55"/>
      <c r="E1404" s="496"/>
      <c r="F1404" s="496"/>
      <c r="G1404" s="496"/>
      <c r="H1404" s="55"/>
      <c r="I1404" s="497"/>
    </row>
    <row r="1405" spans="2:9" x14ac:dyDescent="0.2">
      <c r="B1405" s="847" t="s">
        <v>43</v>
      </c>
      <c r="C1405" s="848"/>
      <c r="D1405" s="848"/>
      <c r="E1405" s="848"/>
      <c r="F1405" s="848"/>
      <c r="G1405" s="848"/>
      <c r="H1405" s="848"/>
      <c r="I1405" s="467"/>
    </row>
    <row r="1406" spans="2:9" x14ac:dyDescent="0.2">
      <c r="B1406" s="732" t="s">
        <v>47</v>
      </c>
      <c r="C1406" s="712"/>
      <c r="D1406" s="712"/>
      <c r="E1406" s="712"/>
      <c r="F1406" s="712"/>
      <c r="G1406" s="712"/>
      <c r="H1406" s="712"/>
      <c r="I1406" s="733"/>
    </row>
    <row r="1407" spans="2:9" x14ac:dyDescent="0.2">
      <c r="B1407" s="468" t="s">
        <v>33</v>
      </c>
      <c r="C1407" s="463" t="s">
        <v>5</v>
      </c>
      <c r="D1407" s="465" t="s">
        <v>6</v>
      </c>
      <c r="E1407" s="198"/>
      <c r="F1407" s="198"/>
      <c r="G1407" s="198"/>
      <c r="H1407" s="18" t="s">
        <v>45</v>
      </c>
      <c r="I1407" s="469" t="s">
        <v>39</v>
      </c>
    </row>
    <row r="1408" spans="2:9" x14ac:dyDescent="0.2">
      <c r="B1408" s="506" t="s">
        <v>562</v>
      </c>
      <c r="C1408" s="26" t="s">
        <v>41</v>
      </c>
      <c r="D1408" s="559">
        <v>1.8335999999999999</v>
      </c>
      <c r="E1408" s="198"/>
      <c r="F1408" s="198"/>
      <c r="G1408" s="198"/>
      <c r="H1408" s="562">
        <f>INSUMOS!E27</f>
        <v>20.98</v>
      </c>
      <c r="I1408" s="566">
        <f>H1408*D1408</f>
        <v>38.47</v>
      </c>
    </row>
    <row r="1409" spans="2:9" x14ac:dyDescent="0.2">
      <c r="B1409" s="507" t="s">
        <v>48</v>
      </c>
      <c r="C1409" s="26" t="s">
        <v>41</v>
      </c>
      <c r="D1409" s="559">
        <v>3.2378</v>
      </c>
      <c r="E1409" s="198"/>
      <c r="F1409" s="198"/>
      <c r="G1409" s="198"/>
      <c r="H1409" s="562">
        <f>INSUMOS!E13</f>
        <v>7.81</v>
      </c>
      <c r="I1409" s="566">
        <f>H1409*D1409</f>
        <v>25.29</v>
      </c>
    </row>
    <row r="1410" spans="2:9" x14ac:dyDescent="0.2">
      <c r="B1410" s="734" t="s">
        <v>43</v>
      </c>
      <c r="C1410" s="713"/>
      <c r="D1410" s="713"/>
      <c r="E1410" s="713"/>
      <c r="F1410" s="713"/>
      <c r="G1410" s="713"/>
      <c r="H1410" s="713"/>
      <c r="I1410" s="567">
        <f>SUM(I1408:I1409)</f>
        <v>63.76</v>
      </c>
    </row>
    <row r="1411" spans="2:9" x14ac:dyDescent="0.2">
      <c r="B1411" s="385" t="s">
        <v>49</v>
      </c>
      <c r="C1411" s="277">
        <v>1</v>
      </c>
      <c r="D1411" s="709" t="s">
        <v>50</v>
      </c>
      <c r="E1411" s="710"/>
      <c r="F1411" s="710"/>
      <c r="G1411" s="710"/>
      <c r="H1411" s="711"/>
      <c r="I1411" s="567">
        <f>I1394+I1401+I1405+I1410</f>
        <v>335.33</v>
      </c>
    </row>
    <row r="1412" spans="2:9" x14ac:dyDescent="0.2">
      <c r="B1412" s="755"/>
      <c r="C1412" s="726"/>
      <c r="D1412" s="726"/>
      <c r="E1412" s="726"/>
      <c r="F1412" s="726"/>
      <c r="G1412" s="726"/>
      <c r="H1412" s="727"/>
      <c r="I1412" s="567">
        <f>I1411/C1411</f>
        <v>335.33</v>
      </c>
    </row>
    <row r="1413" spans="2:9" x14ac:dyDescent="0.2">
      <c r="B1413" s="386" t="s">
        <v>135</v>
      </c>
      <c r="C1413" s="520">
        <f>BDI!C$36</f>
        <v>25</v>
      </c>
      <c r="D1413" s="352" t="s">
        <v>103</v>
      </c>
      <c r="E1413" s="353"/>
      <c r="F1413" s="353"/>
      <c r="G1413" s="353"/>
      <c r="H1413" s="354"/>
      <c r="I1413" s="568">
        <f>C1413/100*I1412</f>
        <v>83.83</v>
      </c>
    </row>
    <row r="1414" spans="2:9" ht="13.5" thickBot="1" x14ac:dyDescent="0.25">
      <c r="B1414" s="790" t="s">
        <v>51</v>
      </c>
      <c r="C1414" s="791"/>
      <c r="D1414" s="791"/>
      <c r="E1414" s="791"/>
      <c r="F1414" s="791"/>
      <c r="G1414" s="791"/>
      <c r="H1414" s="791"/>
      <c r="I1414" s="549">
        <f>SUM(I1412:I1413)</f>
        <v>419.16</v>
      </c>
    </row>
  </sheetData>
  <mergeCells count="775">
    <mergeCell ref="B1401:H1401"/>
    <mergeCell ref="B1402:I1402"/>
    <mergeCell ref="B1405:H1405"/>
    <mergeCell ref="B1406:I1406"/>
    <mergeCell ref="B1410:H1410"/>
    <mergeCell ref="D1411:H1411"/>
    <mergeCell ref="B1412:H1412"/>
    <mergeCell ref="B1414:H1414"/>
    <mergeCell ref="D1386:H1386"/>
    <mergeCell ref="B1387:H1387"/>
    <mergeCell ref="D1388:I1388"/>
    <mergeCell ref="B1389:G1389"/>
    <mergeCell ref="H1389:I1389"/>
    <mergeCell ref="B1390:G1390"/>
    <mergeCell ref="B1391:I1391"/>
    <mergeCell ref="B1394:H1394"/>
    <mergeCell ref="B1395:I1395"/>
    <mergeCell ref="B1370:I1370"/>
    <mergeCell ref="B1374:H1374"/>
    <mergeCell ref="B1375:I1375"/>
    <mergeCell ref="B1378:H1378"/>
    <mergeCell ref="B1379:I1379"/>
    <mergeCell ref="B1366:I1366"/>
    <mergeCell ref="B1383:H1383"/>
    <mergeCell ref="D1384:H1384"/>
    <mergeCell ref="B1385:H1385"/>
    <mergeCell ref="B1359:H1359"/>
    <mergeCell ref="D1360:H1360"/>
    <mergeCell ref="D1363:I1363"/>
    <mergeCell ref="B1364:G1364"/>
    <mergeCell ref="H1364:I1364"/>
    <mergeCell ref="B1365:G1365"/>
    <mergeCell ref="B1353:I1353"/>
    <mergeCell ref="B1361:H1361"/>
    <mergeCell ref="B1369:H1369"/>
    <mergeCell ref="B1348:H1348"/>
    <mergeCell ref="B1349:I1349"/>
    <mergeCell ref="B1352:H1352"/>
    <mergeCell ref="B1357:H1357"/>
    <mergeCell ref="D1358:H1358"/>
    <mergeCell ref="D1338:I1338"/>
    <mergeCell ref="B1339:G1339"/>
    <mergeCell ref="H1339:I1339"/>
    <mergeCell ref="B1340:G1340"/>
    <mergeCell ref="B1341:I1341"/>
    <mergeCell ref="B1344:H1344"/>
    <mergeCell ref="B1345:I1345"/>
    <mergeCell ref="B1306:H1306"/>
    <mergeCell ref="D1307:H1307"/>
    <mergeCell ref="B1308:H1308"/>
    <mergeCell ref="D1309:H1309"/>
    <mergeCell ref="B1310:H1310"/>
    <mergeCell ref="B1335:H1335"/>
    <mergeCell ref="D1312:I1312"/>
    <mergeCell ref="H1313:I1313"/>
    <mergeCell ref="B1314:G1314"/>
    <mergeCell ref="B1315:I1315"/>
    <mergeCell ref="B1318:H1318"/>
    <mergeCell ref="B1319:I1319"/>
    <mergeCell ref="B1322:H1322"/>
    <mergeCell ref="B1323:I1323"/>
    <mergeCell ref="B1326:H1326"/>
    <mergeCell ref="B1327:I1327"/>
    <mergeCell ref="B1331:H1331"/>
    <mergeCell ref="D1332:H1332"/>
    <mergeCell ref="B1333:H1333"/>
    <mergeCell ref="D1334:H1334"/>
    <mergeCell ref="B1313:G1313"/>
    <mergeCell ref="D53:I53"/>
    <mergeCell ref="B54:G54"/>
    <mergeCell ref="H54:I54"/>
    <mergeCell ref="B55:G55"/>
    <mergeCell ref="B56:I56"/>
    <mergeCell ref="B59:H59"/>
    <mergeCell ref="B60:I60"/>
    <mergeCell ref="B66:H66"/>
    <mergeCell ref="B67:I67"/>
    <mergeCell ref="B70:H70"/>
    <mergeCell ref="B71:I71"/>
    <mergeCell ref="B75:H75"/>
    <mergeCell ref="D76:H76"/>
    <mergeCell ref="B77:H77"/>
    <mergeCell ref="B79:H79"/>
    <mergeCell ref="B1287:G1287"/>
    <mergeCell ref="B1288:I1288"/>
    <mergeCell ref="B1291:H1291"/>
    <mergeCell ref="B1259:G1259"/>
    <mergeCell ref="B1260:I1260"/>
    <mergeCell ref="B1264:H1264"/>
    <mergeCell ref="B1265:I1265"/>
    <mergeCell ref="B1268:H1268"/>
    <mergeCell ref="B1269:I1269"/>
    <mergeCell ref="B1272:H1272"/>
    <mergeCell ref="B1245:H1245"/>
    <mergeCell ref="B1246:I1246"/>
    <mergeCell ref="B1251:H1251"/>
    <mergeCell ref="D1252:H1252"/>
    <mergeCell ref="B1253:H1253"/>
    <mergeCell ref="B1255:H1255"/>
    <mergeCell ref="D1257:I1257"/>
    <mergeCell ref="B1258:G1258"/>
    <mergeCell ref="B1298:I1298"/>
    <mergeCell ref="B1301:H1301"/>
    <mergeCell ref="B1302:I1302"/>
    <mergeCell ref="B1273:I1273"/>
    <mergeCell ref="B1278:H1278"/>
    <mergeCell ref="D1279:H1279"/>
    <mergeCell ref="B1280:H1280"/>
    <mergeCell ref="B1282:H1282"/>
    <mergeCell ref="D1285:I1285"/>
    <mergeCell ref="B1286:G1286"/>
    <mergeCell ref="H1286:I1286"/>
    <mergeCell ref="B1292:I1292"/>
    <mergeCell ref="B1297:H1297"/>
    <mergeCell ref="H1258:I1258"/>
    <mergeCell ref="D1213:I1213"/>
    <mergeCell ref="B1214:G1214"/>
    <mergeCell ref="H1214:I1214"/>
    <mergeCell ref="B1215:G1215"/>
    <mergeCell ref="B1216:I1216"/>
    <mergeCell ref="B1219:H1219"/>
    <mergeCell ref="B1220:I1220"/>
    <mergeCell ref="B1241:H1241"/>
    <mergeCell ref="B1242:I1242"/>
    <mergeCell ref="B1188:I1188"/>
    <mergeCell ref="B1197:H1197"/>
    <mergeCell ref="B1198:I1198"/>
    <mergeCell ref="B1201:H1201"/>
    <mergeCell ref="B1202:I1202"/>
    <mergeCell ref="B1207:H1207"/>
    <mergeCell ref="D1208:H1208"/>
    <mergeCell ref="B1209:H1209"/>
    <mergeCell ref="B1211:H1211"/>
    <mergeCell ref="D1181:I1181"/>
    <mergeCell ref="B1182:G1182"/>
    <mergeCell ref="H1182:I1182"/>
    <mergeCell ref="B1183:G1183"/>
    <mergeCell ref="B1184:I1184"/>
    <mergeCell ref="B1187:H1187"/>
    <mergeCell ref="B977:H977"/>
    <mergeCell ref="D978:H978"/>
    <mergeCell ref="B979:H979"/>
    <mergeCell ref="D980:H980"/>
    <mergeCell ref="B981:H981"/>
    <mergeCell ref="B1072:H1072"/>
    <mergeCell ref="B1073:I1073"/>
    <mergeCell ref="D1066:I1066"/>
    <mergeCell ref="B1067:G1067"/>
    <mergeCell ref="H1067:I1067"/>
    <mergeCell ref="B1068:G1068"/>
    <mergeCell ref="B1069:I1069"/>
    <mergeCell ref="D1061:H1061"/>
    <mergeCell ref="B1064:H1064"/>
    <mergeCell ref="B1047:H1047"/>
    <mergeCell ref="B1048:I1048"/>
    <mergeCell ref="B1051:H1051"/>
    <mergeCell ref="B1052:I1052"/>
    <mergeCell ref="B730:H730"/>
    <mergeCell ref="B731:I731"/>
    <mergeCell ref="B734:H734"/>
    <mergeCell ref="B735:I735"/>
    <mergeCell ref="B738:H738"/>
    <mergeCell ref="D739:H739"/>
    <mergeCell ref="B740:H740"/>
    <mergeCell ref="B742:H742"/>
    <mergeCell ref="B1099:H1099"/>
    <mergeCell ref="B954:G954"/>
    <mergeCell ref="B955:I955"/>
    <mergeCell ref="B958:H958"/>
    <mergeCell ref="B959:I959"/>
    <mergeCell ref="B965:H965"/>
    <mergeCell ref="B966:I966"/>
    <mergeCell ref="B972:H972"/>
    <mergeCell ref="B973:I973"/>
    <mergeCell ref="B941:H941"/>
    <mergeCell ref="B878:H878"/>
    <mergeCell ref="B879:I879"/>
    <mergeCell ref="B883:H883"/>
    <mergeCell ref="D884:H884"/>
    <mergeCell ref="B887:H887"/>
    <mergeCell ref="D1041:I1041"/>
    <mergeCell ref="B716:H716"/>
    <mergeCell ref="B718:H718"/>
    <mergeCell ref="D720:I720"/>
    <mergeCell ref="B721:G721"/>
    <mergeCell ref="H721:I721"/>
    <mergeCell ref="B722:G722"/>
    <mergeCell ref="B723:I723"/>
    <mergeCell ref="B726:H726"/>
    <mergeCell ref="B727:I727"/>
    <mergeCell ref="B697:I697"/>
    <mergeCell ref="B700:H700"/>
    <mergeCell ref="B701:I701"/>
    <mergeCell ref="B705:H705"/>
    <mergeCell ref="B706:I706"/>
    <mergeCell ref="B709:H709"/>
    <mergeCell ref="B710:I710"/>
    <mergeCell ref="B714:H714"/>
    <mergeCell ref="D715:H715"/>
    <mergeCell ref="B684:I684"/>
    <mergeCell ref="B688:H688"/>
    <mergeCell ref="D689:H689"/>
    <mergeCell ref="B690:H690"/>
    <mergeCell ref="B692:H692"/>
    <mergeCell ref="D694:I694"/>
    <mergeCell ref="B695:G695"/>
    <mergeCell ref="H695:I695"/>
    <mergeCell ref="B696:G696"/>
    <mergeCell ref="B670:G670"/>
    <mergeCell ref="H670:I670"/>
    <mergeCell ref="B671:G671"/>
    <mergeCell ref="B672:I672"/>
    <mergeCell ref="B675:H675"/>
    <mergeCell ref="B676:I676"/>
    <mergeCell ref="B679:H679"/>
    <mergeCell ref="B680:I680"/>
    <mergeCell ref="B683:H683"/>
    <mergeCell ref="B130:H130"/>
    <mergeCell ref="B126:H126"/>
    <mergeCell ref="D127:H127"/>
    <mergeCell ref="B128:H128"/>
    <mergeCell ref="D536:I536"/>
    <mergeCell ref="B537:G537"/>
    <mergeCell ref="H537:I537"/>
    <mergeCell ref="B538:G538"/>
    <mergeCell ref="B167:I167"/>
    <mergeCell ref="B170:H170"/>
    <mergeCell ref="B171:I171"/>
    <mergeCell ref="B174:H174"/>
    <mergeCell ref="B175:I175"/>
    <mergeCell ref="B178:H178"/>
    <mergeCell ref="D179:H179"/>
    <mergeCell ref="B180:H180"/>
    <mergeCell ref="D181:H181"/>
    <mergeCell ref="B136:G136"/>
    <mergeCell ref="B145:H145"/>
    <mergeCell ref="B146:I146"/>
    <mergeCell ref="B200:I200"/>
    <mergeCell ref="B185:G185"/>
    <mergeCell ref="B137:I137"/>
    <mergeCell ref="B141:H141"/>
    <mergeCell ref="H135:I135"/>
    <mergeCell ref="D644:I644"/>
    <mergeCell ref="H109:I109"/>
    <mergeCell ref="B110:G110"/>
    <mergeCell ref="B111:I111"/>
    <mergeCell ref="B114:H114"/>
    <mergeCell ref="B115:I115"/>
    <mergeCell ref="B118:H118"/>
    <mergeCell ref="B119:I119"/>
    <mergeCell ref="B122:H122"/>
    <mergeCell ref="B123:I123"/>
    <mergeCell ref="B543:I543"/>
    <mergeCell ref="B547:H547"/>
    <mergeCell ref="B548:I548"/>
    <mergeCell ref="B551:H551"/>
    <mergeCell ref="D235:H235"/>
    <mergeCell ref="B238:H238"/>
    <mergeCell ref="B212:G212"/>
    <mergeCell ref="B214:I214"/>
    <mergeCell ref="B218:H218"/>
    <mergeCell ref="B219:I219"/>
    <mergeCell ref="B308:I308"/>
    <mergeCell ref="B345:H345"/>
    <mergeCell ref="H212:I212"/>
    <mergeCell ref="B937:H937"/>
    <mergeCell ref="B938:I938"/>
    <mergeCell ref="D160:I160"/>
    <mergeCell ref="B161:G161"/>
    <mergeCell ref="H161:I161"/>
    <mergeCell ref="B162:G162"/>
    <mergeCell ref="B163:I163"/>
    <mergeCell ref="B166:H166"/>
    <mergeCell ref="D211:I211"/>
    <mergeCell ref="B645:G645"/>
    <mergeCell ref="H645:I645"/>
    <mergeCell ref="B646:G646"/>
    <mergeCell ref="B647:I647"/>
    <mergeCell ref="B650:H650"/>
    <mergeCell ref="B651:I651"/>
    <mergeCell ref="B654:H654"/>
    <mergeCell ref="B655:I655"/>
    <mergeCell ref="B658:H658"/>
    <mergeCell ref="B659:I659"/>
    <mergeCell ref="B663:H663"/>
    <mergeCell ref="D664:H664"/>
    <mergeCell ref="B665:H665"/>
    <mergeCell ref="B667:H667"/>
    <mergeCell ref="D669:I669"/>
    <mergeCell ref="H953:I953"/>
    <mergeCell ref="B841:I841"/>
    <mergeCell ref="B844:H844"/>
    <mergeCell ref="B845:I845"/>
    <mergeCell ref="B848:H848"/>
    <mergeCell ref="B849:I849"/>
    <mergeCell ref="B852:H852"/>
    <mergeCell ref="B853:I853"/>
    <mergeCell ref="B856:H856"/>
    <mergeCell ref="D857:H857"/>
    <mergeCell ref="B858:H858"/>
    <mergeCell ref="B860:H860"/>
    <mergeCell ref="D862:I862"/>
    <mergeCell ref="H863:I863"/>
    <mergeCell ref="B864:G864"/>
    <mergeCell ref="B865:I865"/>
    <mergeCell ref="B868:H868"/>
    <mergeCell ref="D921:I921"/>
    <mergeCell ref="B922:G922"/>
    <mergeCell ref="H922:I922"/>
    <mergeCell ref="B923:G923"/>
    <mergeCell ref="B924:I924"/>
    <mergeCell ref="B927:H927"/>
    <mergeCell ref="B928:I928"/>
    <mergeCell ref="B829:I829"/>
    <mergeCell ref="B832:H832"/>
    <mergeCell ref="D833:H833"/>
    <mergeCell ref="B834:H834"/>
    <mergeCell ref="B836:H836"/>
    <mergeCell ref="D838:I838"/>
    <mergeCell ref="B839:G839"/>
    <mergeCell ref="H839:I839"/>
    <mergeCell ref="B840:G840"/>
    <mergeCell ref="B815:G815"/>
    <mergeCell ref="H815:I815"/>
    <mergeCell ref="B816:G816"/>
    <mergeCell ref="B817:I817"/>
    <mergeCell ref="B820:H820"/>
    <mergeCell ref="B821:I821"/>
    <mergeCell ref="B824:H824"/>
    <mergeCell ref="B825:I825"/>
    <mergeCell ref="B828:H828"/>
    <mergeCell ref="B1171:I1171"/>
    <mergeCell ref="B1175:H1175"/>
    <mergeCell ref="D1176:H1176"/>
    <mergeCell ref="B1177:H1177"/>
    <mergeCell ref="D1178:H1178"/>
    <mergeCell ref="B1179:H1179"/>
    <mergeCell ref="D814:I814"/>
    <mergeCell ref="D1155:I1155"/>
    <mergeCell ref="B1156:G1156"/>
    <mergeCell ref="H1156:I1156"/>
    <mergeCell ref="D1100:I1100"/>
    <mergeCell ref="B1101:G1101"/>
    <mergeCell ref="H1101:I1101"/>
    <mergeCell ref="B1102:G1102"/>
    <mergeCell ref="B1103:I1103"/>
    <mergeCell ref="B1106:H1106"/>
    <mergeCell ref="B1157:G1157"/>
    <mergeCell ref="B1158:I1158"/>
    <mergeCell ref="B1161:H1161"/>
    <mergeCell ref="B1162:I1162"/>
    <mergeCell ref="B1166:H1166"/>
    <mergeCell ref="B1167:I1167"/>
    <mergeCell ref="B1043:G1043"/>
    <mergeCell ref="B1044:I1044"/>
    <mergeCell ref="B213:G213"/>
    <mergeCell ref="B322:G322"/>
    <mergeCell ref="H322:I322"/>
    <mergeCell ref="B323:G323"/>
    <mergeCell ref="B324:I324"/>
    <mergeCell ref="B327:H327"/>
    <mergeCell ref="B328:I328"/>
    <mergeCell ref="B332:H332"/>
    <mergeCell ref="B333:I333"/>
    <mergeCell ref="B303:I303"/>
    <mergeCell ref="B307:H307"/>
    <mergeCell ref="B285:H285"/>
    <mergeCell ref="B270:G270"/>
    <mergeCell ref="H270:I270"/>
    <mergeCell ref="B271:G271"/>
    <mergeCell ref="B272:I272"/>
    <mergeCell ref="B275:H275"/>
    <mergeCell ref="B276:I276"/>
    <mergeCell ref="B281:H281"/>
    <mergeCell ref="B286:I286"/>
    <mergeCell ref="B224:H224"/>
    <mergeCell ref="D269:I269"/>
    <mergeCell ref="B267:H267"/>
    <mergeCell ref="B265:H265"/>
    <mergeCell ref="B336:H336"/>
    <mergeCell ref="B282:I282"/>
    <mergeCell ref="B869:I869"/>
    <mergeCell ref="B874:H874"/>
    <mergeCell ref="B875:I875"/>
    <mergeCell ref="B863:G863"/>
    <mergeCell ref="B225:I225"/>
    <mergeCell ref="B228:H228"/>
    <mergeCell ref="B229:I229"/>
    <mergeCell ref="B234:H234"/>
    <mergeCell ref="B337:I337"/>
    <mergeCell ref="B341:H341"/>
    <mergeCell ref="D342:H342"/>
    <mergeCell ref="B290:H290"/>
    <mergeCell ref="D291:H291"/>
    <mergeCell ref="B292:H292"/>
    <mergeCell ref="B294:H294"/>
    <mergeCell ref="D296:I296"/>
    <mergeCell ref="B297:G297"/>
    <mergeCell ref="H297:I297"/>
    <mergeCell ref="B298:G298"/>
    <mergeCell ref="B299:I299"/>
    <mergeCell ref="B302:H302"/>
    <mergeCell ref="B319:H319"/>
    <mergeCell ref="B751:I751"/>
    <mergeCell ref="B755:H755"/>
    <mergeCell ref="B756:I756"/>
    <mergeCell ref="B759:H759"/>
    <mergeCell ref="B760:I760"/>
    <mergeCell ref="B764:H764"/>
    <mergeCell ref="D765:H765"/>
    <mergeCell ref="B768:H768"/>
    <mergeCell ref="D321:I321"/>
    <mergeCell ref="B552:I552"/>
    <mergeCell ref="B557:H557"/>
    <mergeCell ref="D558:H558"/>
    <mergeCell ref="B559:H559"/>
    <mergeCell ref="B561:H561"/>
    <mergeCell ref="D563:I563"/>
    <mergeCell ref="B564:G564"/>
    <mergeCell ref="H564:I564"/>
    <mergeCell ref="B565:G565"/>
    <mergeCell ref="B566:I566"/>
    <mergeCell ref="B570:H570"/>
    <mergeCell ref="B571:I571"/>
    <mergeCell ref="B574:H574"/>
    <mergeCell ref="B575:I575"/>
    <mergeCell ref="B343:H343"/>
    <mergeCell ref="B396:H396"/>
    <mergeCell ref="B398:H398"/>
    <mergeCell ref="D744:I744"/>
    <mergeCell ref="B745:G745"/>
    <mergeCell ref="H745:I745"/>
    <mergeCell ref="B746:G746"/>
    <mergeCell ref="B747:I747"/>
    <mergeCell ref="B750:H750"/>
    <mergeCell ref="B578:H578"/>
    <mergeCell ref="B579:I579"/>
    <mergeCell ref="B584:H584"/>
    <mergeCell ref="D585:H585"/>
    <mergeCell ref="B586:H586"/>
    <mergeCell ref="B588:H588"/>
    <mergeCell ref="D590:I590"/>
    <mergeCell ref="B591:G591"/>
    <mergeCell ref="H591:I591"/>
    <mergeCell ref="B592:G592"/>
    <mergeCell ref="B593:I593"/>
    <mergeCell ref="B597:H597"/>
    <mergeCell ref="B598:I598"/>
    <mergeCell ref="B601:H601"/>
    <mergeCell ref="B539:I539"/>
    <mergeCell ref="B542:H542"/>
    <mergeCell ref="B376:I376"/>
    <mergeCell ref="B379:H379"/>
    <mergeCell ref="B380:I380"/>
    <mergeCell ref="B385:H385"/>
    <mergeCell ref="B386:I386"/>
    <mergeCell ref="B389:H389"/>
    <mergeCell ref="B390:I390"/>
    <mergeCell ref="B394:H394"/>
    <mergeCell ref="D395:H395"/>
    <mergeCell ref="B534:H534"/>
    <mergeCell ref="B500:H500"/>
    <mergeCell ref="B521:H521"/>
    <mergeCell ref="B530:H530"/>
    <mergeCell ref="B511:I511"/>
    <mergeCell ref="D504:I504"/>
    <mergeCell ref="D447:H447"/>
    <mergeCell ref="B448:H448"/>
    <mergeCell ref="B464:I464"/>
    <mergeCell ref="B463:H463"/>
    <mergeCell ref="B474:H474"/>
    <mergeCell ref="B481:G481"/>
    <mergeCell ref="B453:G453"/>
    <mergeCell ref="D473:H473"/>
    <mergeCell ref="B472:H472"/>
    <mergeCell ref="D770:I770"/>
    <mergeCell ref="B602:I602"/>
    <mergeCell ref="B605:H605"/>
    <mergeCell ref="B606:I606"/>
    <mergeCell ref="B611:H611"/>
    <mergeCell ref="D612:H612"/>
    <mergeCell ref="B613:H613"/>
    <mergeCell ref="B615:H615"/>
    <mergeCell ref="D347:I347"/>
    <mergeCell ref="B348:G348"/>
    <mergeCell ref="H348:I348"/>
    <mergeCell ref="B349:G349"/>
    <mergeCell ref="B350:I350"/>
    <mergeCell ref="B353:H353"/>
    <mergeCell ref="B354:I354"/>
    <mergeCell ref="B358:H358"/>
    <mergeCell ref="B359:I359"/>
    <mergeCell ref="B362:H362"/>
    <mergeCell ref="B363:I363"/>
    <mergeCell ref="B367:H367"/>
    <mergeCell ref="D368:H368"/>
    <mergeCell ref="B369:H369"/>
    <mergeCell ref="B371:H371"/>
    <mergeCell ref="D373:I373"/>
    <mergeCell ref="B51:H51"/>
    <mergeCell ref="D48:H48"/>
    <mergeCell ref="B25:H25"/>
    <mergeCell ref="D27:I27"/>
    <mergeCell ref="B29:G29"/>
    <mergeCell ref="B30:I30"/>
    <mergeCell ref="B34:H34"/>
    <mergeCell ref="B28:G28"/>
    <mergeCell ref="H28:I28"/>
    <mergeCell ref="B38:H38"/>
    <mergeCell ref="B39:I39"/>
    <mergeCell ref="B42:H42"/>
    <mergeCell ref="B43:I43"/>
    <mergeCell ref="B46:H46"/>
    <mergeCell ref="B47:H47"/>
    <mergeCell ref="B49:H49"/>
    <mergeCell ref="B142:I142"/>
    <mergeCell ref="B135:G135"/>
    <mergeCell ref="H185:I185"/>
    <mergeCell ref="B186:G186"/>
    <mergeCell ref="B182:H182"/>
    <mergeCell ref="D1:I1"/>
    <mergeCell ref="B3:G3"/>
    <mergeCell ref="B4:I4"/>
    <mergeCell ref="B8:H8"/>
    <mergeCell ref="B9:I9"/>
    <mergeCell ref="B12:H12"/>
    <mergeCell ref="B2:G2"/>
    <mergeCell ref="H2:I2"/>
    <mergeCell ref="B35:I35"/>
    <mergeCell ref="B23:H23"/>
    <mergeCell ref="B17:I17"/>
    <mergeCell ref="B20:H20"/>
    <mergeCell ref="B21:H21"/>
    <mergeCell ref="D22:H22"/>
    <mergeCell ref="B13:I13"/>
    <mergeCell ref="B16:H16"/>
    <mergeCell ref="D108:I108"/>
    <mergeCell ref="B109:G109"/>
    <mergeCell ref="D134:I134"/>
    <mergeCell ref="B209:H209"/>
    <mergeCell ref="B207:H207"/>
    <mergeCell ref="B187:I187"/>
    <mergeCell ref="B190:H190"/>
    <mergeCell ref="B191:I191"/>
    <mergeCell ref="B195:H195"/>
    <mergeCell ref="B196:I196"/>
    <mergeCell ref="B199:H199"/>
    <mergeCell ref="B154:H154"/>
    <mergeCell ref="B156:H156"/>
    <mergeCell ref="D155:H155"/>
    <mergeCell ref="B158:H158"/>
    <mergeCell ref="D184:I184"/>
    <mergeCell ref="B205:H205"/>
    <mergeCell ref="B493:H493"/>
    <mergeCell ref="B510:H510"/>
    <mergeCell ref="B505:G505"/>
    <mergeCell ref="B428:G428"/>
    <mergeCell ref="B441:H441"/>
    <mergeCell ref="B430:I430"/>
    <mergeCell ref="B433:H433"/>
    <mergeCell ref="B434:I434"/>
    <mergeCell ref="B437:H437"/>
    <mergeCell ref="B459:I459"/>
    <mergeCell ref="B442:I442"/>
    <mergeCell ref="H428:I428"/>
    <mergeCell ref="B429:G429"/>
    <mergeCell ref="B482:I482"/>
    <mergeCell ref="B485:H485"/>
    <mergeCell ref="D452:I452"/>
    <mergeCell ref="B467:H467"/>
    <mergeCell ref="B468:I468"/>
    <mergeCell ref="B506:G506"/>
    <mergeCell ref="B502:H502"/>
    <mergeCell ref="B438:I438"/>
    <mergeCell ref="B490:I490"/>
    <mergeCell ref="B450:H450"/>
    <mergeCell ref="H453:I453"/>
    <mergeCell ref="B454:G454"/>
    <mergeCell ref="B455:I455"/>
    <mergeCell ref="B458:H458"/>
    <mergeCell ref="B446:H446"/>
    <mergeCell ref="D400:I400"/>
    <mergeCell ref="B480:G480"/>
    <mergeCell ref="B401:G401"/>
    <mergeCell ref="B402:G402"/>
    <mergeCell ref="B403:I403"/>
    <mergeCell ref="B406:H406"/>
    <mergeCell ref="B407:I407"/>
    <mergeCell ref="B412:H412"/>
    <mergeCell ref="B423:H423"/>
    <mergeCell ref="B421:H421"/>
    <mergeCell ref="D427:I427"/>
    <mergeCell ref="B425:H425"/>
    <mergeCell ref="B629:H629"/>
    <mergeCell ref="B630:I630"/>
    <mergeCell ref="B633:H633"/>
    <mergeCell ref="B634:I634"/>
    <mergeCell ref="B638:H638"/>
    <mergeCell ref="D639:H639"/>
    <mergeCell ref="B640:H640"/>
    <mergeCell ref="H401:I401"/>
    <mergeCell ref="D531:H531"/>
    <mergeCell ref="B532:H532"/>
    <mergeCell ref="H505:I505"/>
    <mergeCell ref="B507:I507"/>
    <mergeCell ref="B494:I494"/>
    <mergeCell ref="B497:H497"/>
    <mergeCell ref="B498:H498"/>
    <mergeCell ref="D499:H499"/>
    <mergeCell ref="D422:H422"/>
    <mergeCell ref="D479:I479"/>
    <mergeCell ref="H480:I480"/>
    <mergeCell ref="B413:I413"/>
    <mergeCell ref="B416:H416"/>
    <mergeCell ref="B417:I417"/>
    <mergeCell ref="B486:I486"/>
    <mergeCell ref="B489:H489"/>
    <mergeCell ref="B985:G985"/>
    <mergeCell ref="B986:I986"/>
    <mergeCell ref="B989:H989"/>
    <mergeCell ref="B990:I990"/>
    <mergeCell ref="B995:H995"/>
    <mergeCell ref="H890:I890"/>
    <mergeCell ref="B891:G891"/>
    <mergeCell ref="B374:G374"/>
    <mergeCell ref="H374:I374"/>
    <mergeCell ref="B375:G375"/>
    <mergeCell ref="B476:H476"/>
    <mergeCell ref="B522:I522"/>
    <mergeCell ref="B525:H525"/>
    <mergeCell ref="B526:I526"/>
    <mergeCell ref="D983:I983"/>
    <mergeCell ref="B984:G984"/>
    <mergeCell ref="H984:I984"/>
    <mergeCell ref="D617:I617"/>
    <mergeCell ref="B618:G618"/>
    <mergeCell ref="H618:I618"/>
    <mergeCell ref="B619:G619"/>
    <mergeCell ref="B620:I620"/>
    <mergeCell ref="B623:H623"/>
    <mergeCell ref="B624:I624"/>
    <mergeCell ref="B942:I942"/>
    <mergeCell ref="B946:H946"/>
    <mergeCell ref="D947:H947"/>
    <mergeCell ref="B948:H948"/>
    <mergeCell ref="B950:H950"/>
    <mergeCell ref="D952:I952"/>
    <mergeCell ref="B953:G953"/>
    <mergeCell ref="B642:H642"/>
    <mergeCell ref="B810:H810"/>
    <mergeCell ref="D889:I889"/>
    <mergeCell ref="B890:G890"/>
    <mergeCell ref="B812:H812"/>
    <mergeCell ref="H771:I771"/>
    <mergeCell ref="B771:G771"/>
    <mergeCell ref="B772:G772"/>
    <mergeCell ref="B776:H776"/>
    <mergeCell ref="B773:I773"/>
    <mergeCell ref="D809:H809"/>
    <mergeCell ref="B799:I799"/>
    <mergeCell ref="B802:H802"/>
    <mergeCell ref="B803:I803"/>
    <mergeCell ref="B808:H808"/>
    <mergeCell ref="B777:I777"/>
    <mergeCell ref="B798:H798"/>
    <mergeCell ref="B892:I892"/>
    <mergeCell ref="B895:H895"/>
    <mergeCell ref="B920:H920"/>
    <mergeCell ref="B896:I896"/>
    <mergeCell ref="B907:H907"/>
    <mergeCell ref="B908:I908"/>
    <mergeCell ref="B916:H916"/>
    <mergeCell ref="B911:H911"/>
    <mergeCell ref="B912:I912"/>
    <mergeCell ref="D917:H917"/>
    <mergeCell ref="B918:H918"/>
    <mergeCell ref="B1030:I1030"/>
    <mergeCell ref="D1037:H1037"/>
    <mergeCell ref="B1038:H1038"/>
    <mergeCell ref="B1040:H1040"/>
    <mergeCell ref="B1042:G1042"/>
    <mergeCell ref="H1042:I1042"/>
    <mergeCell ref="B1082:H1082"/>
    <mergeCell ref="B1083:I1083"/>
    <mergeCell ref="B996:I996"/>
    <mergeCell ref="H1013:I1013"/>
    <mergeCell ref="B1000:H1000"/>
    <mergeCell ref="B1001:I1001"/>
    <mergeCell ref="B1007:H1007"/>
    <mergeCell ref="D1008:H1008"/>
    <mergeCell ref="B1009:H1009"/>
    <mergeCell ref="B1011:H1011"/>
    <mergeCell ref="D1012:I1012"/>
    <mergeCell ref="B1029:H1029"/>
    <mergeCell ref="B1170:H1170"/>
    <mergeCell ref="B1107:I1107"/>
    <mergeCell ref="B1110:H1110"/>
    <mergeCell ref="B1111:I1111"/>
    <mergeCell ref="B1114:H1114"/>
    <mergeCell ref="B1115:I1115"/>
    <mergeCell ref="B1120:H1120"/>
    <mergeCell ref="D1121:H1121"/>
    <mergeCell ref="B1122:H1122"/>
    <mergeCell ref="D1123:H1123"/>
    <mergeCell ref="B1124:H1124"/>
    <mergeCell ref="B1153:H1153"/>
    <mergeCell ref="B1138:I1138"/>
    <mergeCell ref="B1142:H1142"/>
    <mergeCell ref="B1143:I1143"/>
    <mergeCell ref="B1149:H1149"/>
    <mergeCell ref="D1150:H1150"/>
    <mergeCell ref="B1125:H1125"/>
    <mergeCell ref="D1126:I1126"/>
    <mergeCell ref="B1127:G1127"/>
    <mergeCell ref="H1127:I1127"/>
    <mergeCell ref="B1128:G1128"/>
    <mergeCell ref="B1129:I1129"/>
    <mergeCell ref="B1132:H1132"/>
    <mergeCell ref="B1133:I1133"/>
    <mergeCell ref="B1151:H1151"/>
    <mergeCell ref="B1137:H1137"/>
    <mergeCell ref="B311:H311"/>
    <mergeCell ref="B312:I312"/>
    <mergeCell ref="B315:H315"/>
    <mergeCell ref="D316:H316"/>
    <mergeCell ref="B317:H317"/>
    <mergeCell ref="B1094:H1094"/>
    <mergeCell ref="D1095:H1095"/>
    <mergeCell ref="B1098:H1098"/>
    <mergeCell ref="B1055:H1055"/>
    <mergeCell ref="B1056:I1056"/>
    <mergeCell ref="B1060:H1060"/>
    <mergeCell ref="B1014:G1014"/>
    <mergeCell ref="B1015:I1015"/>
    <mergeCell ref="B1018:H1018"/>
    <mergeCell ref="B1019:I1019"/>
    <mergeCell ref="B1036:H1036"/>
    <mergeCell ref="B1024:H1024"/>
    <mergeCell ref="B1025:I1025"/>
    <mergeCell ref="B1086:H1086"/>
    <mergeCell ref="B1087:I1087"/>
    <mergeCell ref="B1013:G1013"/>
    <mergeCell ref="D81:I81"/>
    <mergeCell ref="B82:G82"/>
    <mergeCell ref="H82:I82"/>
    <mergeCell ref="B83:G83"/>
    <mergeCell ref="B84:I84"/>
    <mergeCell ref="B87:H87"/>
    <mergeCell ref="B88:I88"/>
    <mergeCell ref="B93:H93"/>
    <mergeCell ref="B94:I94"/>
    <mergeCell ref="B97:H97"/>
    <mergeCell ref="B98:I98"/>
    <mergeCell ref="B101:H101"/>
    <mergeCell ref="D102:H102"/>
    <mergeCell ref="B103:H103"/>
    <mergeCell ref="B105:H105"/>
    <mergeCell ref="B131:H131"/>
    <mergeCell ref="B132:H132"/>
    <mergeCell ref="D264:H264"/>
    <mergeCell ref="B243:I243"/>
    <mergeCell ref="B247:H247"/>
    <mergeCell ref="B248:I248"/>
    <mergeCell ref="B253:H253"/>
    <mergeCell ref="B254:I254"/>
    <mergeCell ref="B257:H257"/>
    <mergeCell ref="B258:I258"/>
    <mergeCell ref="B263:H263"/>
    <mergeCell ref="D240:I240"/>
    <mergeCell ref="H241:I241"/>
    <mergeCell ref="B242:G242"/>
    <mergeCell ref="B241:G241"/>
    <mergeCell ref="D206:H206"/>
    <mergeCell ref="B150:I150"/>
    <mergeCell ref="B149:H149"/>
  </mergeCells>
  <printOptions horizontalCentered="1"/>
  <pageMargins left="0.31496062992125984" right="0.31496062992125984" top="0.39370078740157483" bottom="0.59055118110236227" header="0.51181102362204722" footer="0.51181102362204722"/>
  <pageSetup paperSize="9" scale="67" firstPageNumber="0" orientation="portrait" r:id="rId1"/>
  <headerFooter alignWithMargins="0"/>
  <rowBreaks count="25" manualBreakCount="25">
    <brk id="52" max="16383" man="1"/>
    <brk id="106" min="1" max="8" man="1"/>
    <brk id="158" min="1" max="8" man="1"/>
    <brk id="210" max="16383" man="1"/>
    <brk id="268" min="1" max="8" man="1"/>
    <brk id="320" min="1" max="8" man="1"/>
    <brk id="372" min="1" max="8" man="1"/>
    <brk id="426" min="1" max="8" man="1"/>
    <brk id="477" min="1" max="8" man="1"/>
    <brk id="534" max="16383" man="1"/>
    <brk id="588" min="1" max="8" man="1"/>
    <brk id="643" min="1" max="8" man="1"/>
    <brk id="692" min="1" max="8" man="1"/>
    <brk id="743" min="1" max="8" man="1"/>
    <brk id="813" min="1" max="8" man="1"/>
    <brk id="861" min="1" max="8" man="1"/>
    <brk id="920" min="1" max="8" man="1"/>
    <brk id="982" max="16383" man="1"/>
    <brk id="1040" min="1" max="8" man="1"/>
    <brk id="1099" min="1" max="8" man="1"/>
    <brk id="1153" min="1" max="8" man="1"/>
    <brk id="1212" min="1" max="8" man="1"/>
    <brk id="1282" max="16383" man="1"/>
    <brk id="1336" min="1" max="8" man="1"/>
    <brk id="138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129"/>
  <sheetViews>
    <sheetView view="pageBreakPreview" topLeftCell="A121" zoomScaleSheetLayoutView="100" workbookViewId="0">
      <selection activeCell="H130" sqref="H130"/>
    </sheetView>
  </sheetViews>
  <sheetFormatPr defaultRowHeight="12.75" x14ac:dyDescent="0.2"/>
  <cols>
    <col min="1" max="1" width="3.7109375" style="38" customWidth="1"/>
    <col min="2" max="2" width="10.28515625" style="158" customWidth="1"/>
    <col min="3" max="3" width="45.85546875" style="159" customWidth="1"/>
    <col min="4" max="4" width="9.140625" style="158" customWidth="1"/>
    <col min="5" max="5" width="13" style="165" customWidth="1"/>
    <col min="6" max="6" width="18.5703125" style="158" customWidth="1"/>
    <col min="7" max="7" width="9.7109375" style="130" customWidth="1"/>
    <col min="8" max="8" width="23" style="38" customWidth="1"/>
    <col min="9" max="9" width="9.140625" style="131"/>
    <col min="10" max="16384" width="9.140625" style="38"/>
  </cols>
  <sheetData>
    <row r="1" spans="1:10" x14ac:dyDescent="0.2">
      <c r="A1" s="37"/>
      <c r="B1" s="147"/>
      <c r="C1" s="148"/>
      <c r="D1" s="149"/>
      <c r="F1" s="149"/>
    </row>
    <row r="2" spans="1:10" s="1" customFormat="1" ht="12" customHeight="1" x14ac:dyDescent="0.25">
      <c r="B2" s="852" t="s">
        <v>174</v>
      </c>
      <c r="C2" s="853"/>
      <c r="D2" s="853"/>
      <c r="E2" s="853"/>
      <c r="F2" s="854"/>
      <c r="G2" s="160"/>
      <c r="H2" s="160"/>
      <c r="J2" s="67"/>
    </row>
    <row r="3" spans="1:10" s="4" customFormat="1" ht="12" customHeight="1" x14ac:dyDescent="0.25">
      <c r="B3" s="855"/>
      <c r="C3" s="856"/>
      <c r="D3" s="856"/>
      <c r="E3" s="856"/>
      <c r="F3" s="857"/>
      <c r="G3" s="160"/>
      <c r="H3" s="160"/>
      <c r="J3" s="68"/>
    </row>
    <row r="4" spans="1:10" s="4" customFormat="1" ht="12.75" customHeight="1" x14ac:dyDescent="0.25">
      <c r="B4" s="855"/>
      <c r="C4" s="856"/>
      <c r="D4" s="856"/>
      <c r="E4" s="856"/>
      <c r="F4" s="857"/>
      <c r="G4" s="160"/>
      <c r="H4" s="160"/>
      <c r="J4" s="68"/>
    </row>
    <row r="5" spans="1:10" s="4" customFormat="1" ht="15.75" customHeight="1" x14ac:dyDescent="0.25">
      <c r="B5" s="858"/>
      <c r="C5" s="859"/>
      <c r="D5" s="859"/>
      <c r="E5" s="859"/>
      <c r="F5" s="860"/>
      <c r="G5" s="160"/>
      <c r="H5" s="160"/>
      <c r="J5" s="68"/>
    </row>
    <row r="6" spans="1:10" ht="39" customHeight="1" x14ac:dyDescent="0.2">
      <c r="A6" s="37"/>
      <c r="B6" s="150"/>
      <c r="C6" s="100" t="s">
        <v>639</v>
      </c>
      <c r="D6" s="151" t="s">
        <v>102</v>
      </c>
      <c r="E6" s="166">
        <f>BDI!C36</f>
        <v>25</v>
      </c>
      <c r="F6" s="152" t="s">
        <v>103</v>
      </c>
    </row>
    <row r="7" spans="1:10" x14ac:dyDescent="0.2">
      <c r="A7" s="117"/>
      <c r="B7" s="147"/>
      <c r="C7" s="153"/>
      <c r="D7" s="154"/>
      <c r="F7" s="154"/>
    </row>
    <row r="8" spans="1:10" x14ac:dyDescent="0.2">
      <c r="A8" s="37"/>
      <c r="B8" s="849" t="s">
        <v>104</v>
      </c>
      <c r="C8" s="850"/>
      <c r="D8" s="850"/>
      <c r="E8" s="850"/>
      <c r="F8" s="851"/>
      <c r="H8" s="38" t="s">
        <v>105</v>
      </c>
    </row>
    <row r="9" spans="1:10" x14ac:dyDescent="0.2">
      <c r="A9" s="117"/>
      <c r="B9" s="147"/>
      <c r="C9" s="153"/>
      <c r="D9" s="154"/>
      <c r="F9" s="154"/>
      <c r="H9" s="168">
        <v>1.8975</v>
      </c>
      <c r="I9" s="131" t="s">
        <v>197</v>
      </c>
    </row>
    <row r="10" spans="1:10" x14ac:dyDescent="0.2">
      <c r="A10" s="37"/>
      <c r="B10" s="164" t="s">
        <v>2</v>
      </c>
      <c r="C10" s="163" t="s">
        <v>106</v>
      </c>
      <c r="D10" s="162" t="s">
        <v>5</v>
      </c>
      <c r="E10" s="167" t="s">
        <v>107</v>
      </c>
      <c r="F10" s="161" t="s">
        <v>108</v>
      </c>
      <c r="H10" s="132" t="s">
        <v>544</v>
      </c>
    </row>
    <row r="11" spans="1:10" s="136" customFormat="1" ht="15.95" customHeight="1" x14ac:dyDescent="0.2">
      <c r="A11" s="155">
        <v>1</v>
      </c>
      <c r="B11" s="41">
        <v>2707</v>
      </c>
      <c r="C11" s="101" t="s">
        <v>177</v>
      </c>
      <c r="D11" s="39" t="s">
        <v>41</v>
      </c>
      <c r="E11" s="538">
        <v>72.75</v>
      </c>
      <c r="F11" s="40" t="s">
        <v>109</v>
      </c>
      <c r="G11" s="133"/>
      <c r="H11" s="134"/>
      <c r="I11" s="135"/>
    </row>
    <row r="12" spans="1:10" s="136" customFormat="1" ht="15.95" customHeight="1" x14ac:dyDescent="0.2">
      <c r="A12" s="155">
        <v>1</v>
      </c>
      <c r="B12" s="41">
        <v>20020</v>
      </c>
      <c r="C12" s="101" t="s">
        <v>110</v>
      </c>
      <c r="D12" s="39" t="s">
        <v>41</v>
      </c>
      <c r="E12" s="538">
        <v>19.84</v>
      </c>
      <c r="F12" s="40" t="s">
        <v>109</v>
      </c>
      <c r="G12" s="133"/>
      <c r="H12" s="168">
        <v>1.5007999999999999</v>
      </c>
      <c r="I12" s="131" t="s">
        <v>198</v>
      </c>
    </row>
    <row r="13" spans="1:10" s="136" customFormat="1" ht="15.95" customHeight="1" x14ac:dyDescent="0.2">
      <c r="A13" s="155">
        <v>1</v>
      </c>
      <c r="B13" s="41">
        <v>6111</v>
      </c>
      <c r="C13" s="102" t="s">
        <v>48</v>
      </c>
      <c r="D13" s="39" t="s">
        <v>41</v>
      </c>
      <c r="E13" s="538">
        <v>7.81</v>
      </c>
      <c r="F13" s="40" t="s">
        <v>109</v>
      </c>
      <c r="G13" s="133"/>
      <c r="H13" s="137"/>
      <c r="I13" s="135"/>
    </row>
    <row r="14" spans="1:10" s="136" customFormat="1" ht="15.95" customHeight="1" x14ac:dyDescent="0.2">
      <c r="A14" s="155"/>
      <c r="B14" s="41">
        <v>6115</v>
      </c>
      <c r="C14" s="102" t="s">
        <v>158</v>
      </c>
      <c r="D14" s="39" t="s">
        <v>41</v>
      </c>
      <c r="E14" s="538">
        <v>7.81</v>
      </c>
      <c r="F14" s="40" t="s">
        <v>109</v>
      </c>
      <c r="G14" s="133"/>
      <c r="H14" s="137"/>
      <c r="I14" s="135"/>
    </row>
    <row r="15" spans="1:10" s="136" customFormat="1" ht="15.95" customHeight="1" x14ac:dyDescent="0.2">
      <c r="A15" s="155">
        <v>1</v>
      </c>
      <c r="B15" s="41">
        <v>4083</v>
      </c>
      <c r="C15" s="101" t="s">
        <v>61</v>
      </c>
      <c r="D15" s="39" t="s">
        <v>41</v>
      </c>
      <c r="E15" s="538">
        <v>23.62</v>
      </c>
      <c r="F15" s="40" t="s">
        <v>109</v>
      </c>
      <c r="G15" s="128"/>
      <c r="I15" s="138"/>
    </row>
    <row r="16" spans="1:10" s="136" customFormat="1" ht="15.95" customHeight="1" x14ac:dyDescent="0.2">
      <c r="A16" s="155"/>
      <c r="B16" s="41">
        <v>1213</v>
      </c>
      <c r="C16" s="101" t="s">
        <v>54</v>
      </c>
      <c r="D16" s="39" t="s">
        <v>41</v>
      </c>
      <c r="E16" s="538">
        <v>10.37</v>
      </c>
      <c r="F16" s="40" t="s">
        <v>109</v>
      </c>
      <c r="G16" s="133"/>
      <c r="I16" s="138"/>
    </row>
    <row r="17" spans="1:9" s="136" customFormat="1" ht="15.95" customHeight="1" x14ac:dyDescent="0.2">
      <c r="A17" s="155">
        <v>1</v>
      </c>
      <c r="B17" s="41">
        <v>4750</v>
      </c>
      <c r="C17" s="101" t="s">
        <v>83</v>
      </c>
      <c r="D17" s="39" t="s">
        <v>41</v>
      </c>
      <c r="E17" s="538">
        <v>10.37</v>
      </c>
      <c r="F17" s="40" t="s">
        <v>109</v>
      </c>
      <c r="G17" s="133"/>
      <c r="I17" s="138"/>
    </row>
    <row r="18" spans="1:9" s="136" customFormat="1" ht="15.95" customHeight="1" x14ac:dyDescent="0.2">
      <c r="A18" s="155"/>
      <c r="B18" s="41">
        <v>2436</v>
      </c>
      <c r="C18" s="101" t="s">
        <v>82</v>
      </c>
      <c r="D18" s="39" t="s">
        <v>41</v>
      </c>
      <c r="E18" s="538">
        <v>10.37</v>
      </c>
      <c r="F18" s="40" t="s">
        <v>109</v>
      </c>
      <c r="G18" s="133"/>
      <c r="I18" s="138"/>
    </row>
    <row r="19" spans="1:9" s="136" customFormat="1" ht="15.95" customHeight="1" x14ac:dyDescent="0.2">
      <c r="A19" s="155">
        <v>1</v>
      </c>
      <c r="B19" s="41">
        <v>4235</v>
      </c>
      <c r="C19" s="101" t="s">
        <v>66</v>
      </c>
      <c r="D19" s="39" t="s">
        <v>41</v>
      </c>
      <c r="E19" s="538">
        <v>12.78</v>
      </c>
      <c r="F19" s="40" t="s">
        <v>109</v>
      </c>
      <c r="G19" s="128"/>
      <c r="I19" s="138"/>
    </row>
    <row r="20" spans="1:9" s="137" customFormat="1" ht="15.95" customHeight="1" x14ac:dyDescent="0.2">
      <c r="A20" s="156">
        <v>1</v>
      </c>
      <c r="B20" s="42">
        <v>4250</v>
      </c>
      <c r="C20" s="103" t="s">
        <v>121</v>
      </c>
      <c r="D20" s="39" t="s">
        <v>41</v>
      </c>
      <c r="E20" s="538">
        <v>12.29</v>
      </c>
      <c r="F20" s="40" t="s">
        <v>109</v>
      </c>
      <c r="G20" s="128"/>
      <c r="I20" s="135"/>
    </row>
    <row r="21" spans="1:9" s="136" customFormat="1" ht="15.95" customHeight="1" x14ac:dyDescent="0.2">
      <c r="A21" s="155">
        <v>1</v>
      </c>
      <c r="B21" s="41">
        <v>2696</v>
      </c>
      <c r="C21" s="104" t="s">
        <v>70</v>
      </c>
      <c r="D21" s="42" t="s">
        <v>41</v>
      </c>
      <c r="E21" s="539">
        <v>10.37</v>
      </c>
      <c r="F21" s="40" t="s">
        <v>109</v>
      </c>
      <c r="G21" s="133"/>
      <c r="I21" s="138"/>
    </row>
    <row r="22" spans="1:9" s="136" customFormat="1" ht="15.95" customHeight="1" x14ac:dyDescent="0.2">
      <c r="B22" s="41">
        <v>2706</v>
      </c>
      <c r="C22" s="105" t="s">
        <v>97</v>
      </c>
      <c r="D22" s="41" t="s">
        <v>13</v>
      </c>
      <c r="E22" s="538">
        <f>788*8.5*1.5008</f>
        <v>10052.36</v>
      </c>
      <c r="F22" s="41" t="s">
        <v>109</v>
      </c>
      <c r="G22" s="133"/>
      <c r="I22" s="138"/>
    </row>
    <row r="23" spans="1:9" s="136" customFormat="1" ht="15.95" customHeight="1" x14ac:dyDescent="0.2">
      <c r="B23" s="41">
        <v>2355</v>
      </c>
      <c r="C23" s="105" t="s">
        <v>98</v>
      </c>
      <c r="D23" s="41" t="s">
        <v>13</v>
      </c>
      <c r="E23" s="538">
        <f>23.62/1.8975*1.5008*220</f>
        <v>4110.0200000000004</v>
      </c>
      <c r="F23" s="41" t="s">
        <v>109</v>
      </c>
      <c r="G23" s="133"/>
      <c r="I23" s="138"/>
    </row>
    <row r="24" spans="1:9" s="136" customFormat="1" ht="15.95" customHeight="1" x14ac:dyDescent="0.2">
      <c r="B24" s="41">
        <v>7592</v>
      </c>
      <c r="C24" s="103" t="s">
        <v>99</v>
      </c>
      <c r="D24" s="42" t="s">
        <v>41</v>
      </c>
      <c r="E24" s="539">
        <v>14</v>
      </c>
      <c r="F24" s="42" t="s">
        <v>109</v>
      </c>
      <c r="G24" s="128"/>
      <c r="I24" s="138"/>
    </row>
    <row r="25" spans="1:9" s="136" customFormat="1" ht="15.95" customHeight="1" x14ac:dyDescent="0.2">
      <c r="B25" s="41">
        <v>244</v>
      </c>
      <c r="C25" s="103" t="s">
        <v>100</v>
      </c>
      <c r="D25" s="42" t="s">
        <v>41</v>
      </c>
      <c r="E25" s="539">
        <v>10.53</v>
      </c>
      <c r="F25" s="42" t="s">
        <v>109</v>
      </c>
      <c r="G25" s="128"/>
      <c r="I25" s="138"/>
    </row>
    <row r="26" spans="1:9" s="136" customFormat="1" ht="15.95" customHeight="1" x14ac:dyDescent="0.2">
      <c r="B26" s="41">
        <v>247</v>
      </c>
      <c r="C26" s="103" t="s">
        <v>298</v>
      </c>
      <c r="D26" s="42" t="s">
        <v>41</v>
      </c>
      <c r="E26" s="539">
        <v>7.81</v>
      </c>
      <c r="F26" s="42" t="s">
        <v>109</v>
      </c>
      <c r="G26" s="128"/>
      <c r="I26" s="138"/>
    </row>
    <row r="27" spans="1:9" s="136" customFormat="1" ht="15.95" customHeight="1" x14ac:dyDescent="0.2">
      <c r="B27" s="41">
        <v>4243</v>
      </c>
      <c r="C27" s="103" t="s">
        <v>560</v>
      </c>
      <c r="D27" s="42" t="s">
        <v>41</v>
      </c>
      <c r="E27" s="539">
        <v>20.98</v>
      </c>
      <c r="F27" s="42" t="s">
        <v>109</v>
      </c>
      <c r="G27" s="128"/>
      <c r="I27" s="138"/>
    </row>
    <row r="28" spans="1:9" s="136" customFormat="1" ht="15.95" customHeight="1" x14ac:dyDescent="0.2">
      <c r="A28" s="155">
        <v>1</v>
      </c>
      <c r="B28" s="41">
        <v>4221</v>
      </c>
      <c r="C28" s="101" t="s">
        <v>111</v>
      </c>
      <c r="D28" s="39" t="s">
        <v>86</v>
      </c>
      <c r="E28" s="538">
        <v>2.77</v>
      </c>
      <c r="F28" s="40" t="s">
        <v>109</v>
      </c>
      <c r="G28" s="133"/>
      <c r="I28" s="138"/>
    </row>
    <row r="29" spans="1:9" s="136" customFormat="1" ht="15.95" customHeight="1" x14ac:dyDescent="0.2">
      <c r="A29" s="155">
        <v>1</v>
      </c>
      <c r="B29" s="41">
        <v>4227</v>
      </c>
      <c r="C29" s="101" t="s">
        <v>145</v>
      </c>
      <c r="D29" s="39" t="s">
        <v>86</v>
      </c>
      <c r="E29" s="538">
        <v>13</v>
      </c>
      <c r="F29" s="40" t="s">
        <v>109</v>
      </c>
      <c r="G29" s="133"/>
      <c r="I29" s="138"/>
    </row>
    <row r="30" spans="1:9" s="136" customFormat="1" ht="15.95" customHeight="1" x14ac:dyDescent="0.2">
      <c r="A30" s="155">
        <v>1</v>
      </c>
      <c r="B30" s="41">
        <v>5075</v>
      </c>
      <c r="C30" s="102" t="s">
        <v>112</v>
      </c>
      <c r="D30" s="39" t="s">
        <v>53</v>
      </c>
      <c r="E30" s="538">
        <v>7.44</v>
      </c>
      <c r="F30" s="40" t="s">
        <v>109</v>
      </c>
      <c r="G30" s="133"/>
      <c r="I30" s="138"/>
    </row>
    <row r="31" spans="1:9" s="174" customFormat="1" ht="15.95" customHeight="1" x14ac:dyDescent="0.2">
      <c r="A31" s="172"/>
      <c r="B31" s="182">
        <v>16</v>
      </c>
      <c r="C31" s="180" t="s">
        <v>138</v>
      </c>
      <c r="D31" s="181" t="s">
        <v>53</v>
      </c>
      <c r="E31" s="538">
        <v>4.42</v>
      </c>
      <c r="F31" s="40" t="s">
        <v>109</v>
      </c>
      <c r="G31" s="173"/>
      <c r="I31" s="175"/>
    </row>
    <row r="32" spans="1:9" s="136" customFormat="1" ht="15.95" customHeight="1" x14ac:dyDescent="0.2">
      <c r="A32" s="155">
        <v>2</v>
      </c>
      <c r="B32" s="41">
        <v>9869</v>
      </c>
      <c r="C32" s="102" t="s">
        <v>140</v>
      </c>
      <c r="D32" s="39" t="s">
        <v>113</v>
      </c>
      <c r="E32" s="538">
        <v>5.64</v>
      </c>
      <c r="F32" s="40" t="s">
        <v>109</v>
      </c>
      <c r="G32" s="133"/>
      <c r="I32" s="138"/>
    </row>
    <row r="33" spans="1:11" s="136" customFormat="1" ht="15.95" customHeight="1" x14ac:dyDescent="0.2">
      <c r="A33" s="155">
        <v>1</v>
      </c>
      <c r="B33" s="41">
        <v>122</v>
      </c>
      <c r="C33" s="102" t="s">
        <v>114</v>
      </c>
      <c r="D33" s="39" t="s">
        <v>143</v>
      </c>
      <c r="E33" s="538">
        <v>46.97</v>
      </c>
      <c r="F33" s="40" t="s">
        <v>109</v>
      </c>
      <c r="G33" s="133"/>
      <c r="I33" s="138"/>
    </row>
    <row r="34" spans="1:11" s="136" customFormat="1" ht="15.95" customHeight="1" x14ac:dyDescent="0.2">
      <c r="A34" s="155">
        <v>1</v>
      </c>
      <c r="B34" s="41">
        <v>1379</v>
      </c>
      <c r="C34" s="102" t="s">
        <v>618</v>
      </c>
      <c r="D34" s="39" t="s">
        <v>53</v>
      </c>
      <c r="E34" s="538">
        <v>0.5</v>
      </c>
      <c r="F34" s="40" t="s">
        <v>109</v>
      </c>
      <c r="G34" s="133"/>
      <c r="I34" s="138"/>
    </row>
    <row r="35" spans="1:11" s="136" customFormat="1" ht="15.95" customHeight="1" x14ac:dyDescent="0.2">
      <c r="A35" s="155">
        <v>1</v>
      </c>
      <c r="B35" s="41">
        <v>4721</v>
      </c>
      <c r="C35" s="104" t="s">
        <v>169</v>
      </c>
      <c r="D35" s="39" t="s">
        <v>23</v>
      </c>
      <c r="E35" s="538">
        <v>62</v>
      </c>
      <c r="F35" s="40" t="s">
        <v>109</v>
      </c>
      <c r="G35" s="133"/>
      <c r="I35" s="138"/>
    </row>
    <row r="36" spans="1:11" s="136" customFormat="1" ht="15.95" customHeight="1" x14ac:dyDescent="0.2">
      <c r="A36" s="155">
        <v>1</v>
      </c>
      <c r="B36" s="41">
        <v>4718</v>
      </c>
      <c r="C36" s="103" t="s">
        <v>120</v>
      </c>
      <c r="D36" s="39" t="s">
        <v>23</v>
      </c>
      <c r="E36" s="538">
        <v>62</v>
      </c>
      <c r="F36" s="40" t="s">
        <v>109</v>
      </c>
      <c r="G36" s="133"/>
      <c r="I36" s="138"/>
    </row>
    <row r="37" spans="1:11" s="136" customFormat="1" ht="15.95" customHeight="1" x14ac:dyDescent="0.2">
      <c r="A37" s="155">
        <v>1</v>
      </c>
      <c r="B37" s="39">
        <v>367</v>
      </c>
      <c r="C37" s="102" t="s">
        <v>115</v>
      </c>
      <c r="D37" s="39" t="s">
        <v>23</v>
      </c>
      <c r="E37" s="538">
        <v>59</v>
      </c>
      <c r="F37" s="40" t="s">
        <v>109</v>
      </c>
      <c r="G37" s="133"/>
      <c r="I37" s="138"/>
    </row>
    <row r="38" spans="1:11" s="136" customFormat="1" ht="15.95" customHeight="1" x14ac:dyDescent="0.2">
      <c r="A38" s="155"/>
      <c r="B38" s="39">
        <v>370</v>
      </c>
      <c r="C38" s="102" t="s">
        <v>556</v>
      </c>
      <c r="D38" s="39" t="s">
        <v>23</v>
      </c>
      <c r="E38" s="538">
        <v>48</v>
      </c>
      <c r="F38" s="40" t="s">
        <v>109</v>
      </c>
      <c r="G38" s="133"/>
      <c r="I38" s="138"/>
    </row>
    <row r="39" spans="1:11" s="136" customFormat="1" ht="15.95" customHeight="1" x14ac:dyDescent="0.2">
      <c r="A39" s="155">
        <v>1</v>
      </c>
      <c r="B39" s="39">
        <v>404</v>
      </c>
      <c r="C39" s="102" t="s">
        <v>116</v>
      </c>
      <c r="D39" s="39" t="s">
        <v>19</v>
      </c>
      <c r="E39" s="538">
        <v>0.9</v>
      </c>
      <c r="F39" s="40" t="s">
        <v>109</v>
      </c>
      <c r="G39" s="133"/>
      <c r="I39" s="138"/>
    </row>
    <row r="40" spans="1:11" s="136" customFormat="1" ht="15.95" customHeight="1" x14ac:dyDescent="0.2">
      <c r="A40" s="155">
        <v>1</v>
      </c>
      <c r="B40" s="41">
        <v>3146</v>
      </c>
      <c r="C40" s="102" t="s">
        <v>117</v>
      </c>
      <c r="D40" s="41" t="s">
        <v>143</v>
      </c>
      <c r="E40" s="538">
        <v>2.6</v>
      </c>
      <c r="F40" s="40" t="s">
        <v>109</v>
      </c>
      <c r="G40" s="133"/>
      <c r="I40" s="138"/>
    </row>
    <row r="41" spans="1:11" s="136" customFormat="1" ht="15.95" customHeight="1" x14ac:dyDescent="0.2">
      <c r="A41" s="155">
        <v>1</v>
      </c>
      <c r="B41" s="41">
        <v>10742</v>
      </c>
      <c r="C41" s="103" t="s">
        <v>293</v>
      </c>
      <c r="D41" s="41" t="s">
        <v>143</v>
      </c>
      <c r="E41" s="538">
        <v>1049</v>
      </c>
      <c r="F41" s="40" t="s">
        <v>109</v>
      </c>
      <c r="G41" s="133"/>
      <c r="H41" s="47"/>
      <c r="I41" s="138"/>
    </row>
    <row r="42" spans="1:11" s="174" customFormat="1" ht="28.5" customHeight="1" x14ac:dyDescent="0.2">
      <c r="A42" s="172"/>
      <c r="B42" s="182">
        <v>10587</v>
      </c>
      <c r="C42" s="190" t="s">
        <v>545</v>
      </c>
      <c r="D42" s="186" t="s">
        <v>143</v>
      </c>
      <c r="E42" s="540">
        <v>2057.5500000000002</v>
      </c>
      <c r="F42" s="188" t="s">
        <v>109</v>
      </c>
      <c r="G42" s="173"/>
      <c r="I42" s="175"/>
    </row>
    <row r="43" spans="1:11" s="174" customFormat="1" ht="27" customHeight="1" x14ac:dyDescent="0.2">
      <c r="A43" s="172">
        <v>1</v>
      </c>
      <c r="B43" s="186"/>
      <c r="C43" s="180" t="s">
        <v>196</v>
      </c>
      <c r="D43" s="181" t="s">
        <v>19</v>
      </c>
      <c r="E43" s="538">
        <v>16.66</v>
      </c>
      <c r="F43" s="188" t="s">
        <v>126</v>
      </c>
      <c r="G43" s="173"/>
      <c r="H43" s="176"/>
      <c r="I43" s="177"/>
      <c r="J43" s="178"/>
    </row>
    <row r="44" spans="1:11" s="136" customFormat="1" ht="15.95" customHeight="1" x14ac:dyDescent="0.2">
      <c r="A44" s="155">
        <v>1</v>
      </c>
      <c r="B44" s="41">
        <v>643</v>
      </c>
      <c r="C44" s="98" t="s">
        <v>71</v>
      </c>
      <c r="D44" s="39" t="s">
        <v>41</v>
      </c>
      <c r="E44" s="538">
        <v>1.98</v>
      </c>
      <c r="F44" s="40" t="s">
        <v>109</v>
      </c>
      <c r="G44" s="140"/>
      <c r="H44" s="137"/>
      <c r="I44" s="135"/>
      <c r="J44" s="137"/>
      <c r="K44" s="137"/>
    </row>
    <row r="45" spans="1:11" s="136" customFormat="1" ht="36.75" customHeight="1" x14ac:dyDescent="0.2">
      <c r="A45" s="155">
        <v>1</v>
      </c>
      <c r="B45" s="41">
        <v>4102</v>
      </c>
      <c r="C45" s="102" t="s">
        <v>549</v>
      </c>
      <c r="D45" s="41" t="s">
        <v>143</v>
      </c>
      <c r="E45" s="538">
        <v>32.4</v>
      </c>
      <c r="F45" s="40" t="s">
        <v>109</v>
      </c>
      <c r="G45" s="133"/>
      <c r="H45" s="137"/>
      <c r="I45" s="138"/>
    </row>
    <row r="46" spans="1:11" s="136" customFormat="1" ht="43.5" customHeight="1" x14ac:dyDescent="0.2">
      <c r="A46" s="155">
        <v>1</v>
      </c>
      <c r="B46" s="41">
        <v>4114</v>
      </c>
      <c r="C46" s="98" t="s">
        <v>550</v>
      </c>
      <c r="D46" s="41" t="s">
        <v>143</v>
      </c>
      <c r="E46" s="538">
        <v>32.17</v>
      </c>
      <c r="F46" s="40" t="s">
        <v>109</v>
      </c>
      <c r="G46" s="133"/>
      <c r="I46" s="138"/>
    </row>
    <row r="47" spans="1:11" s="136" customFormat="1" ht="15.95" customHeight="1" x14ac:dyDescent="0.2">
      <c r="A47" s="155"/>
      <c r="B47" s="41">
        <v>340</v>
      </c>
      <c r="C47" s="106" t="s">
        <v>175</v>
      </c>
      <c r="D47" s="39" t="s">
        <v>19</v>
      </c>
      <c r="E47" s="538">
        <v>0.7</v>
      </c>
      <c r="F47" s="40" t="s">
        <v>109</v>
      </c>
      <c r="G47" s="133"/>
      <c r="I47" s="138"/>
    </row>
    <row r="48" spans="1:11" s="136" customFormat="1" ht="15.95" customHeight="1" x14ac:dyDescent="0.2">
      <c r="A48" s="155">
        <v>1</v>
      </c>
      <c r="B48" s="41" t="s">
        <v>118</v>
      </c>
      <c r="C48" s="98" t="s">
        <v>119</v>
      </c>
      <c r="D48" s="39" t="s">
        <v>53</v>
      </c>
      <c r="E48" s="538">
        <v>4.1500000000000004</v>
      </c>
      <c r="F48" s="40" t="s">
        <v>109</v>
      </c>
      <c r="G48" s="133"/>
      <c r="I48" s="138"/>
      <c r="J48" s="141"/>
    </row>
    <row r="49" spans="1:9" s="136" customFormat="1" ht="15.95" customHeight="1" x14ac:dyDescent="0.2">
      <c r="A49" s="155">
        <v>1</v>
      </c>
      <c r="B49" s="41">
        <v>12775</v>
      </c>
      <c r="C49" s="103" t="s">
        <v>193</v>
      </c>
      <c r="D49" s="41" t="s">
        <v>143</v>
      </c>
      <c r="E49" s="538">
        <v>337.71</v>
      </c>
      <c r="F49" s="40" t="s">
        <v>109</v>
      </c>
      <c r="G49" s="133"/>
      <c r="I49" s="138"/>
    </row>
    <row r="50" spans="1:9" s="136" customFormat="1" ht="15.95" customHeight="1" x14ac:dyDescent="0.2">
      <c r="A50" s="155">
        <v>1</v>
      </c>
      <c r="B50" s="41">
        <v>11831</v>
      </c>
      <c r="C50" s="103" t="s">
        <v>84</v>
      </c>
      <c r="D50" s="41" t="s">
        <v>143</v>
      </c>
      <c r="E50" s="538">
        <v>16.55</v>
      </c>
      <c r="F50" s="40" t="s">
        <v>109</v>
      </c>
      <c r="G50" s="133"/>
      <c r="I50" s="138"/>
    </row>
    <row r="51" spans="1:9" s="136" customFormat="1" ht="25.5" customHeight="1" x14ac:dyDescent="0.2">
      <c r="A51" s="155"/>
      <c r="B51" s="41">
        <v>71</v>
      </c>
      <c r="C51" s="103" t="s">
        <v>194</v>
      </c>
      <c r="D51" s="55" t="s">
        <v>143</v>
      </c>
      <c r="E51" s="538">
        <v>15.58</v>
      </c>
      <c r="F51" s="40" t="s">
        <v>109</v>
      </c>
      <c r="G51" s="133"/>
      <c r="I51" s="138"/>
    </row>
    <row r="52" spans="1:9" s="136" customFormat="1" ht="15.95" customHeight="1" x14ac:dyDescent="0.2">
      <c r="A52" s="155">
        <v>1</v>
      </c>
      <c r="B52" s="41">
        <v>2692</v>
      </c>
      <c r="C52" s="103" t="s">
        <v>85</v>
      </c>
      <c r="D52" s="39" t="s">
        <v>86</v>
      </c>
      <c r="E52" s="538">
        <v>5.1100000000000003</v>
      </c>
      <c r="F52" s="40" t="s">
        <v>109</v>
      </c>
      <c r="G52" s="133"/>
      <c r="I52" s="138"/>
    </row>
    <row r="53" spans="1:9" s="136" customFormat="1" ht="15.95" customHeight="1" x14ac:dyDescent="0.2">
      <c r="A53" s="155">
        <v>1</v>
      </c>
      <c r="B53" s="41">
        <v>20078</v>
      </c>
      <c r="C53" s="103" t="s">
        <v>546</v>
      </c>
      <c r="D53" s="41" t="s">
        <v>143</v>
      </c>
      <c r="E53" s="538">
        <v>17.2</v>
      </c>
      <c r="F53" s="40" t="s">
        <v>109</v>
      </c>
      <c r="G53" s="133"/>
      <c r="I53" s="138"/>
    </row>
    <row r="54" spans="1:9" s="136" customFormat="1" ht="15.95" customHeight="1" x14ac:dyDescent="0.2">
      <c r="A54" s="155">
        <v>1</v>
      </c>
      <c r="B54" s="41">
        <v>1160</v>
      </c>
      <c r="C54" s="103" t="s">
        <v>547</v>
      </c>
      <c r="D54" s="39" t="s">
        <v>41</v>
      </c>
      <c r="E54" s="538">
        <v>15.78</v>
      </c>
      <c r="F54" s="40" t="s">
        <v>109</v>
      </c>
      <c r="G54" s="133"/>
      <c r="I54" s="138"/>
    </row>
    <row r="55" spans="1:9" s="136" customFormat="1" ht="15.95" customHeight="1" x14ac:dyDescent="0.2">
      <c r="A55" s="155">
        <v>1</v>
      </c>
      <c r="B55" s="41">
        <v>6188</v>
      </c>
      <c r="C55" s="98" t="s">
        <v>176</v>
      </c>
      <c r="D55" s="39" t="s">
        <v>52</v>
      </c>
      <c r="E55" s="538">
        <v>18.09</v>
      </c>
      <c r="F55" s="40" t="s">
        <v>109</v>
      </c>
      <c r="G55" s="133"/>
      <c r="I55" s="138"/>
    </row>
    <row r="56" spans="1:9" s="136" customFormat="1" ht="15.95" customHeight="1" x14ac:dyDescent="0.2">
      <c r="A56" s="155"/>
      <c r="B56" s="41">
        <v>26047</v>
      </c>
      <c r="C56" s="98" t="s">
        <v>147</v>
      </c>
      <c r="D56" s="41" t="s">
        <v>143</v>
      </c>
      <c r="E56" s="538">
        <v>48.73</v>
      </c>
      <c r="F56" s="40" t="s">
        <v>109</v>
      </c>
      <c r="G56" s="128"/>
      <c r="I56" s="138"/>
    </row>
    <row r="57" spans="1:9" s="136" customFormat="1" ht="15.95" customHeight="1" x14ac:dyDescent="0.2">
      <c r="A57" s="155"/>
      <c r="B57" s="42">
        <v>318</v>
      </c>
      <c r="C57" s="101" t="s">
        <v>148</v>
      </c>
      <c r="D57" s="41" t="s">
        <v>143</v>
      </c>
      <c r="E57" s="538">
        <v>11.1</v>
      </c>
      <c r="F57" s="40" t="s">
        <v>109</v>
      </c>
      <c r="G57" s="133"/>
      <c r="H57" s="139"/>
      <c r="I57" s="138"/>
    </row>
    <row r="58" spans="1:9" s="174" customFormat="1" ht="15.95" customHeight="1" x14ac:dyDescent="0.2">
      <c r="A58" s="172"/>
      <c r="B58" s="186">
        <v>9854</v>
      </c>
      <c r="C58" s="187" t="s">
        <v>146</v>
      </c>
      <c r="D58" s="181" t="s">
        <v>19</v>
      </c>
      <c r="E58" s="538">
        <v>74.81</v>
      </c>
      <c r="F58" s="40" t="s">
        <v>109</v>
      </c>
      <c r="G58" s="173"/>
      <c r="H58" s="179"/>
      <c r="I58" s="175"/>
    </row>
    <row r="59" spans="1:9" s="136" customFormat="1" ht="28.5" customHeight="1" x14ac:dyDescent="0.2">
      <c r="A59" s="155">
        <v>1</v>
      </c>
      <c r="B59" s="41" t="s">
        <v>122</v>
      </c>
      <c r="C59" s="101" t="s">
        <v>173</v>
      </c>
      <c r="D59" s="39" t="s">
        <v>41</v>
      </c>
      <c r="E59" s="538">
        <v>67.5</v>
      </c>
      <c r="F59" s="40" t="s">
        <v>109</v>
      </c>
      <c r="G59" s="133"/>
      <c r="I59" s="138"/>
    </row>
    <row r="60" spans="1:9" s="136" customFormat="1" ht="15.95" customHeight="1" x14ac:dyDescent="0.2">
      <c r="A60" s="155">
        <v>1</v>
      </c>
      <c r="B60" s="41">
        <v>4778</v>
      </c>
      <c r="C60" s="104" t="s">
        <v>123</v>
      </c>
      <c r="D60" s="42" t="s">
        <v>41</v>
      </c>
      <c r="E60" s="539">
        <v>3.17</v>
      </c>
      <c r="F60" s="42" t="s">
        <v>109</v>
      </c>
      <c r="G60" s="142"/>
      <c r="H60" s="143"/>
      <c r="I60" s="138"/>
    </row>
    <row r="61" spans="1:9" s="136" customFormat="1" ht="15.95" customHeight="1" x14ac:dyDescent="0.2">
      <c r="A61" s="136">
        <v>1</v>
      </c>
      <c r="B61" s="41">
        <v>4778</v>
      </c>
      <c r="C61" s="104" t="s">
        <v>124</v>
      </c>
      <c r="D61" s="42" t="s">
        <v>41</v>
      </c>
      <c r="E61" s="539">
        <v>3.17</v>
      </c>
      <c r="F61" s="42" t="s">
        <v>109</v>
      </c>
      <c r="G61" s="142"/>
      <c r="I61" s="138"/>
    </row>
    <row r="62" spans="1:9" s="136" customFormat="1" ht="15.95" customHeight="1" x14ac:dyDescent="0.2">
      <c r="A62" s="136">
        <v>1</v>
      </c>
      <c r="B62" s="41">
        <v>1508</v>
      </c>
      <c r="C62" s="107" t="s">
        <v>125</v>
      </c>
      <c r="D62" s="41" t="s">
        <v>41</v>
      </c>
      <c r="E62" s="539">
        <v>9.44</v>
      </c>
      <c r="F62" s="41" t="s">
        <v>109</v>
      </c>
      <c r="G62" s="142"/>
      <c r="I62" s="138"/>
    </row>
    <row r="63" spans="1:9" s="136" customFormat="1" ht="29.25" customHeight="1" x14ac:dyDescent="0.2">
      <c r="A63" s="157">
        <v>1</v>
      </c>
      <c r="B63" s="191">
        <v>37105</v>
      </c>
      <c r="C63" s="98" t="s">
        <v>216</v>
      </c>
      <c r="D63" s="42" t="s">
        <v>143</v>
      </c>
      <c r="E63" s="542">
        <v>1536.44</v>
      </c>
      <c r="F63" s="41" t="s">
        <v>109</v>
      </c>
      <c r="G63" s="142"/>
      <c r="I63" s="138"/>
    </row>
    <row r="64" spans="1:9" s="136" customFormat="1" ht="15.95" customHeight="1" x14ac:dyDescent="0.2">
      <c r="A64" s="157"/>
      <c r="B64" s="41">
        <v>2674</v>
      </c>
      <c r="C64" s="107" t="s">
        <v>166</v>
      </c>
      <c r="D64" s="41" t="s">
        <v>19</v>
      </c>
      <c r="E64" s="539">
        <v>2.3199999999999998</v>
      </c>
      <c r="F64" s="41" t="s">
        <v>109</v>
      </c>
      <c r="G64" s="133"/>
      <c r="I64" s="138"/>
    </row>
    <row r="65" spans="1:9" s="136" customFormat="1" ht="15.95" customHeight="1" x14ac:dyDescent="0.2">
      <c r="A65" s="157">
        <v>1</v>
      </c>
      <c r="B65" s="41">
        <v>3380</v>
      </c>
      <c r="C65" s="108" t="s">
        <v>159</v>
      </c>
      <c r="D65" s="41" t="s">
        <v>143</v>
      </c>
      <c r="E65" s="539">
        <v>34.69</v>
      </c>
      <c r="F65" s="41" t="s">
        <v>109</v>
      </c>
      <c r="G65" s="142"/>
      <c r="I65" s="138"/>
    </row>
    <row r="66" spans="1:9" s="136" customFormat="1" ht="15.95" customHeight="1" x14ac:dyDescent="0.2">
      <c r="A66" s="157">
        <v>1</v>
      </c>
      <c r="B66" s="41">
        <v>1021</v>
      </c>
      <c r="C66" s="107" t="s">
        <v>127</v>
      </c>
      <c r="D66" s="41" t="s">
        <v>19</v>
      </c>
      <c r="E66" s="539">
        <v>3.53</v>
      </c>
      <c r="F66" s="41" t="s">
        <v>109</v>
      </c>
      <c r="G66" s="142"/>
      <c r="I66" s="138"/>
    </row>
    <row r="67" spans="1:9" s="174" customFormat="1" ht="15.95" customHeight="1" x14ac:dyDescent="0.2">
      <c r="A67" s="185">
        <v>1</v>
      </c>
      <c r="B67" s="191" t="s">
        <v>211</v>
      </c>
      <c r="C67" s="187" t="s">
        <v>213</v>
      </c>
      <c r="D67" s="186" t="s">
        <v>143</v>
      </c>
      <c r="E67" s="539">
        <v>39.020000000000003</v>
      </c>
      <c r="F67" s="186" t="s">
        <v>210</v>
      </c>
      <c r="G67" s="183"/>
      <c r="H67" s="179"/>
      <c r="I67" s="175"/>
    </row>
    <row r="68" spans="1:9" s="174" customFormat="1" ht="15.95" customHeight="1" x14ac:dyDescent="0.2">
      <c r="A68" s="185">
        <v>1</v>
      </c>
      <c r="B68" s="191" t="s">
        <v>212</v>
      </c>
      <c r="C68" s="187" t="s">
        <v>214</v>
      </c>
      <c r="D68" s="186" t="s">
        <v>143</v>
      </c>
      <c r="E68" s="539">
        <v>137</v>
      </c>
      <c r="F68" s="186" t="s">
        <v>210</v>
      </c>
      <c r="G68" s="183"/>
      <c r="H68" s="179"/>
      <c r="I68" s="175"/>
    </row>
    <row r="69" spans="1:9" s="136" customFormat="1" ht="15.95" customHeight="1" x14ac:dyDescent="0.2">
      <c r="A69" s="157"/>
      <c r="B69" s="41">
        <v>1879</v>
      </c>
      <c r="C69" s="98" t="s">
        <v>294</v>
      </c>
      <c r="D69" s="41" t="s">
        <v>143</v>
      </c>
      <c r="E69" s="539">
        <v>3.29</v>
      </c>
      <c r="F69" s="41" t="s">
        <v>109</v>
      </c>
      <c r="G69" s="142"/>
      <c r="H69" s="144"/>
      <c r="I69" s="138"/>
    </row>
    <row r="70" spans="1:9" s="136" customFormat="1" ht="15.95" customHeight="1" x14ac:dyDescent="0.2">
      <c r="A70" s="157"/>
      <c r="B70" s="41">
        <v>12033</v>
      </c>
      <c r="C70" s="98" t="s">
        <v>128</v>
      </c>
      <c r="D70" s="41" t="s">
        <v>143</v>
      </c>
      <c r="E70" s="539">
        <v>13.42</v>
      </c>
      <c r="F70" s="41" t="s">
        <v>109</v>
      </c>
      <c r="G70" s="142"/>
      <c r="H70" s="144"/>
      <c r="I70" s="138"/>
    </row>
    <row r="71" spans="1:9" s="174" customFormat="1" ht="15.95" customHeight="1" x14ac:dyDescent="0.2">
      <c r="B71" s="186" t="s">
        <v>129</v>
      </c>
      <c r="C71" s="187" t="s">
        <v>165</v>
      </c>
      <c r="D71" s="186" t="s">
        <v>143</v>
      </c>
      <c r="E71" s="539">
        <f>256.76+342.34</f>
        <v>599.1</v>
      </c>
      <c r="F71" s="186" t="s">
        <v>129</v>
      </c>
      <c r="G71" s="183"/>
      <c r="H71" s="184"/>
      <c r="I71" s="175"/>
    </row>
    <row r="72" spans="1:9" s="136" customFormat="1" ht="15.95" customHeight="1" x14ac:dyDescent="0.2">
      <c r="B72" s="41">
        <v>3879</v>
      </c>
      <c r="C72" s="98" t="s">
        <v>156</v>
      </c>
      <c r="D72" s="41" t="s">
        <v>143</v>
      </c>
      <c r="E72" s="539">
        <v>8.7899999999999991</v>
      </c>
      <c r="F72" s="41" t="s">
        <v>109</v>
      </c>
      <c r="G72" s="142"/>
      <c r="H72" s="144"/>
      <c r="I72" s="138"/>
    </row>
    <row r="73" spans="1:9" s="136" customFormat="1" ht="15.95" customHeight="1" x14ac:dyDescent="0.2">
      <c r="B73" s="41">
        <v>11677</v>
      </c>
      <c r="C73" s="98" t="s">
        <v>72</v>
      </c>
      <c r="D73" s="41" t="s">
        <v>143</v>
      </c>
      <c r="E73" s="539">
        <v>34.49</v>
      </c>
      <c r="F73" s="42" t="s">
        <v>109</v>
      </c>
      <c r="G73" s="142"/>
      <c r="H73" s="144"/>
      <c r="I73" s="138"/>
    </row>
    <row r="74" spans="1:9" s="136" customFormat="1" ht="15.95" customHeight="1" x14ac:dyDescent="0.2">
      <c r="B74" s="41">
        <v>1798</v>
      </c>
      <c r="C74" s="98" t="s">
        <v>130</v>
      </c>
      <c r="D74" s="41" t="s">
        <v>143</v>
      </c>
      <c r="E74" s="539">
        <v>50.8</v>
      </c>
      <c r="F74" s="41" t="s">
        <v>109</v>
      </c>
      <c r="G74" s="142"/>
      <c r="H74" s="144"/>
      <c r="I74" s="138"/>
    </row>
    <row r="75" spans="1:9" s="136" customFormat="1" ht="15.95" customHeight="1" x14ac:dyDescent="0.2">
      <c r="B75" s="41">
        <v>113</v>
      </c>
      <c r="C75" s="98" t="s">
        <v>215</v>
      </c>
      <c r="D75" s="41" t="s">
        <v>143</v>
      </c>
      <c r="E75" s="539">
        <v>9.27</v>
      </c>
      <c r="F75" s="41" t="s">
        <v>109</v>
      </c>
      <c r="G75" s="142"/>
      <c r="H75" s="144"/>
      <c r="I75" s="138"/>
    </row>
    <row r="76" spans="1:9" s="136" customFormat="1" ht="15.95" customHeight="1" x14ac:dyDescent="0.2">
      <c r="B76" s="41">
        <v>3912</v>
      </c>
      <c r="C76" s="107" t="s">
        <v>74</v>
      </c>
      <c r="D76" s="41" t="s">
        <v>143</v>
      </c>
      <c r="E76" s="539">
        <v>13.99</v>
      </c>
      <c r="F76" s="41" t="s">
        <v>109</v>
      </c>
      <c r="G76" s="142"/>
      <c r="H76" s="144"/>
      <c r="I76" s="138"/>
    </row>
    <row r="77" spans="1:9" s="136" customFormat="1" ht="15.95" customHeight="1" x14ac:dyDescent="0.2">
      <c r="B77" s="41">
        <v>3508</v>
      </c>
      <c r="C77" s="105" t="s">
        <v>155</v>
      </c>
      <c r="D77" s="41" t="s">
        <v>143</v>
      </c>
      <c r="E77" s="539">
        <v>19.899999999999999</v>
      </c>
      <c r="F77" s="41" t="s">
        <v>109</v>
      </c>
      <c r="G77" s="142"/>
      <c r="H77" s="144"/>
      <c r="I77" s="138"/>
    </row>
    <row r="78" spans="1:9" s="136" customFormat="1" ht="12.75" customHeight="1" x14ac:dyDescent="0.2">
      <c r="B78" s="41">
        <v>4222</v>
      </c>
      <c r="C78" s="107" t="s">
        <v>178</v>
      </c>
      <c r="D78" s="39" t="s">
        <v>86</v>
      </c>
      <c r="E78" s="539">
        <v>3.44</v>
      </c>
      <c r="F78" s="41" t="s">
        <v>109</v>
      </c>
      <c r="G78" s="142"/>
      <c r="H78" s="144"/>
      <c r="I78" s="138"/>
    </row>
    <row r="79" spans="1:9" s="136" customFormat="1" ht="28.5" customHeight="1" x14ac:dyDescent="0.2">
      <c r="B79" s="41">
        <v>550</v>
      </c>
      <c r="C79" s="111" t="s">
        <v>161</v>
      </c>
      <c r="D79" s="59" t="s">
        <v>53</v>
      </c>
      <c r="E79" s="539">
        <v>4.5</v>
      </c>
      <c r="F79" s="41" t="s">
        <v>109</v>
      </c>
      <c r="G79" s="142"/>
      <c r="H79" s="144"/>
      <c r="I79" s="138"/>
    </row>
    <row r="80" spans="1:9" s="136" customFormat="1" ht="15.95" customHeight="1" x14ac:dyDescent="0.2">
      <c r="B80" s="41">
        <v>557</v>
      </c>
      <c r="C80" s="146" t="s">
        <v>162</v>
      </c>
      <c r="D80" s="112" t="s">
        <v>19</v>
      </c>
      <c r="E80" s="539">
        <v>17.27</v>
      </c>
      <c r="F80" s="41" t="s">
        <v>109</v>
      </c>
      <c r="G80" s="142"/>
      <c r="H80" s="144"/>
      <c r="I80" s="138"/>
    </row>
    <row r="81" spans="1:17" s="136" customFormat="1" ht="27.75" customHeight="1" x14ac:dyDescent="0.2">
      <c r="B81" s="41">
        <v>5089</v>
      </c>
      <c r="C81" s="146" t="s">
        <v>163</v>
      </c>
      <c r="D81" s="41" t="s">
        <v>143</v>
      </c>
      <c r="E81" s="539">
        <v>23.18</v>
      </c>
      <c r="F81" s="41" t="s">
        <v>109</v>
      </c>
      <c r="G81" s="142"/>
      <c r="H81" s="144"/>
      <c r="I81" s="138"/>
    </row>
    <row r="82" spans="1:17" s="136" customFormat="1" ht="27.75" customHeight="1" x14ac:dyDescent="0.2">
      <c r="B82" s="41">
        <v>10932</v>
      </c>
      <c r="C82" s="146" t="s">
        <v>164</v>
      </c>
      <c r="D82" s="112" t="s">
        <v>52</v>
      </c>
      <c r="E82" s="539">
        <v>54.27</v>
      </c>
      <c r="F82" s="41" t="s">
        <v>109</v>
      </c>
      <c r="G82" s="142"/>
      <c r="H82" s="144"/>
      <c r="I82" s="138"/>
    </row>
    <row r="83" spans="1:17" s="136" customFormat="1" ht="15.95" customHeight="1" x14ac:dyDescent="0.2">
      <c r="A83" s="144"/>
      <c r="B83" s="41">
        <v>4229</v>
      </c>
      <c r="C83" s="107" t="s">
        <v>131</v>
      </c>
      <c r="D83" s="41" t="s">
        <v>87</v>
      </c>
      <c r="E83" s="539">
        <v>19.079999999999998</v>
      </c>
      <c r="F83" s="41" t="s">
        <v>109</v>
      </c>
      <c r="G83" s="145"/>
      <c r="H83" s="43"/>
      <c r="I83" s="138"/>
    </row>
    <row r="84" spans="1:17" s="136" customFormat="1" ht="24" customHeight="1" x14ac:dyDescent="0.2">
      <c r="B84" s="41">
        <v>10417</v>
      </c>
      <c r="C84" s="106" t="s">
        <v>132</v>
      </c>
      <c r="D84" s="41" t="s">
        <v>143</v>
      </c>
      <c r="E84" s="539">
        <v>82.88</v>
      </c>
      <c r="F84" s="42" t="s">
        <v>109</v>
      </c>
      <c r="G84" s="142"/>
      <c r="H84" s="144"/>
      <c r="I84" s="137"/>
      <c r="J84" s="137"/>
    </row>
    <row r="85" spans="1:17" s="174" customFormat="1" ht="59.25" customHeight="1" x14ac:dyDescent="0.2">
      <c r="B85" s="42"/>
      <c r="C85" s="106" t="s">
        <v>631</v>
      </c>
      <c r="D85" s="42" t="s">
        <v>143</v>
      </c>
      <c r="E85" s="539">
        <v>430</v>
      </c>
      <c r="F85" s="42" t="s">
        <v>126</v>
      </c>
      <c r="G85" s="183">
        <v>430</v>
      </c>
      <c r="H85" s="184"/>
      <c r="I85" s="175"/>
    </row>
    <row r="86" spans="1:17" s="136" customFormat="1" ht="15.95" customHeight="1" x14ac:dyDescent="0.2">
      <c r="B86" s="41">
        <v>5056</v>
      </c>
      <c r="C86" s="109" t="s">
        <v>93</v>
      </c>
      <c r="D86" s="41" t="s">
        <v>143</v>
      </c>
      <c r="E86" s="539">
        <v>732.97</v>
      </c>
      <c r="F86" s="41" t="s">
        <v>109</v>
      </c>
      <c r="G86" s="133"/>
      <c r="H86" s="113"/>
      <c r="I86" s="138"/>
    </row>
    <row r="87" spans="1:17" s="136" customFormat="1" ht="12.75" customHeight="1" x14ac:dyDescent="0.2">
      <c r="B87" s="41">
        <v>3398</v>
      </c>
      <c r="C87" s="109" t="s">
        <v>94</v>
      </c>
      <c r="D87" s="41" t="s">
        <v>143</v>
      </c>
      <c r="E87" s="539">
        <v>6.41</v>
      </c>
      <c r="F87" s="41" t="s">
        <v>109</v>
      </c>
      <c r="G87" s="133"/>
      <c r="H87" s="113"/>
      <c r="I87" s="138"/>
    </row>
    <row r="88" spans="1:17" s="136" customFormat="1" ht="27.75" customHeight="1" x14ac:dyDescent="0.2">
      <c r="B88" s="41">
        <v>1094</v>
      </c>
      <c r="C88" s="109" t="s">
        <v>167</v>
      </c>
      <c r="D88" s="41" t="s">
        <v>143</v>
      </c>
      <c r="E88" s="539">
        <v>22.95</v>
      </c>
      <c r="F88" s="41" t="s">
        <v>109</v>
      </c>
      <c r="G88" s="133"/>
      <c r="I88" s="138"/>
    </row>
    <row r="89" spans="1:17" s="136" customFormat="1" ht="15.95" customHeight="1" x14ac:dyDescent="0.2">
      <c r="B89" s="41">
        <v>4336</v>
      </c>
      <c r="C89" s="109" t="s">
        <v>95</v>
      </c>
      <c r="D89" s="41" t="s">
        <v>143</v>
      </c>
      <c r="E89" s="539">
        <v>2.42</v>
      </c>
      <c r="F89" s="41" t="s">
        <v>109</v>
      </c>
      <c r="G89" s="133"/>
      <c r="I89" s="138"/>
    </row>
    <row r="90" spans="1:17" s="37" customFormat="1" ht="15.95" customHeight="1" x14ac:dyDescent="0.2">
      <c r="B90" s="41">
        <v>841</v>
      </c>
      <c r="C90" s="109" t="s">
        <v>92</v>
      </c>
      <c r="D90" s="41" t="s">
        <v>87</v>
      </c>
      <c r="E90" s="539">
        <v>22.5</v>
      </c>
      <c r="F90" s="41" t="s">
        <v>109</v>
      </c>
      <c r="G90" s="133"/>
      <c r="H90" s="113"/>
      <c r="I90" s="114"/>
      <c r="J90" s="115"/>
      <c r="K90" s="116"/>
      <c r="L90" s="116"/>
      <c r="M90" s="116"/>
      <c r="N90" s="116"/>
      <c r="O90" s="117"/>
      <c r="P90" s="117"/>
      <c r="Q90" s="117"/>
    </row>
    <row r="91" spans="1:17" s="136" customFormat="1" ht="15.95" customHeight="1" x14ac:dyDescent="0.2">
      <c r="B91" s="41">
        <v>418</v>
      </c>
      <c r="C91" s="109" t="s">
        <v>96</v>
      </c>
      <c r="D91" s="41" t="s">
        <v>143</v>
      </c>
      <c r="E91" s="539">
        <v>3.88</v>
      </c>
      <c r="F91" s="41" t="s">
        <v>109</v>
      </c>
      <c r="G91" s="133"/>
      <c r="H91" s="118"/>
      <c r="I91" s="138"/>
    </row>
    <row r="92" spans="1:17" s="136" customFormat="1" ht="15.95" customHeight="1" x14ac:dyDescent="0.2">
      <c r="B92" s="41">
        <v>417</v>
      </c>
      <c r="C92" s="109" t="s">
        <v>297</v>
      </c>
      <c r="D92" s="41" t="s">
        <v>143</v>
      </c>
      <c r="E92" s="539">
        <v>3.88</v>
      </c>
      <c r="F92" s="41" t="s">
        <v>109</v>
      </c>
      <c r="G92" s="133"/>
      <c r="H92" s="118"/>
      <c r="I92" s="138"/>
    </row>
    <row r="93" spans="1:17" x14ac:dyDescent="0.2">
      <c r="B93" s="279">
        <v>31</v>
      </c>
      <c r="C93" s="280" t="s">
        <v>234</v>
      </c>
      <c r="D93" s="279" t="s">
        <v>53</v>
      </c>
      <c r="E93" s="539">
        <v>3.95</v>
      </c>
      <c r="F93" s="42" t="s">
        <v>109</v>
      </c>
    </row>
    <row r="94" spans="1:17" x14ac:dyDescent="0.2">
      <c r="B94" s="279">
        <v>36</v>
      </c>
      <c r="C94" s="280" t="s">
        <v>222</v>
      </c>
      <c r="D94" s="279" t="s">
        <v>53</v>
      </c>
      <c r="E94" s="539">
        <v>4.1100000000000003</v>
      </c>
      <c r="F94" s="42" t="s">
        <v>109</v>
      </c>
    </row>
    <row r="95" spans="1:17" x14ac:dyDescent="0.2">
      <c r="B95" s="282">
        <v>32</v>
      </c>
      <c r="C95" s="283" t="s">
        <v>235</v>
      </c>
      <c r="D95" s="282" t="s">
        <v>53</v>
      </c>
      <c r="E95" s="541">
        <v>4.3499999999999996</v>
      </c>
      <c r="F95" s="284" t="s">
        <v>109</v>
      </c>
    </row>
    <row r="96" spans="1:17" x14ac:dyDescent="0.2">
      <c r="B96" s="279">
        <v>39</v>
      </c>
      <c r="C96" s="285" t="s">
        <v>221</v>
      </c>
      <c r="D96" s="282" t="s">
        <v>53</v>
      </c>
      <c r="E96" s="541">
        <v>4.1100000000000003</v>
      </c>
      <c r="F96" s="284" t="s">
        <v>109</v>
      </c>
    </row>
    <row r="97" spans="2:6" ht="51" x14ac:dyDescent="0.2">
      <c r="B97" s="287">
        <v>7155</v>
      </c>
      <c r="C97" s="283" t="s">
        <v>223</v>
      </c>
      <c r="D97" s="287" t="s">
        <v>52</v>
      </c>
      <c r="E97" s="541">
        <v>17.739999999999998</v>
      </c>
      <c r="F97" s="287" t="s">
        <v>109</v>
      </c>
    </row>
    <row r="98" spans="2:6" ht="25.5" x14ac:dyDescent="0.2">
      <c r="B98" s="41">
        <v>73</v>
      </c>
      <c r="C98" s="106" t="s">
        <v>228</v>
      </c>
      <c r="D98" s="41" t="s">
        <v>143</v>
      </c>
      <c r="E98" s="539">
        <v>11.2</v>
      </c>
      <c r="F98" s="287" t="s">
        <v>109</v>
      </c>
    </row>
    <row r="99" spans="2:6" ht="25.5" x14ac:dyDescent="0.2">
      <c r="B99" s="41">
        <v>99</v>
      </c>
      <c r="C99" s="106" t="s">
        <v>229</v>
      </c>
      <c r="D99" s="41" t="s">
        <v>143</v>
      </c>
      <c r="E99" s="539">
        <v>30.99</v>
      </c>
      <c r="F99" s="287" t="s">
        <v>109</v>
      </c>
    </row>
    <row r="100" spans="2:6" x14ac:dyDescent="0.2">
      <c r="B100" s="41">
        <v>6031</v>
      </c>
      <c r="C100" s="106" t="s">
        <v>230</v>
      </c>
      <c r="D100" s="41" t="s">
        <v>143</v>
      </c>
      <c r="E100" s="539">
        <v>12.24</v>
      </c>
      <c r="F100" s="41" t="s">
        <v>109</v>
      </c>
    </row>
    <row r="101" spans="2:6" x14ac:dyDescent="0.2">
      <c r="B101" s="41">
        <v>7094</v>
      </c>
      <c r="C101" s="286" t="s">
        <v>231</v>
      </c>
      <c r="D101" s="41" t="s">
        <v>143</v>
      </c>
      <c r="E101" s="539">
        <v>7.54</v>
      </c>
      <c r="F101" s="41" t="s">
        <v>109</v>
      </c>
    </row>
    <row r="102" spans="2:6" ht="25.5" x14ac:dyDescent="0.2">
      <c r="B102" s="41">
        <v>7114</v>
      </c>
      <c r="C102" s="106" t="s">
        <v>232</v>
      </c>
      <c r="D102" s="41" t="s">
        <v>143</v>
      </c>
      <c r="E102" s="539">
        <v>16.75</v>
      </c>
      <c r="F102" s="41" t="s">
        <v>109</v>
      </c>
    </row>
    <row r="103" spans="2:6" x14ac:dyDescent="0.2">
      <c r="B103" s="279">
        <v>3767</v>
      </c>
      <c r="C103" s="306" t="s">
        <v>300</v>
      </c>
      <c r="D103" s="41" t="s">
        <v>143</v>
      </c>
      <c r="E103" s="539">
        <v>0.43</v>
      </c>
      <c r="F103" s="41" t="s">
        <v>109</v>
      </c>
    </row>
    <row r="104" spans="2:6" x14ac:dyDescent="0.2">
      <c r="B104" s="279">
        <v>7345</v>
      </c>
      <c r="C104" s="310" t="s">
        <v>301</v>
      </c>
      <c r="D104" s="279" t="s">
        <v>56</v>
      </c>
      <c r="E104" s="539">
        <v>13.11</v>
      </c>
      <c r="F104" s="41" t="s">
        <v>109</v>
      </c>
    </row>
    <row r="105" spans="2:6" x14ac:dyDescent="0.2">
      <c r="B105" s="279">
        <v>4783</v>
      </c>
      <c r="C105" s="317" t="s">
        <v>160</v>
      </c>
      <c r="D105" s="279" t="s">
        <v>41</v>
      </c>
      <c r="E105" s="539">
        <v>10.37</v>
      </c>
      <c r="F105" s="41" t="s">
        <v>109</v>
      </c>
    </row>
    <row r="106" spans="2:6" ht="38.25" x14ac:dyDescent="0.2">
      <c r="B106" s="42">
        <v>13845</v>
      </c>
      <c r="C106" s="189" t="s">
        <v>170</v>
      </c>
      <c r="D106" s="41" t="s">
        <v>143</v>
      </c>
      <c r="E106" s="539">
        <v>139.66999999999999</v>
      </c>
      <c r="F106" s="41" t="s">
        <v>109</v>
      </c>
    </row>
    <row r="107" spans="2:6" x14ac:dyDescent="0.2">
      <c r="B107" s="279">
        <v>378</v>
      </c>
      <c r="C107" s="281" t="s">
        <v>357</v>
      </c>
      <c r="D107" s="279" t="s">
        <v>41</v>
      </c>
      <c r="E107" s="539">
        <v>10.37</v>
      </c>
      <c r="F107" s="41" t="s">
        <v>109</v>
      </c>
    </row>
    <row r="108" spans="2:6" ht="24" customHeight="1" x14ac:dyDescent="0.2">
      <c r="B108" s="41">
        <v>344</v>
      </c>
      <c r="C108" s="332" t="s">
        <v>548</v>
      </c>
      <c r="D108" s="41" t="s">
        <v>53</v>
      </c>
      <c r="E108" s="539">
        <v>10.92</v>
      </c>
      <c r="F108" s="41" t="s">
        <v>109</v>
      </c>
    </row>
    <row r="109" spans="2:6" x14ac:dyDescent="0.2">
      <c r="B109" s="279">
        <v>10512</v>
      </c>
      <c r="C109" s="281" t="s">
        <v>553</v>
      </c>
      <c r="D109" s="279" t="s">
        <v>13</v>
      </c>
      <c r="E109" s="550">
        <v>2409.5700000000002</v>
      </c>
      <c r="F109" s="279" t="s">
        <v>109</v>
      </c>
    </row>
    <row r="110" spans="2:6" x14ac:dyDescent="0.2">
      <c r="B110" s="279">
        <v>1150</v>
      </c>
      <c r="C110" s="281" t="s">
        <v>552</v>
      </c>
      <c r="D110" s="41" t="s">
        <v>143</v>
      </c>
      <c r="E110" s="551">
        <v>176704.25</v>
      </c>
      <c r="F110" s="279" t="s">
        <v>109</v>
      </c>
    </row>
    <row r="111" spans="2:6" x14ac:dyDescent="0.2">
      <c r="B111" s="282">
        <v>3768</v>
      </c>
      <c r="C111" s="556" t="s">
        <v>554</v>
      </c>
      <c r="D111" s="287" t="s">
        <v>143</v>
      </c>
      <c r="E111" s="541">
        <v>1.81</v>
      </c>
      <c r="F111" s="287" t="s">
        <v>109</v>
      </c>
    </row>
    <row r="112" spans="2:6" x14ac:dyDescent="0.2">
      <c r="B112" s="279">
        <v>7293</v>
      </c>
      <c r="C112" s="281" t="s">
        <v>555</v>
      </c>
      <c r="D112" s="279" t="s">
        <v>56</v>
      </c>
      <c r="E112" s="550">
        <v>24.14</v>
      </c>
      <c r="F112" s="41" t="s">
        <v>109</v>
      </c>
    </row>
    <row r="113" spans="2:6" ht="25.5" x14ac:dyDescent="0.2">
      <c r="B113" s="41">
        <v>643</v>
      </c>
      <c r="C113" s="107" t="s">
        <v>614</v>
      </c>
      <c r="D113" s="41" t="s">
        <v>41</v>
      </c>
      <c r="E113" s="539">
        <v>1.98</v>
      </c>
      <c r="F113" s="41" t="s">
        <v>109</v>
      </c>
    </row>
    <row r="114" spans="2:6" ht="26.25" customHeight="1" x14ac:dyDescent="0.2">
      <c r="B114" s="41">
        <v>4491</v>
      </c>
      <c r="C114" s="107" t="s">
        <v>609</v>
      </c>
      <c r="D114" s="41" t="s">
        <v>19</v>
      </c>
      <c r="E114" s="539">
        <v>6.19</v>
      </c>
      <c r="F114" s="41" t="s">
        <v>109</v>
      </c>
    </row>
    <row r="115" spans="2:6" ht="30" customHeight="1" x14ac:dyDescent="0.2">
      <c r="B115" s="41">
        <v>4417</v>
      </c>
      <c r="C115" s="107" t="s">
        <v>608</v>
      </c>
      <c r="D115" s="41" t="s">
        <v>19</v>
      </c>
      <c r="E115" s="539">
        <v>4.29</v>
      </c>
      <c r="F115" s="41" t="s">
        <v>109</v>
      </c>
    </row>
    <row r="116" spans="2:6" ht="25.5" customHeight="1" x14ac:dyDescent="0.2">
      <c r="B116" s="41">
        <v>4813</v>
      </c>
      <c r="C116" s="107" t="s">
        <v>610</v>
      </c>
      <c r="D116" s="41" t="s">
        <v>52</v>
      </c>
      <c r="E116" s="539">
        <v>275</v>
      </c>
      <c r="F116" s="41" t="s">
        <v>109</v>
      </c>
    </row>
    <row r="117" spans="2:6" x14ac:dyDescent="0.2">
      <c r="B117" s="186">
        <v>9850</v>
      </c>
      <c r="C117" s="187" t="s">
        <v>624</v>
      </c>
      <c r="D117" s="181" t="s">
        <v>19</v>
      </c>
      <c r="E117" s="538">
        <v>96.02</v>
      </c>
      <c r="F117" s="40" t="s">
        <v>109</v>
      </c>
    </row>
    <row r="118" spans="2:6" x14ac:dyDescent="0.2">
      <c r="B118" s="279"/>
      <c r="C118" s="616" t="s">
        <v>494</v>
      </c>
      <c r="D118" s="181" t="s">
        <v>19</v>
      </c>
      <c r="E118" s="538">
        <v>80</v>
      </c>
      <c r="F118" s="188" t="s">
        <v>126</v>
      </c>
    </row>
    <row r="119" spans="2:6" ht="25.5" x14ac:dyDescent="0.2">
      <c r="B119" s="41">
        <v>11075</v>
      </c>
      <c r="C119" s="617" t="s">
        <v>496</v>
      </c>
      <c r="D119" s="39" t="s">
        <v>23</v>
      </c>
      <c r="E119" s="538">
        <v>966.12</v>
      </c>
      <c r="F119" s="40" t="s">
        <v>109</v>
      </c>
    </row>
    <row r="120" spans="2:6" ht="63.75" x14ac:dyDescent="0.2">
      <c r="B120" s="186"/>
      <c r="C120" s="618" t="s">
        <v>625</v>
      </c>
      <c r="D120" s="181" t="s">
        <v>143</v>
      </c>
      <c r="E120" s="540">
        <f>(7420+5300)/2</f>
        <v>6360</v>
      </c>
      <c r="F120" s="188" t="s">
        <v>126</v>
      </c>
    </row>
    <row r="121" spans="2:6" x14ac:dyDescent="0.2">
      <c r="B121" s="186"/>
      <c r="C121" s="618" t="s">
        <v>499</v>
      </c>
      <c r="D121" s="181" t="s">
        <v>41</v>
      </c>
      <c r="E121" s="538">
        <v>150</v>
      </c>
      <c r="F121" s="188" t="s">
        <v>126</v>
      </c>
    </row>
    <row r="122" spans="2:6" ht="25.5" x14ac:dyDescent="0.2">
      <c r="B122" s="41">
        <v>21011</v>
      </c>
      <c r="C122" s="619" t="s">
        <v>504</v>
      </c>
      <c r="D122" s="41" t="s">
        <v>19</v>
      </c>
      <c r="E122" s="539">
        <v>18.079999999999998</v>
      </c>
      <c r="F122" s="41" t="s">
        <v>109</v>
      </c>
    </row>
    <row r="123" spans="2:6" ht="25.5" x14ac:dyDescent="0.2">
      <c r="B123" s="641"/>
      <c r="C123" s="642" t="s">
        <v>632</v>
      </c>
      <c r="D123" s="643" t="s">
        <v>41</v>
      </c>
      <c r="E123" s="538">
        <f>(1800/30)/8</f>
        <v>7.5</v>
      </c>
      <c r="F123" s="188" t="s">
        <v>633</v>
      </c>
    </row>
    <row r="124" spans="2:6" ht="25.5" x14ac:dyDescent="0.2">
      <c r="B124" s="641">
        <v>7252</v>
      </c>
      <c r="C124" s="642" t="s">
        <v>518</v>
      </c>
      <c r="D124" s="643" t="s">
        <v>41</v>
      </c>
      <c r="E124" s="538">
        <v>1.33</v>
      </c>
      <c r="F124" s="188" t="s">
        <v>109</v>
      </c>
    </row>
    <row r="125" spans="2:6" x14ac:dyDescent="0.2">
      <c r="B125" s="41">
        <v>7595</v>
      </c>
      <c r="C125" s="103" t="s">
        <v>519</v>
      </c>
      <c r="D125" s="42" t="s">
        <v>41</v>
      </c>
      <c r="E125" s="539">
        <v>11.36</v>
      </c>
      <c r="F125" s="42" t="s">
        <v>109</v>
      </c>
    </row>
    <row r="126" spans="2:6" x14ac:dyDescent="0.2">
      <c r="B126" s="41">
        <v>868</v>
      </c>
      <c r="C126" s="109" t="s">
        <v>635</v>
      </c>
      <c r="D126" s="41" t="s">
        <v>19</v>
      </c>
      <c r="E126" s="539">
        <v>11.97</v>
      </c>
      <c r="F126" s="41" t="s">
        <v>109</v>
      </c>
    </row>
    <row r="127" spans="2:6" x14ac:dyDescent="0.2">
      <c r="B127" s="665" t="s">
        <v>636</v>
      </c>
      <c r="C127" s="646" t="s">
        <v>523</v>
      </c>
      <c r="D127" s="647" t="s">
        <v>143</v>
      </c>
      <c r="E127" s="539">
        <v>22.99</v>
      </c>
      <c r="F127" s="648" t="s">
        <v>637</v>
      </c>
    </row>
    <row r="128" spans="2:6" ht="51" x14ac:dyDescent="0.2">
      <c r="B128" s="279"/>
      <c r="C128" s="106" t="s">
        <v>644</v>
      </c>
      <c r="D128" s="42" t="s">
        <v>143</v>
      </c>
      <c r="E128" s="539">
        <v>690</v>
      </c>
      <c r="F128" s="42" t="s">
        <v>126</v>
      </c>
    </row>
    <row r="129" spans="2:6" ht="25.5" x14ac:dyDescent="0.2">
      <c r="B129" s="39">
        <v>759</v>
      </c>
      <c r="C129" s="106" t="s">
        <v>645</v>
      </c>
      <c r="D129" s="41" t="s">
        <v>143</v>
      </c>
      <c r="E129" s="540">
        <v>2958.34</v>
      </c>
      <c r="F129" s="40" t="s">
        <v>109</v>
      </c>
    </row>
  </sheetData>
  <autoFilter ref="A10:G108"/>
  <mergeCells count="2">
    <mergeCell ref="B8:F8"/>
    <mergeCell ref="B2:F5"/>
  </mergeCells>
  <printOptions horizontalCentered="1"/>
  <pageMargins left="0.51181102362204722" right="0.51181102362204722" top="0.39370078740157483" bottom="0.78740157480314965" header="0.51181102362204722" footer="0.51181102362204722"/>
  <pageSetup paperSize="9" scale="80" firstPageNumber="0" fitToHeight="2" orientation="portrait" r:id="rId1"/>
  <headerFooter alignWithMargins="0"/>
  <rowBreaks count="2" manualBreakCount="2">
    <brk id="56" min="1" max="5" man="1"/>
    <brk id="9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N40"/>
  <sheetViews>
    <sheetView view="pageBreakPreview" topLeftCell="A10" zoomScale="80" zoomScaleNormal="100" zoomScaleSheetLayoutView="80" workbookViewId="0">
      <selection activeCell="C36" sqref="C36"/>
    </sheetView>
  </sheetViews>
  <sheetFormatPr defaultRowHeight="12.75" x14ac:dyDescent="0.2"/>
  <cols>
    <col min="2" max="2" width="9.28515625" bestFit="1" customWidth="1"/>
    <col min="3" max="3" width="33.140625" bestFit="1" customWidth="1"/>
    <col min="4" max="4" width="10.85546875" bestFit="1" customWidth="1"/>
    <col min="5" max="5" width="14.5703125" customWidth="1"/>
    <col min="8" max="8" width="9.28515625" bestFit="1" customWidth="1"/>
  </cols>
  <sheetData>
    <row r="1" spans="1:13" ht="13.5" thickBot="1" x14ac:dyDescent="0.25"/>
    <row r="2" spans="1:13" x14ac:dyDescent="0.2">
      <c r="B2" s="651"/>
      <c r="C2" s="652"/>
      <c r="D2" s="652"/>
      <c r="E2" s="652"/>
      <c r="F2" s="652"/>
      <c r="G2" s="652"/>
      <c r="H2" s="652"/>
      <c r="I2" s="652"/>
      <c r="J2" s="652"/>
      <c r="K2" s="652"/>
      <c r="L2" s="653"/>
    </row>
    <row r="3" spans="1:13" x14ac:dyDescent="0.2">
      <c r="B3" s="654"/>
      <c r="C3" s="655"/>
      <c r="D3" s="655"/>
      <c r="E3" s="655"/>
      <c r="F3" s="655"/>
      <c r="G3" s="655"/>
      <c r="H3" s="655"/>
      <c r="I3" s="655"/>
      <c r="J3" s="655"/>
      <c r="K3" s="655"/>
      <c r="L3" s="656"/>
    </row>
    <row r="4" spans="1:13" x14ac:dyDescent="0.2">
      <c r="B4" s="654"/>
      <c r="C4" s="655"/>
      <c r="D4" s="655"/>
      <c r="E4" s="655"/>
      <c r="F4" s="655"/>
      <c r="G4" s="655"/>
      <c r="H4" s="655"/>
      <c r="I4" s="655"/>
      <c r="J4" s="655"/>
      <c r="K4" s="655"/>
      <c r="L4" s="656"/>
    </row>
    <row r="5" spans="1:13" x14ac:dyDescent="0.2">
      <c r="B5" s="654"/>
      <c r="C5" s="655"/>
      <c r="D5" s="655"/>
      <c r="E5" s="655"/>
      <c r="F5" s="655"/>
      <c r="G5" s="655"/>
      <c r="H5" s="655"/>
      <c r="I5" s="655"/>
      <c r="J5" s="655"/>
      <c r="K5" s="655"/>
      <c r="L5" s="656"/>
    </row>
    <row r="6" spans="1:13" ht="13.5" thickBot="1" x14ac:dyDescent="0.25">
      <c r="B6" s="657"/>
      <c r="C6" s="658"/>
      <c r="D6" s="658"/>
      <c r="E6" s="658"/>
      <c r="F6" s="658"/>
      <c r="G6" s="658"/>
      <c r="H6" s="658"/>
      <c r="I6" s="658"/>
      <c r="J6" s="658"/>
      <c r="K6" s="658"/>
      <c r="L6" s="659"/>
    </row>
    <row r="8" spans="1:13" ht="15.75" x14ac:dyDescent="0.25">
      <c r="A8" s="234"/>
      <c r="B8" s="872" t="s">
        <v>256</v>
      </c>
      <c r="C8" s="872"/>
      <c r="D8" s="872"/>
      <c r="E8" s="872"/>
      <c r="F8" s="235"/>
      <c r="G8" s="236"/>
      <c r="H8" s="234"/>
      <c r="I8" s="234"/>
      <c r="J8" s="234"/>
      <c r="K8" s="234"/>
      <c r="L8" s="234"/>
      <c r="M8" s="234"/>
    </row>
    <row r="9" spans="1:13" ht="9" customHeight="1" x14ac:dyDescent="0.25">
      <c r="A9" s="234"/>
      <c r="B9" s="862"/>
      <c r="C9" s="863"/>
      <c r="D9" s="863"/>
      <c r="E9" s="864"/>
      <c r="F9" s="235"/>
      <c r="G9" s="236"/>
      <c r="H9" s="234"/>
      <c r="I9" s="234"/>
      <c r="J9" s="234"/>
      <c r="K9" s="234"/>
      <c r="L9" s="234"/>
      <c r="M9" s="234"/>
    </row>
    <row r="10" spans="1:13" ht="16.5" thickBot="1" x14ac:dyDescent="0.3">
      <c r="A10" s="234"/>
      <c r="B10" s="234"/>
      <c r="C10" s="234"/>
      <c r="D10" s="234"/>
      <c r="E10" s="234"/>
      <c r="F10" s="237" t="s">
        <v>101</v>
      </c>
      <c r="G10" s="234"/>
      <c r="H10" s="234"/>
      <c r="I10" s="234"/>
      <c r="J10" s="234"/>
      <c r="K10" s="234"/>
      <c r="L10" s="234"/>
      <c r="M10" s="234"/>
    </row>
    <row r="11" spans="1:13" ht="15.75" customHeight="1" thickBot="1" x14ac:dyDescent="0.25">
      <c r="A11" s="234"/>
      <c r="B11" s="865" t="s">
        <v>257</v>
      </c>
      <c r="C11" s="866" t="s">
        <v>258</v>
      </c>
      <c r="D11" s="239" t="s">
        <v>103</v>
      </c>
      <c r="E11" s="240" t="s">
        <v>103</v>
      </c>
      <c r="F11" s="234"/>
      <c r="G11" s="234"/>
      <c r="H11" s="867" t="s">
        <v>259</v>
      </c>
      <c r="I11" s="867"/>
      <c r="J11" s="867"/>
      <c r="K11" s="867"/>
      <c r="L11" s="234"/>
      <c r="M11" s="234"/>
    </row>
    <row r="12" spans="1:13" ht="16.5" thickBot="1" x14ac:dyDescent="0.3">
      <c r="A12" s="234"/>
      <c r="B12" s="865"/>
      <c r="C12" s="866"/>
      <c r="D12" s="241" t="s">
        <v>260</v>
      </c>
      <c r="E12" s="242" t="s">
        <v>261</v>
      </c>
      <c r="F12" s="243" t="s">
        <v>101</v>
      </c>
      <c r="G12" s="244"/>
      <c r="H12" s="867"/>
      <c r="I12" s="867"/>
      <c r="J12" s="867"/>
      <c r="K12" s="867"/>
      <c r="L12" s="234"/>
      <c r="M12" s="234"/>
    </row>
    <row r="13" spans="1:13" ht="15.75" x14ac:dyDescent="0.25">
      <c r="A13" s="234"/>
      <c r="B13" s="245"/>
      <c r="C13" s="246"/>
      <c r="D13" s="247"/>
      <c r="E13" s="248"/>
      <c r="F13" s="249"/>
      <c r="G13" s="249"/>
      <c r="H13" s="249"/>
      <c r="I13" s="249"/>
      <c r="J13" s="249"/>
      <c r="K13" s="234"/>
      <c r="L13" s="234"/>
      <c r="M13" s="234"/>
    </row>
    <row r="14" spans="1:13" ht="15.75" x14ac:dyDescent="0.25">
      <c r="A14" s="234"/>
      <c r="B14" s="250">
        <v>1</v>
      </c>
      <c r="C14" s="251" t="s">
        <v>262</v>
      </c>
      <c r="D14" s="252" t="s">
        <v>101</v>
      </c>
      <c r="E14" s="337">
        <f>SUM(E15:E16)</f>
        <v>4</v>
      </c>
      <c r="F14" s="249" t="s">
        <v>101</v>
      </c>
      <c r="G14" s="253" t="s">
        <v>263</v>
      </c>
      <c r="H14" s="254">
        <f>E14/100</f>
        <v>0.04</v>
      </c>
      <c r="I14" s="868" t="s">
        <v>264</v>
      </c>
      <c r="J14" s="868"/>
      <c r="K14" s="868"/>
      <c r="L14" s="868"/>
      <c r="M14" s="234"/>
    </row>
    <row r="15" spans="1:13" ht="15.75" x14ac:dyDescent="0.25">
      <c r="A15" s="234"/>
      <c r="B15" s="255" t="s">
        <v>9</v>
      </c>
      <c r="C15" s="256" t="s">
        <v>265</v>
      </c>
      <c r="D15" s="252"/>
      <c r="E15" s="338">
        <v>1.8</v>
      </c>
      <c r="F15" s="249"/>
      <c r="G15" s="258"/>
      <c r="H15" s="259"/>
      <c r="I15" s="333"/>
      <c r="J15" s="333"/>
      <c r="K15" s="333"/>
      <c r="L15" s="333"/>
      <c r="M15" s="234"/>
    </row>
    <row r="16" spans="1:13" ht="15.75" x14ac:dyDescent="0.25">
      <c r="A16" s="234"/>
      <c r="B16" s="255" t="s">
        <v>12</v>
      </c>
      <c r="C16" s="256" t="s">
        <v>266</v>
      </c>
      <c r="D16" s="252"/>
      <c r="E16" s="338">
        <v>2.2000000000000002</v>
      </c>
      <c r="F16" s="249"/>
      <c r="G16" s="258"/>
      <c r="H16" s="259"/>
      <c r="I16" s="333"/>
      <c r="J16" s="333"/>
      <c r="K16" s="333"/>
      <c r="L16" s="333"/>
      <c r="M16" s="234"/>
    </row>
    <row r="17" spans="1:13" ht="15.75" x14ac:dyDescent="0.25">
      <c r="A17" s="234"/>
      <c r="B17" s="255"/>
      <c r="C17" s="260" t="s">
        <v>101</v>
      </c>
      <c r="D17" s="261" t="s">
        <v>101</v>
      </c>
      <c r="E17" s="338" t="s">
        <v>101</v>
      </c>
      <c r="F17" s="873" t="s">
        <v>101</v>
      </c>
      <c r="G17" s="873"/>
      <c r="H17" s="873"/>
      <c r="I17" s="873"/>
      <c r="J17" s="873"/>
      <c r="K17" s="234"/>
      <c r="L17" s="234"/>
      <c r="M17" s="234"/>
    </row>
    <row r="18" spans="1:13" ht="15.75" x14ac:dyDescent="0.25">
      <c r="A18" s="234"/>
      <c r="B18" s="250">
        <v>2</v>
      </c>
      <c r="C18" s="251" t="s">
        <v>267</v>
      </c>
      <c r="D18" s="340">
        <f>SUM(D19:D22)</f>
        <v>8.65</v>
      </c>
      <c r="E18" s="339"/>
      <c r="F18" s="249"/>
      <c r="G18" s="253" t="s">
        <v>268</v>
      </c>
      <c r="H18" s="254">
        <f>D18/100</f>
        <v>8.6499999999999994E-2</v>
      </c>
      <c r="I18" s="868" t="s">
        <v>269</v>
      </c>
      <c r="J18" s="868"/>
      <c r="K18" s="868"/>
      <c r="L18" s="868"/>
      <c r="M18" s="263"/>
    </row>
    <row r="19" spans="1:13" ht="15.75" x14ac:dyDescent="0.25">
      <c r="A19" s="234"/>
      <c r="B19" s="255" t="s">
        <v>14</v>
      </c>
      <c r="C19" s="264" t="s">
        <v>270</v>
      </c>
      <c r="D19" s="341">
        <v>3</v>
      </c>
      <c r="E19" s="338"/>
      <c r="F19" s="873" t="s">
        <v>101</v>
      </c>
      <c r="G19" s="873"/>
      <c r="H19" s="873"/>
      <c r="I19" s="873"/>
      <c r="J19" s="873"/>
      <c r="K19" s="234"/>
      <c r="L19" s="234"/>
      <c r="M19" s="234"/>
    </row>
    <row r="20" spans="1:13" ht="15.75" x14ac:dyDescent="0.25">
      <c r="A20" s="234"/>
      <c r="B20" s="255" t="s">
        <v>15</v>
      </c>
      <c r="C20" s="260" t="s">
        <v>271</v>
      </c>
      <c r="D20" s="341">
        <v>0.65</v>
      </c>
      <c r="E20" s="338"/>
      <c r="F20" s="243" t="s">
        <v>101</v>
      </c>
      <c r="G20" s="253" t="s">
        <v>272</v>
      </c>
      <c r="H20" s="254">
        <f>E24/100</f>
        <v>1.2800000000000001E-2</v>
      </c>
      <c r="I20" s="868" t="s">
        <v>273</v>
      </c>
      <c r="J20" s="868"/>
      <c r="K20" s="868"/>
      <c r="L20" s="868"/>
      <c r="M20" s="234"/>
    </row>
    <row r="21" spans="1:13" ht="15.75" x14ac:dyDescent="0.25">
      <c r="A21" s="234"/>
      <c r="B21" s="255" t="s">
        <v>16</v>
      </c>
      <c r="C21" s="260" t="s">
        <v>274</v>
      </c>
      <c r="D21" s="342">
        <v>3</v>
      </c>
      <c r="E21" s="338"/>
      <c r="F21" s="249"/>
      <c r="M21" s="249"/>
    </row>
    <row r="22" spans="1:13" ht="15.75" x14ac:dyDescent="0.25">
      <c r="A22" s="234"/>
      <c r="B22" s="273" t="s">
        <v>17</v>
      </c>
      <c r="C22" s="260" t="s">
        <v>288</v>
      </c>
      <c r="D22" s="341">
        <v>2</v>
      </c>
      <c r="E22" s="338"/>
      <c r="F22" s="249"/>
      <c r="G22" s="253" t="s">
        <v>275</v>
      </c>
      <c r="H22" s="254">
        <f>E29/100</f>
        <v>9.4000000000000004E-3</v>
      </c>
      <c r="I22" s="868" t="s">
        <v>276</v>
      </c>
      <c r="J22" s="868"/>
      <c r="K22" s="868"/>
      <c r="L22" s="868"/>
      <c r="M22" s="234"/>
    </row>
    <row r="23" spans="1:13" ht="15.75" x14ac:dyDescent="0.25">
      <c r="A23" s="234"/>
      <c r="B23" s="273"/>
      <c r="C23" s="260"/>
      <c r="D23" s="341"/>
      <c r="E23" s="338"/>
      <c r="F23" s="249"/>
      <c r="G23" s="258"/>
      <c r="H23" s="259"/>
      <c r="I23" s="333"/>
      <c r="J23" s="333"/>
      <c r="K23" s="333"/>
      <c r="L23" s="333"/>
      <c r="M23" s="234"/>
    </row>
    <row r="24" spans="1:13" ht="15.75" x14ac:dyDescent="0.25">
      <c r="A24" s="234"/>
      <c r="B24" s="250">
        <v>3</v>
      </c>
      <c r="C24" s="251" t="s">
        <v>277</v>
      </c>
      <c r="D24" s="341" t="s">
        <v>101</v>
      </c>
      <c r="E24" s="339">
        <f>SUM(E25:E27)</f>
        <v>1.28</v>
      </c>
      <c r="F24" s="249"/>
      <c r="M24" s="234"/>
    </row>
    <row r="25" spans="1:13" ht="15.75" x14ac:dyDescent="0.25">
      <c r="A25" s="234"/>
      <c r="B25" s="255" t="s">
        <v>25</v>
      </c>
      <c r="C25" s="264" t="s">
        <v>278</v>
      </c>
      <c r="D25" s="341"/>
      <c r="E25" s="338">
        <v>0.1</v>
      </c>
      <c r="F25" s="249"/>
      <c r="M25" s="234"/>
    </row>
    <row r="26" spans="1:13" ht="15.75" x14ac:dyDescent="0.25">
      <c r="A26" s="234"/>
      <c r="B26" s="255" t="s">
        <v>26</v>
      </c>
      <c r="C26" s="264" t="s">
        <v>279</v>
      </c>
      <c r="D26" s="341"/>
      <c r="E26" s="338">
        <v>1</v>
      </c>
      <c r="F26" s="249"/>
      <c r="M26" s="234"/>
    </row>
    <row r="27" spans="1:13" ht="15.75" x14ac:dyDescent="0.25">
      <c r="A27" s="234"/>
      <c r="B27" s="255" t="s">
        <v>27</v>
      </c>
      <c r="C27" s="264" t="s">
        <v>280</v>
      </c>
      <c r="D27" s="341"/>
      <c r="E27" s="338">
        <v>0.18</v>
      </c>
      <c r="F27" s="249"/>
      <c r="M27" s="234"/>
    </row>
    <row r="28" spans="1:13" ht="15.75" x14ac:dyDescent="0.25">
      <c r="A28" s="234"/>
      <c r="B28" s="265"/>
      <c r="C28" s="260"/>
      <c r="D28" s="341"/>
      <c r="E28" s="338"/>
      <c r="F28" s="249"/>
      <c r="G28" s="334" t="s">
        <v>281</v>
      </c>
      <c r="H28" s="335">
        <f>D31/100</f>
        <v>7.4499999999999997E-2</v>
      </c>
      <c r="I28" s="868" t="s">
        <v>282</v>
      </c>
      <c r="J28" s="868"/>
      <c r="K28" s="868"/>
      <c r="L28" s="868"/>
      <c r="M28" s="234"/>
    </row>
    <row r="29" spans="1:13" ht="15.75" x14ac:dyDescent="0.25">
      <c r="A29" s="234"/>
      <c r="B29" s="250">
        <v>4</v>
      </c>
      <c r="C29" s="251" t="s">
        <v>283</v>
      </c>
      <c r="D29" s="341" t="s">
        <v>101</v>
      </c>
      <c r="E29" s="339">
        <v>0.94</v>
      </c>
      <c r="F29" s="249"/>
      <c r="G29" s="336"/>
      <c r="H29" s="336"/>
      <c r="I29" s="336"/>
      <c r="J29" s="336"/>
      <c r="K29" s="336"/>
      <c r="L29" s="336"/>
      <c r="M29" s="234"/>
    </row>
    <row r="30" spans="1:13" ht="15.75" x14ac:dyDescent="0.25">
      <c r="A30" s="234"/>
      <c r="B30" s="265"/>
      <c r="C30" s="260"/>
      <c r="D30" s="341"/>
      <c r="E30" s="257"/>
      <c r="F30" s="249"/>
      <c r="G30" s="869" t="s">
        <v>653</v>
      </c>
      <c r="H30" s="869"/>
      <c r="I30" s="869"/>
      <c r="J30" s="869"/>
      <c r="K30" s="869"/>
      <c r="L30" s="869"/>
      <c r="M30" s="234"/>
    </row>
    <row r="31" spans="1:13" ht="15.75" x14ac:dyDescent="0.25">
      <c r="A31" s="234"/>
      <c r="B31" s="250">
        <v>5</v>
      </c>
      <c r="C31" s="251" t="s">
        <v>284</v>
      </c>
      <c r="D31" s="343">
        <v>7.45</v>
      </c>
      <c r="E31" s="262"/>
      <c r="F31" s="249"/>
      <c r="G31" s="871" t="s">
        <v>654</v>
      </c>
      <c r="H31" s="871"/>
      <c r="I31" s="871"/>
      <c r="J31" s="871"/>
      <c r="K31" s="871"/>
      <c r="L31" s="871"/>
      <c r="M31" s="234"/>
    </row>
    <row r="32" spans="1:13" ht="15.75" thickBot="1" x14ac:dyDescent="0.25">
      <c r="A32" s="234"/>
      <c r="B32" s="265"/>
      <c r="C32" s="260"/>
      <c r="D32" s="341"/>
      <c r="E32" s="257"/>
      <c r="F32" s="234"/>
      <c r="M32" s="234"/>
    </row>
    <row r="33" spans="1:14" ht="16.5" thickBot="1" x14ac:dyDescent="0.3">
      <c r="A33" s="234"/>
      <c r="B33" s="870" t="s">
        <v>285</v>
      </c>
      <c r="C33" s="870"/>
      <c r="D33" s="870"/>
      <c r="E33" s="667">
        <f>(((1+H$14+H$20)*(1+H$22)*(1+H$28)/(1-H$18))-1)*100</f>
        <v>25</v>
      </c>
      <c r="F33" s="238" t="s">
        <v>101</v>
      </c>
      <c r="M33" s="234"/>
    </row>
    <row r="34" spans="1:14" ht="15" x14ac:dyDescent="0.2">
      <c r="A34" s="234"/>
      <c r="B34" s="234"/>
      <c r="C34" s="266"/>
      <c r="D34" s="234"/>
      <c r="F34" s="234"/>
      <c r="G34" s="234"/>
      <c r="H34" s="234"/>
      <c r="I34" s="234"/>
      <c r="J34" s="234"/>
      <c r="K34" s="234"/>
      <c r="L34" s="234"/>
      <c r="M34" s="234"/>
      <c r="N34" s="267"/>
    </row>
    <row r="35" spans="1:14" ht="15.75" x14ac:dyDescent="0.25">
      <c r="A35" s="234"/>
      <c r="B35" s="268" t="s">
        <v>102</v>
      </c>
      <c r="C35" s="269">
        <f>E33</f>
        <v>25</v>
      </c>
      <c r="D35" s="270" t="s">
        <v>286</v>
      </c>
      <c r="E35" s="234"/>
      <c r="F35" s="234"/>
      <c r="G35" s="234"/>
      <c r="H35" s="234"/>
      <c r="I35" s="234"/>
      <c r="J35" s="234"/>
      <c r="K35" s="234"/>
      <c r="L35" s="234"/>
      <c r="M35" s="234"/>
    </row>
    <row r="36" spans="1:14" ht="15.75" x14ac:dyDescent="0.25">
      <c r="A36" s="234"/>
      <c r="B36" s="268" t="s">
        <v>102</v>
      </c>
      <c r="C36" s="271">
        <f>ROUNDDOWN(C35,0)</f>
        <v>25</v>
      </c>
      <c r="D36" s="270" t="s">
        <v>287</v>
      </c>
      <c r="E36" s="234"/>
      <c r="F36" s="236"/>
      <c r="G36" s="236"/>
      <c r="H36" s="236"/>
      <c r="I36" s="236"/>
      <c r="J36" s="236"/>
      <c r="K36" s="236"/>
      <c r="L36" s="236"/>
      <c r="M36" s="236"/>
    </row>
    <row r="37" spans="1:14" ht="15" x14ac:dyDescent="0.2">
      <c r="A37" s="234"/>
      <c r="B37" s="861" t="s">
        <v>101</v>
      </c>
      <c r="C37" s="861"/>
      <c r="D37" s="234"/>
      <c r="E37" s="234"/>
      <c r="F37" s="236"/>
      <c r="G37" s="236"/>
      <c r="H37" s="236"/>
      <c r="I37" s="236"/>
      <c r="J37" s="236"/>
      <c r="K37" s="236"/>
      <c r="L37" s="236"/>
      <c r="M37" s="236"/>
    </row>
    <row r="38" spans="1:14" ht="15.75" customHeight="1" x14ac:dyDescent="0.25">
      <c r="A38" s="234"/>
      <c r="B38" s="274"/>
      <c r="C38" s="274"/>
      <c r="D38" s="274"/>
      <c r="E38" s="274"/>
      <c r="F38" s="274"/>
      <c r="G38" s="274"/>
      <c r="H38" s="274"/>
      <c r="I38" s="274"/>
      <c r="J38" s="274"/>
      <c r="K38" s="274"/>
      <c r="L38" s="272"/>
      <c r="M38" s="272"/>
    </row>
    <row r="39" spans="1:14" ht="15" customHeight="1" x14ac:dyDescent="0.2">
      <c r="A39" s="234"/>
      <c r="B39" s="274"/>
      <c r="C39" s="274"/>
      <c r="D39" s="274"/>
      <c r="E39" s="274"/>
      <c r="F39" s="274"/>
      <c r="G39" s="274"/>
      <c r="H39" s="274"/>
      <c r="I39" s="274"/>
      <c r="J39" s="274"/>
      <c r="K39" s="274"/>
      <c r="L39" s="236"/>
      <c r="M39" s="236"/>
    </row>
    <row r="40" spans="1:14" ht="15" x14ac:dyDescent="0.2">
      <c r="A40" s="234"/>
      <c r="B40" s="234"/>
      <c r="C40" s="234"/>
      <c r="D40" s="234"/>
      <c r="E40" s="234"/>
      <c r="F40" s="236"/>
      <c r="G40" s="236"/>
      <c r="H40" s="236"/>
      <c r="I40" s="236"/>
      <c r="J40" s="236"/>
      <c r="K40" s="236"/>
      <c r="L40" s="236"/>
      <c r="M40" s="236"/>
    </row>
  </sheetData>
  <mergeCells count="16">
    <mergeCell ref="B8:E8"/>
    <mergeCell ref="I14:L14"/>
    <mergeCell ref="F17:J17"/>
    <mergeCell ref="I18:L18"/>
    <mergeCell ref="F19:J19"/>
    <mergeCell ref="B37:C37"/>
    <mergeCell ref="B9:E9"/>
    <mergeCell ref="B11:B12"/>
    <mergeCell ref="C11:C12"/>
    <mergeCell ref="H11:K12"/>
    <mergeCell ref="I20:L20"/>
    <mergeCell ref="I22:L22"/>
    <mergeCell ref="I28:L28"/>
    <mergeCell ref="G30:L30"/>
    <mergeCell ref="B33:D33"/>
    <mergeCell ref="G31:L31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6"/>
  <sheetViews>
    <sheetView view="pageBreakPreview" zoomScale="110" zoomScaleNormal="100" zoomScaleSheetLayoutView="110" workbookViewId="0">
      <selection activeCell="D38" sqref="D38"/>
    </sheetView>
  </sheetViews>
  <sheetFormatPr defaultColWidth="12.7109375" defaultRowHeight="15" x14ac:dyDescent="0.25"/>
  <cols>
    <col min="1" max="1" width="1.7109375" style="431" customWidth="1"/>
    <col min="2" max="2" width="8.28515625" style="431" customWidth="1"/>
    <col min="3" max="3" width="59.7109375" style="431" customWidth="1"/>
    <col min="4" max="4" width="21.7109375" style="431" customWidth="1"/>
    <col min="5" max="5" width="5.5703125" style="431" bestFit="1" customWidth="1"/>
    <col min="6" max="16384" width="12.7109375" style="431"/>
  </cols>
  <sheetData>
    <row r="1" spans="2:5" ht="7.5" customHeight="1" thickBot="1" x14ac:dyDescent="0.3"/>
    <row r="2" spans="2:5" s="432" customFormat="1" ht="22.5" customHeight="1" thickBot="1" x14ac:dyDescent="0.25">
      <c r="B2" s="874" t="s">
        <v>574</v>
      </c>
      <c r="C2" s="875"/>
      <c r="D2" s="876"/>
    </row>
    <row r="3" spans="2:5" ht="32.25" customHeight="1" thickBot="1" x14ac:dyDescent="0.3">
      <c r="B3" s="877" t="s">
        <v>362</v>
      </c>
      <c r="C3" s="878"/>
      <c r="D3" s="879"/>
    </row>
    <row r="4" spans="2:5" ht="15.75" thickBot="1" x14ac:dyDescent="0.3">
      <c r="B4" s="880" t="s">
        <v>363</v>
      </c>
      <c r="C4" s="881"/>
      <c r="D4" s="882"/>
    </row>
    <row r="5" spans="2:5" x14ac:dyDescent="0.25">
      <c r="B5" s="433" t="s">
        <v>364</v>
      </c>
      <c r="C5" s="434" t="s">
        <v>365</v>
      </c>
      <c r="D5" s="435"/>
    </row>
    <row r="6" spans="2:5" x14ac:dyDescent="0.25">
      <c r="B6" s="433" t="s">
        <v>366</v>
      </c>
      <c r="C6" s="436" t="s">
        <v>367</v>
      </c>
      <c r="D6" s="649">
        <v>118286</v>
      </c>
      <c r="E6" s="437"/>
    </row>
    <row r="7" spans="2:5" x14ac:dyDescent="0.25">
      <c r="B7" s="433" t="s">
        <v>368</v>
      </c>
      <c r="C7" s="436" t="s">
        <v>369</v>
      </c>
      <c r="D7" s="435">
        <v>36</v>
      </c>
    </row>
    <row r="8" spans="2:5" x14ac:dyDescent="0.25">
      <c r="B8" s="433" t="s">
        <v>370</v>
      </c>
      <c r="C8" s="436" t="s">
        <v>371</v>
      </c>
      <c r="D8" s="438">
        <v>0.4</v>
      </c>
    </row>
    <row r="9" spans="2:5" x14ac:dyDescent="0.25">
      <c r="B9" s="433" t="s">
        <v>372</v>
      </c>
      <c r="C9" s="436" t="s">
        <v>373</v>
      </c>
      <c r="D9" s="435">
        <f>(D6-(D8*D6))/D7</f>
        <v>1971.43</v>
      </c>
    </row>
    <row r="10" spans="2:5" x14ac:dyDescent="0.25">
      <c r="B10" s="433" t="s">
        <v>374</v>
      </c>
      <c r="C10" s="434" t="s">
        <v>375</v>
      </c>
      <c r="D10" s="435"/>
    </row>
    <row r="11" spans="2:5" x14ac:dyDescent="0.25">
      <c r="B11" s="433" t="s">
        <v>376</v>
      </c>
      <c r="C11" s="436" t="s">
        <v>377</v>
      </c>
      <c r="D11" s="438">
        <v>0.05</v>
      </c>
    </row>
    <row r="12" spans="2:5" x14ac:dyDescent="0.25">
      <c r="B12" s="433" t="s">
        <v>378</v>
      </c>
      <c r="C12" s="439" t="s">
        <v>379</v>
      </c>
      <c r="D12" s="435">
        <f>D11*D9</f>
        <v>98.57</v>
      </c>
    </row>
    <row r="13" spans="2:5" x14ac:dyDescent="0.25">
      <c r="B13" s="433" t="s">
        <v>380</v>
      </c>
      <c r="C13" s="434" t="s">
        <v>381</v>
      </c>
      <c r="D13" s="435"/>
    </row>
    <row r="14" spans="2:5" x14ac:dyDescent="0.25">
      <c r="B14" s="433" t="s">
        <v>382</v>
      </c>
      <c r="C14" s="436" t="s">
        <v>383</v>
      </c>
      <c r="D14" s="438">
        <v>1</v>
      </c>
    </row>
    <row r="15" spans="2:5" x14ac:dyDescent="0.25">
      <c r="B15" s="433" t="s">
        <v>384</v>
      </c>
      <c r="C15" s="436" t="s">
        <v>385</v>
      </c>
      <c r="D15" s="435">
        <f>D14*D9</f>
        <v>1971.43</v>
      </c>
    </row>
    <row r="16" spans="2:5" x14ac:dyDescent="0.25">
      <c r="B16" s="433" t="s">
        <v>386</v>
      </c>
      <c r="C16" s="434" t="s">
        <v>387</v>
      </c>
      <c r="D16" s="435"/>
    </row>
    <row r="17" spans="2:4" x14ac:dyDescent="0.25">
      <c r="B17" s="433" t="s">
        <v>388</v>
      </c>
      <c r="C17" s="436" t="s">
        <v>389</v>
      </c>
      <c r="D17" s="435">
        <v>3000</v>
      </c>
    </row>
    <row r="18" spans="2:4" x14ac:dyDescent="0.25">
      <c r="B18" s="433" t="s">
        <v>390</v>
      </c>
      <c r="C18" s="436" t="s">
        <v>391</v>
      </c>
      <c r="D18" s="435">
        <f>INSUMOS!E28</f>
        <v>2.77</v>
      </c>
    </row>
    <row r="19" spans="2:4" x14ac:dyDescent="0.25">
      <c r="B19" s="433" t="s">
        <v>392</v>
      </c>
      <c r="C19" s="436" t="s">
        <v>393</v>
      </c>
      <c r="D19" s="435">
        <v>10</v>
      </c>
    </row>
    <row r="20" spans="2:4" x14ac:dyDescent="0.25">
      <c r="B20" s="433" t="s">
        <v>394</v>
      </c>
      <c r="C20" s="436" t="s">
        <v>395</v>
      </c>
      <c r="D20" s="435">
        <f>(D17/D19)*D18</f>
        <v>831</v>
      </c>
    </row>
    <row r="21" spans="2:4" x14ac:dyDescent="0.25">
      <c r="B21" s="433" t="s">
        <v>396</v>
      </c>
      <c r="C21" s="434" t="s">
        <v>397</v>
      </c>
      <c r="D21" s="435"/>
    </row>
    <row r="22" spans="2:4" x14ac:dyDescent="0.25">
      <c r="B22" s="433" t="s">
        <v>398</v>
      </c>
      <c r="C22" s="436" t="s">
        <v>399</v>
      </c>
      <c r="D22" s="435">
        <f>D17*3</f>
        <v>9000</v>
      </c>
    </row>
    <row r="23" spans="2:4" x14ac:dyDescent="0.25">
      <c r="B23" s="433" t="s">
        <v>400</v>
      </c>
      <c r="C23" s="436" t="s">
        <v>401</v>
      </c>
      <c r="D23" s="435">
        <v>5000</v>
      </c>
    </row>
    <row r="24" spans="2:4" x14ac:dyDescent="0.25">
      <c r="B24" s="433" t="s">
        <v>402</v>
      </c>
      <c r="C24" s="436" t="s">
        <v>403</v>
      </c>
      <c r="D24" s="435">
        <f>INSUMOS!E29</f>
        <v>13</v>
      </c>
    </row>
    <row r="25" spans="2:4" x14ac:dyDescent="0.25">
      <c r="B25" s="433" t="s">
        <v>404</v>
      </c>
      <c r="C25" s="436" t="s">
        <v>405</v>
      </c>
      <c r="D25" s="435">
        <v>3.5</v>
      </c>
    </row>
    <row r="26" spans="2:4" x14ac:dyDescent="0.25">
      <c r="B26" s="433" t="s">
        <v>406</v>
      </c>
      <c r="C26" s="436" t="s">
        <v>407</v>
      </c>
      <c r="D26" s="435">
        <v>90</v>
      </c>
    </row>
    <row r="27" spans="2:4" x14ac:dyDescent="0.25">
      <c r="B27" s="433" t="s">
        <v>408</v>
      </c>
      <c r="C27" s="436" t="s">
        <v>409</v>
      </c>
      <c r="D27" s="440">
        <f>(D22*D24*D25*30)/(D23*D26)</f>
        <v>27.3</v>
      </c>
    </row>
    <row r="28" spans="2:4" x14ac:dyDescent="0.25">
      <c r="B28" s="433" t="s">
        <v>410</v>
      </c>
      <c r="C28" s="434" t="s">
        <v>411</v>
      </c>
      <c r="D28" s="441"/>
    </row>
    <row r="29" spans="2:4" x14ac:dyDescent="0.25">
      <c r="B29" s="433" t="s">
        <v>412</v>
      </c>
      <c r="C29" s="436" t="s">
        <v>399</v>
      </c>
      <c r="D29" s="435">
        <f>D17*3</f>
        <v>9000</v>
      </c>
    </row>
    <row r="30" spans="2:4" x14ac:dyDescent="0.25">
      <c r="B30" s="433" t="s">
        <v>413</v>
      </c>
      <c r="C30" s="436" t="s">
        <v>414</v>
      </c>
      <c r="D30" s="435">
        <v>45000</v>
      </c>
    </row>
    <row r="31" spans="2:4" x14ac:dyDescent="0.25">
      <c r="B31" s="433" t="s">
        <v>415</v>
      </c>
      <c r="C31" s="436" t="s">
        <v>416</v>
      </c>
      <c r="D31" s="435">
        <v>5</v>
      </c>
    </row>
    <row r="32" spans="2:4" x14ac:dyDescent="0.25">
      <c r="B32" s="433" t="s">
        <v>417</v>
      </c>
      <c r="C32" s="436" t="s">
        <v>418</v>
      </c>
      <c r="D32" s="649">
        <v>777.56</v>
      </c>
    </row>
    <row r="33" spans="2:4" x14ac:dyDescent="0.25">
      <c r="B33" s="433" t="s">
        <v>419</v>
      </c>
      <c r="C33" s="436" t="s">
        <v>420</v>
      </c>
      <c r="D33" s="435">
        <v>90</v>
      </c>
    </row>
    <row r="34" spans="2:4" x14ac:dyDescent="0.25">
      <c r="B34" s="433" t="s">
        <v>421</v>
      </c>
      <c r="C34" s="436" t="s">
        <v>422</v>
      </c>
      <c r="D34" s="435">
        <f>(D29*D31*D32*30)/(D30*D33)</f>
        <v>259.19</v>
      </c>
    </row>
    <row r="35" spans="2:4" x14ac:dyDescent="0.25">
      <c r="B35" s="433" t="s">
        <v>423</v>
      </c>
      <c r="C35" s="434" t="s">
        <v>62</v>
      </c>
      <c r="D35" s="435"/>
    </row>
    <row r="36" spans="2:4" x14ac:dyDescent="0.25">
      <c r="B36" s="433" t="s">
        <v>424</v>
      </c>
      <c r="C36" s="436" t="s">
        <v>425</v>
      </c>
      <c r="D36" s="435">
        <v>2409.5700000000002</v>
      </c>
    </row>
    <row r="37" spans="2:4" x14ac:dyDescent="0.25">
      <c r="B37" s="433" t="s">
        <v>426</v>
      </c>
      <c r="C37" s="434" t="s">
        <v>427</v>
      </c>
      <c r="D37" s="440" t="s">
        <v>101</v>
      </c>
    </row>
    <row r="38" spans="2:4" x14ac:dyDescent="0.25">
      <c r="B38" s="433"/>
      <c r="C38" s="439" t="s">
        <v>428</v>
      </c>
      <c r="D38" s="650">
        <f>D9+D12+D15+D20+D27+D34</f>
        <v>5158.92</v>
      </c>
    </row>
    <row r="39" spans="2:4" x14ac:dyDescent="0.25">
      <c r="B39" s="433"/>
      <c r="C39" s="439" t="s">
        <v>429</v>
      </c>
      <c r="D39" s="440">
        <f>D9+D12+D15+D20+D27+D34+D36</f>
        <v>7568.49</v>
      </c>
    </row>
    <row r="40" spans="2:4" x14ac:dyDescent="0.25">
      <c r="B40" s="433" t="s">
        <v>430</v>
      </c>
      <c r="C40" s="434" t="s">
        <v>431</v>
      </c>
      <c r="D40" s="440"/>
    </row>
    <row r="41" spans="2:4" x14ac:dyDescent="0.25">
      <c r="B41" s="433"/>
      <c r="C41" s="439" t="s">
        <v>428</v>
      </c>
      <c r="D41" s="440">
        <f>D38/D17</f>
        <v>1.72</v>
      </c>
    </row>
    <row r="42" spans="2:4" x14ac:dyDescent="0.25">
      <c r="B42" s="433"/>
      <c r="C42" s="439" t="s">
        <v>429</v>
      </c>
      <c r="D42" s="440">
        <f>D39/D17</f>
        <v>2.52</v>
      </c>
    </row>
    <row r="43" spans="2:4" x14ac:dyDescent="0.25">
      <c r="B43" s="442" t="s">
        <v>432</v>
      </c>
      <c r="C43" s="443" t="s">
        <v>433</v>
      </c>
      <c r="D43" s="444" t="s">
        <v>101</v>
      </c>
    </row>
    <row r="44" spans="2:4" x14ac:dyDescent="0.25">
      <c r="B44" s="442" t="s">
        <v>434</v>
      </c>
      <c r="C44" s="445" t="s">
        <v>428</v>
      </c>
      <c r="D44" s="444">
        <f>D38*(1+BDI!C36%)</f>
        <v>6448.65</v>
      </c>
    </row>
    <row r="45" spans="2:4" x14ac:dyDescent="0.25">
      <c r="B45" s="442" t="s">
        <v>435</v>
      </c>
      <c r="C45" s="445" t="s">
        <v>429</v>
      </c>
      <c r="D45" s="444">
        <f>D39*(1+BDI!C36%)</f>
        <v>9460.61</v>
      </c>
    </row>
    <row r="46" spans="2:4" ht="15.75" thickBot="1" x14ac:dyDescent="0.3">
      <c r="B46" s="446"/>
      <c r="C46" s="447"/>
      <c r="D46" s="448"/>
    </row>
  </sheetData>
  <mergeCells count="3">
    <mergeCell ref="B2:D2"/>
    <mergeCell ref="B3:D3"/>
    <mergeCell ref="B4:D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6"/>
  <sheetViews>
    <sheetView view="pageBreakPreview" zoomScale="110" zoomScaleNormal="100" zoomScaleSheetLayoutView="110" workbookViewId="0">
      <selection activeCell="I7" sqref="I7"/>
    </sheetView>
  </sheetViews>
  <sheetFormatPr defaultColWidth="12.7109375" defaultRowHeight="15" x14ac:dyDescent="0.25"/>
  <cols>
    <col min="1" max="1" width="1.7109375" style="431" customWidth="1"/>
    <col min="2" max="2" width="8.28515625" style="431" customWidth="1"/>
    <col min="3" max="3" width="59.7109375" style="431" customWidth="1"/>
    <col min="4" max="4" width="21.7109375" style="431" customWidth="1"/>
    <col min="5" max="5" width="2.85546875" style="431" customWidth="1"/>
    <col min="6" max="16384" width="12.7109375" style="431"/>
  </cols>
  <sheetData>
    <row r="1" spans="2:5" ht="7.5" customHeight="1" thickBot="1" x14ac:dyDescent="0.3"/>
    <row r="2" spans="2:5" s="432" customFormat="1" ht="22.5" customHeight="1" thickBot="1" x14ac:dyDescent="0.25">
      <c r="B2" s="874" t="s">
        <v>361</v>
      </c>
      <c r="C2" s="875"/>
      <c r="D2" s="876"/>
    </row>
    <row r="3" spans="2:5" ht="32.25" customHeight="1" thickBot="1" x14ac:dyDescent="0.3">
      <c r="B3" s="877" t="s">
        <v>362</v>
      </c>
      <c r="C3" s="878"/>
      <c r="D3" s="879"/>
    </row>
    <row r="4" spans="2:5" ht="15.75" thickBot="1" x14ac:dyDescent="0.3">
      <c r="B4" s="880" t="s">
        <v>436</v>
      </c>
      <c r="C4" s="881"/>
      <c r="D4" s="882"/>
    </row>
    <row r="5" spans="2:5" x14ac:dyDescent="0.25">
      <c r="B5" s="433"/>
      <c r="C5" s="449"/>
      <c r="D5" s="435"/>
    </row>
    <row r="6" spans="2:5" x14ac:dyDescent="0.25">
      <c r="B6" s="433" t="s">
        <v>364</v>
      </c>
      <c r="C6" s="434" t="s">
        <v>365</v>
      </c>
      <c r="D6" s="435"/>
      <c r="E6" s="437"/>
    </row>
    <row r="7" spans="2:5" x14ac:dyDescent="0.25">
      <c r="B7" s="433" t="s">
        <v>366</v>
      </c>
      <c r="C7" s="436" t="s">
        <v>367</v>
      </c>
      <c r="D7" s="649">
        <v>38048</v>
      </c>
    </row>
    <row r="8" spans="2:5" x14ac:dyDescent="0.25">
      <c r="B8" s="433" t="s">
        <v>368</v>
      </c>
      <c r="C8" s="436" t="s">
        <v>369</v>
      </c>
      <c r="D8" s="435">
        <v>36</v>
      </c>
    </row>
    <row r="9" spans="2:5" x14ac:dyDescent="0.25">
      <c r="B9" s="433" t="s">
        <v>370</v>
      </c>
      <c r="C9" s="436" t="s">
        <v>371</v>
      </c>
      <c r="D9" s="438">
        <v>0.4</v>
      </c>
    </row>
    <row r="10" spans="2:5" x14ac:dyDescent="0.25">
      <c r="B10" s="433" t="s">
        <v>372</v>
      </c>
      <c r="C10" s="436" t="s">
        <v>373</v>
      </c>
      <c r="D10" s="435">
        <f>(D7-(D9*D7))/D8</f>
        <v>634.13</v>
      </c>
    </row>
    <row r="11" spans="2:5" x14ac:dyDescent="0.25">
      <c r="B11" s="433"/>
      <c r="C11" s="436"/>
      <c r="D11" s="435"/>
    </row>
    <row r="12" spans="2:5" x14ac:dyDescent="0.25">
      <c r="B12" s="433" t="s">
        <v>374</v>
      </c>
      <c r="C12" s="434" t="s">
        <v>375</v>
      </c>
      <c r="D12" s="435"/>
    </row>
    <row r="13" spans="2:5" x14ac:dyDescent="0.25">
      <c r="B13" s="433" t="s">
        <v>376</v>
      </c>
      <c r="C13" s="436" t="s">
        <v>377</v>
      </c>
      <c r="D13" s="438">
        <v>0.05</v>
      </c>
    </row>
    <row r="14" spans="2:5" x14ac:dyDescent="0.25">
      <c r="B14" s="433" t="s">
        <v>378</v>
      </c>
      <c r="C14" s="439" t="s">
        <v>379</v>
      </c>
      <c r="D14" s="435">
        <f>D13*D10</f>
        <v>31.71</v>
      </c>
    </row>
    <row r="15" spans="2:5" x14ac:dyDescent="0.25">
      <c r="B15" s="433"/>
      <c r="C15" s="434"/>
      <c r="D15" s="435"/>
    </row>
    <row r="16" spans="2:5" x14ac:dyDescent="0.25">
      <c r="B16" s="433" t="s">
        <v>380</v>
      </c>
      <c r="C16" s="434" t="s">
        <v>381</v>
      </c>
      <c r="D16" s="435"/>
    </row>
    <row r="17" spans="2:4" x14ac:dyDescent="0.25">
      <c r="B17" s="433" t="s">
        <v>382</v>
      </c>
      <c r="C17" s="436" t="s">
        <v>383</v>
      </c>
      <c r="D17" s="438">
        <v>1</v>
      </c>
    </row>
    <row r="18" spans="2:4" x14ac:dyDescent="0.25">
      <c r="B18" s="433" t="s">
        <v>384</v>
      </c>
      <c r="C18" s="436" t="s">
        <v>385</v>
      </c>
      <c r="D18" s="435">
        <f>D17*D10</f>
        <v>634.13</v>
      </c>
    </row>
    <row r="19" spans="2:4" x14ac:dyDescent="0.25">
      <c r="B19" s="433" t="s">
        <v>101</v>
      </c>
      <c r="C19" s="436" t="s">
        <v>101</v>
      </c>
      <c r="D19" s="649" t="s">
        <v>101</v>
      </c>
    </row>
    <row r="20" spans="2:4" x14ac:dyDescent="0.25">
      <c r="B20" s="433" t="s">
        <v>386</v>
      </c>
      <c r="C20" s="434" t="s">
        <v>387</v>
      </c>
      <c r="D20" s="435"/>
    </row>
    <row r="21" spans="2:4" x14ac:dyDescent="0.25">
      <c r="B21" s="433" t="s">
        <v>388</v>
      </c>
      <c r="C21" s="436" t="s">
        <v>389</v>
      </c>
      <c r="D21" s="435">
        <v>3000</v>
      </c>
    </row>
    <row r="22" spans="2:4" x14ac:dyDescent="0.25">
      <c r="B22" s="433" t="s">
        <v>390</v>
      </c>
      <c r="C22" s="436" t="s">
        <v>391</v>
      </c>
      <c r="D22" s="435">
        <f>INSUMOS!$E$78</f>
        <v>3.44</v>
      </c>
    </row>
    <row r="23" spans="2:4" x14ac:dyDescent="0.25">
      <c r="B23" s="433" t="s">
        <v>392</v>
      </c>
      <c r="C23" s="436" t="s">
        <v>393</v>
      </c>
      <c r="D23" s="435">
        <v>10</v>
      </c>
    </row>
    <row r="24" spans="2:4" x14ac:dyDescent="0.25">
      <c r="B24" s="433" t="s">
        <v>394</v>
      </c>
      <c r="C24" s="436" t="s">
        <v>395</v>
      </c>
      <c r="D24" s="435">
        <f>(D21/D23)*D22</f>
        <v>1032</v>
      </c>
    </row>
    <row r="25" spans="2:4" x14ac:dyDescent="0.25">
      <c r="B25" s="433"/>
      <c r="C25" s="436"/>
      <c r="D25" s="435"/>
    </row>
    <row r="26" spans="2:4" x14ac:dyDescent="0.25">
      <c r="B26" s="433" t="s">
        <v>396</v>
      </c>
      <c r="C26" s="434" t="s">
        <v>397</v>
      </c>
      <c r="D26" s="435"/>
    </row>
    <row r="27" spans="2:4" x14ac:dyDescent="0.25">
      <c r="B27" s="433" t="s">
        <v>398</v>
      </c>
      <c r="C27" s="436" t="s">
        <v>399</v>
      </c>
      <c r="D27" s="435">
        <f>D21*3</f>
        <v>9000</v>
      </c>
    </row>
    <row r="28" spans="2:4" x14ac:dyDescent="0.25">
      <c r="B28" s="433" t="s">
        <v>400</v>
      </c>
      <c r="C28" s="436" t="s">
        <v>401</v>
      </c>
      <c r="D28" s="435">
        <v>5000</v>
      </c>
    </row>
    <row r="29" spans="2:4" x14ac:dyDescent="0.25">
      <c r="B29" s="433" t="s">
        <v>402</v>
      </c>
      <c r="C29" s="436" t="s">
        <v>403</v>
      </c>
      <c r="D29" s="435">
        <f>INSUMOS!$E$29</f>
        <v>13</v>
      </c>
    </row>
    <row r="30" spans="2:4" x14ac:dyDescent="0.25">
      <c r="B30" s="433" t="s">
        <v>404</v>
      </c>
      <c r="C30" s="436" t="s">
        <v>405</v>
      </c>
      <c r="D30" s="435">
        <v>3.5</v>
      </c>
    </row>
    <row r="31" spans="2:4" x14ac:dyDescent="0.25">
      <c r="B31" s="433" t="s">
        <v>406</v>
      </c>
      <c r="C31" s="436" t="s">
        <v>407</v>
      </c>
      <c r="D31" s="435">
        <v>90</v>
      </c>
    </row>
    <row r="32" spans="2:4" x14ac:dyDescent="0.25">
      <c r="B32" s="433" t="s">
        <v>408</v>
      </c>
      <c r="C32" s="436" t="s">
        <v>409</v>
      </c>
      <c r="D32" s="440">
        <f>(D27*D29*D30*30)/(D28*D31)</f>
        <v>27.3</v>
      </c>
    </row>
    <row r="33" spans="2:4" x14ac:dyDescent="0.25">
      <c r="B33" s="433"/>
      <c r="C33" s="436"/>
      <c r="D33" s="441"/>
    </row>
    <row r="34" spans="2:4" x14ac:dyDescent="0.25">
      <c r="B34" s="433" t="s">
        <v>410</v>
      </c>
      <c r="C34" s="434" t="s">
        <v>411</v>
      </c>
      <c r="D34" s="441"/>
    </row>
    <row r="35" spans="2:4" x14ac:dyDescent="0.25">
      <c r="B35" s="433" t="s">
        <v>412</v>
      </c>
      <c r="C35" s="436" t="s">
        <v>399</v>
      </c>
      <c r="D35" s="435">
        <f>D21*3</f>
        <v>9000</v>
      </c>
    </row>
    <row r="36" spans="2:4" x14ac:dyDescent="0.25">
      <c r="B36" s="433" t="s">
        <v>413</v>
      </c>
      <c r="C36" s="436" t="s">
        <v>414</v>
      </c>
      <c r="D36" s="435">
        <v>45000</v>
      </c>
    </row>
    <row r="37" spans="2:4" x14ac:dyDescent="0.25">
      <c r="B37" s="433" t="s">
        <v>415</v>
      </c>
      <c r="C37" s="436" t="s">
        <v>416</v>
      </c>
      <c r="D37" s="435">
        <v>5</v>
      </c>
    </row>
    <row r="38" spans="2:4" x14ac:dyDescent="0.25">
      <c r="B38" s="433" t="s">
        <v>417</v>
      </c>
      <c r="C38" s="436" t="s">
        <v>418</v>
      </c>
      <c r="D38" s="649">
        <v>244.32</v>
      </c>
    </row>
    <row r="39" spans="2:4" x14ac:dyDescent="0.25">
      <c r="B39" s="433" t="s">
        <v>419</v>
      </c>
      <c r="C39" s="436" t="s">
        <v>420</v>
      </c>
      <c r="D39" s="435">
        <v>90</v>
      </c>
    </row>
    <row r="40" spans="2:4" x14ac:dyDescent="0.25">
      <c r="B40" s="433" t="s">
        <v>421</v>
      </c>
      <c r="C40" s="436" t="s">
        <v>422</v>
      </c>
      <c r="D40" s="435">
        <f>(D35*D37*D38*30)/(D36*D39)</f>
        <v>81.44</v>
      </c>
    </row>
    <row r="41" spans="2:4" x14ac:dyDescent="0.25">
      <c r="B41" s="433"/>
      <c r="C41" s="436"/>
      <c r="D41" s="435"/>
    </row>
    <row r="42" spans="2:4" x14ac:dyDescent="0.25">
      <c r="B42" s="433" t="s">
        <v>423</v>
      </c>
      <c r="C42" s="434" t="s">
        <v>62</v>
      </c>
      <c r="D42" s="435"/>
    </row>
    <row r="43" spans="2:4" x14ac:dyDescent="0.25">
      <c r="B43" s="433" t="s">
        <v>424</v>
      </c>
      <c r="C43" s="436" t="s">
        <v>425</v>
      </c>
      <c r="D43" s="435">
        <v>2409.5700000000002</v>
      </c>
    </row>
    <row r="44" spans="2:4" x14ac:dyDescent="0.25">
      <c r="B44" s="433"/>
      <c r="C44" s="436"/>
      <c r="D44" s="435"/>
    </row>
    <row r="45" spans="2:4" x14ac:dyDescent="0.25">
      <c r="B45" s="433" t="s">
        <v>426</v>
      </c>
      <c r="C45" s="434" t="s">
        <v>427</v>
      </c>
      <c r="D45" s="440" t="s">
        <v>101</v>
      </c>
    </row>
    <row r="46" spans="2:4" x14ac:dyDescent="0.25">
      <c r="B46" s="433"/>
      <c r="C46" s="439" t="s">
        <v>428</v>
      </c>
      <c r="D46" s="650">
        <f>D10+D14+D18+D24+D32+D40</f>
        <v>2440.71</v>
      </c>
    </row>
    <row r="47" spans="2:4" x14ac:dyDescent="0.25">
      <c r="B47" s="433"/>
      <c r="C47" s="439" t="s">
        <v>429</v>
      </c>
      <c r="D47" s="440">
        <f>D10+D14+D18+D24+D32+D40+D43</f>
        <v>4850.28</v>
      </c>
    </row>
    <row r="48" spans="2:4" x14ac:dyDescent="0.25">
      <c r="B48" s="433"/>
      <c r="C48" s="434"/>
      <c r="D48" s="440"/>
    </row>
    <row r="49" spans="2:4" x14ac:dyDescent="0.25">
      <c r="B49" s="433" t="s">
        <v>430</v>
      </c>
      <c r="C49" s="434" t="s">
        <v>431</v>
      </c>
      <c r="D49" s="440"/>
    </row>
    <row r="50" spans="2:4" x14ac:dyDescent="0.25">
      <c r="B50" s="433"/>
      <c r="C50" s="439" t="s">
        <v>428</v>
      </c>
      <c r="D50" s="440">
        <f>D46/D21</f>
        <v>0.81</v>
      </c>
    </row>
    <row r="51" spans="2:4" x14ac:dyDescent="0.25">
      <c r="B51" s="433"/>
      <c r="C51" s="439" t="s">
        <v>429</v>
      </c>
      <c r="D51" s="440">
        <f>D47/D21</f>
        <v>1.62</v>
      </c>
    </row>
    <row r="52" spans="2:4" x14ac:dyDescent="0.25">
      <c r="B52" s="433"/>
      <c r="C52" s="434"/>
      <c r="D52" s="440"/>
    </row>
    <row r="53" spans="2:4" x14ac:dyDescent="0.25">
      <c r="B53" s="442" t="s">
        <v>432</v>
      </c>
      <c r="C53" s="443" t="s">
        <v>433</v>
      </c>
      <c r="D53" s="444" t="s">
        <v>101</v>
      </c>
    </row>
    <row r="54" spans="2:4" x14ac:dyDescent="0.25">
      <c r="B54" s="442" t="s">
        <v>434</v>
      </c>
      <c r="C54" s="445" t="s">
        <v>428</v>
      </c>
      <c r="D54" s="444">
        <f>D46*(1+BDI!C36%)</f>
        <v>3050.89</v>
      </c>
    </row>
    <row r="55" spans="2:4" x14ac:dyDescent="0.25">
      <c r="B55" s="442" t="s">
        <v>435</v>
      </c>
      <c r="C55" s="445" t="s">
        <v>429</v>
      </c>
      <c r="D55" s="444">
        <f>D47*(1+BDI!C36%)</f>
        <v>6062.85</v>
      </c>
    </row>
    <row r="56" spans="2:4" ht="15.75" thickBot="1" x14ac:dyDescent="0.3">
      <c r="B56" s="446"/>
      <c r="C56" s="447"/>
      <c r="D56" s="448"/>
    </row>
  </sheetData>
  <mergeCells count="3">
    <mergeCell ref="B2:D2"/>
    <mergeCell ref="B3:D3"/>
    <mergeCell ref="B4:D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Planilha Orçamentária</vt:lpstr>
      <vt:lpstr>CPU POÇOS</vt:lpstr>
      <vt:lpstr>INSUMOS</vt:lpstr>
      <vt:lpstr>BDI</vt:lpstr>
      <vt:lpstr>Veículo Fiscalização</vt:lpstr>
      <vt:lpstr>Veiculo</vt:lpstr>
      <vt:lpstr>'CPU POÇOS'!Area_de_impressao</vt:lpstr>
      <vt:lpstr>INSUMOS!Area_de_impressao</vt:lpstr>
      <vt:lpstr>'Planilha Orçamentária'!Area_de_impressao</vt:lpstr>
      <vt:lpstr>Veiculo!Area_de_impressao</vt:lpstr>
      <vt:lpstr>'Veículo Fiscalização'!Area_de_impressao</vt:lpstr>
      <vt:lpstr>INSUMOS!Titulos_de_impressao</vt:lpstr>
      <vt:lpstr>'Planilha Orçamentária'!Titulos_de_impressao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Miguel Oliveira Martin</dc:creator>
  <cp:lastModifiedBy>Alessandra Cristina Rossin</cp:lastModifiedBy>
  <cp:lastPrinted>2015-08-25T20:07:54Z</cp:lastPrinted>
  <dcterms:created xsi:type="dcterms:W3CDTF">2013-05-02T14:52:15Z</dcterms:created>
  <dcterms:modified xsi:type="dcterms:W3CDTF">2015-10-08T18:20:30Z</dcterms:modified>
</cp:coreProperties>
</file>