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105" windowWidth="20520" windowHeight="8055" tabRatio="789" activeTab="2"/>
  </bookViews>
  <sheets>
    <sheet name="Plan" sheetId="2" r:id="rId1"/>
    <sheet name="Cron" sheetId="24" r:id="rId2"/>
    <sheet name="Compô" sheetId="8" r:id="rId3"/>
  </sheets>
  <definedNames>
    <definedName name="_1Excel_BuiltIn_Print_Area_18_1">Plan!$A$1:$H$34</definedName>
    <definedName name="AccessDatabase">"D:\Arquivos do excel\Planilha modelo1.mdb"</definedName>
    <definedName name="af">#REF!</definedName>
    <definedName name="af_1">#REF!</definedName>
    <definedName name="af_2">#REF!</definedName>
    <definedName name="af_3">#REF!</definedName>
    <definedName name="af_4">#REF!</definedName>
    <definedName name="ag">#REF!</definedName>
    <definedName name="ag_1">#REF!</definedName>
    <definedName name="ag_2">#REF!</definedName>
    <definedName name="ag_3">#REF!</definedName>
    <definedName name="ag_4">#REF!</definedName>
    <definedName name="_xlnm.Print_Area" localSheetId="2">Compô!$A$1:$H$246</definedName>
    <definedName name="_xlnm.Print_Area" localSheetId="1">Cron!$A$1:$J$28</definedName>
    <definedName name="_xlnm.Print_Area" localSheetId="0">Plan!$A$1:$F$34</definedName>
    <definedName name="BALTO">#REF!</definedName>
    <definedName name="BALTO_1">#REF!</definedName>
    <definedName name="BALTO_2">#REF!</definedName>
    <definedName name="BALTO_3">#REF!</definedName>
    <definedName name="BALTO_4">#REF!</definedName>
    <definedName name="cho">#REF!</definedName>
    <definedName name="cho_1">#REF!</definedName>
    <definedName name="cho_2">#REF!</definedName>
    <definedName name="cho_3">#REF!</definedName>
    <definedName name="cho_4">#REF!</definedName>
    <definedName name="ci">#REF!</definedName>
    <definedName name="ci_1">#REF!</definedName>
    <definedName name="ci_2">#REF!</definedName>
    <definedName name="ci_3">#REF!</definedName>
    <definedName name="ci_4">#REF!</definedName>
    <definedName name="Excel_BuiltIn_Print_Area_18">Plan!$C$1:$H$34</definedName>
    <definedName name="jazida5">#REF!</definedName>
    <definedName name="jazida6">#REF!</definedName>
    <definedName name="ls">#REF!</definedName>
    <definedName name="ls_1">#REF!</definedName>
    <definedName name="ls_2">#REF!</definedName>
    <definedName name="ls_3">#REF!</definedName>
    <definedName name="ls_4">#REF!</definedName>
    <definedName name="lub">#REF!</definedName>
    <definedName name="lub_1">#REF!</definedName>
    <definedName name="lub_2">#REF!</definedName>
    <definedName name="lub_3">#REF!</definedName>
    <definedName name="lub_4">#REF!</definedName>
    <definedName name="meio">#REF!</definedName>
    <definedName name="meio_1">#REF!</definedName>
    <definedName name="meio_2">#REF!</definedName>
    <definedName name="meio_3">#REF!</definedName>
    <definedName name="meio_4">#REF!</definedName>
    <definedName name="od">#REF!</definedName>
    <definedName name="od_1">#REF!</definedName>
    <definedName name="od_2">#REF!</definedName>
    <definedName name="od_3">#REF!</definedName>
    <definedName name="od_4">#REF!</definedName>
    <definedName name="of">#REF!</definedName>
    <definedName name="of_1">#REF!</definedName>
    <definedName name="of_2">#REF!</definedName>
    <definedName name="of_3">#REF!</definedName>
    <definedName name="of_4">#REF!</definedName>
    <definedName name="pdm">#REF!</definedName>
    <definedName name="pdm_1">#REF!</definedName>
    <definedName name="pdm_2">#REF!</definedName>
    <definedName name="pdm_3">#REF!</definedName>
    <definedName name="pdm_4">#REF!</definedName>
    <definedName name="pedra">#REF!</definedName>
    <definedName name="pedra_1">#REF!</definedName>
    <definedName name="pedra_2">#REF!</definedName>
    <definedName name="pedra_3">#REF!</definedName>
    <definedName name="pedra_4">#REF!</definedName>
    <definedName name="port">#REF!</definedName>
    <definedName name="port_1">#REF!</definedName>
    <definedName name="port_2">#REF!</definedName>
    <definedName name="port_3">#REF!</definedName>
    <definedName name="port_4">#REF!</definedName>
    <definedName name="PREF">#REF!</definedName>
    <definedName name="PREF_1">#REF!</definedName>
    <definedName name="PREF_2">#REF!</definedName>
    <definedName name="PREF_3">#REF!</definedName>
    <definedName name="PREF_4">#REF!</definedName>
    <definedName name="ruas">#REF!</definedName>
    <definedName name="ruas_1">#REF!</definedName>
    <definedName name="ruas_2">#REF!</definedName>
    <definedName name="ruas_3">#REF!</definedName>
    <definedName name="ruas_4">#REF!</definedName>
    <definedName name="s">#REF!</definedName>
    <definedName name="se">#REF!</definedName>
    <definedName name="se_1">#REF!</definedName>
    <definedName name="se_2">#REF!</definedName>
    <definedName name="se_3">#REF!</definedName>
    <definedName name="se_4">#REF!</definedName>
    <definedName name="sx">#REF!</definedName>
    <definedName name="sx_1">#REF!</definedName>
    <definedName name="sx_2">#REF!</definedName>
    <definedName name="sx_3">#REF!</definedName>
    <definedName name="sx_4">#REF!</definedName>
    <definedName name="tb100cm">#REF!</definedName>
    <definedName name="tb100cm_1">#REF!</definedName>
    <definedName name="tb100cm_2">#REF!</definedName>
    <definedName name="tb100cm_3">#REF!</definedName>
    <definedName name="tb100cm_4">#REF!</definedName>
    <definedName name="_xlnm.Print_Titles" localSheetId="0">Plan!$5:$12</definedName>
    <definedName name="total">#REF!</definedName>
    <definedName name="total_1">#REF!</definedName>
    <definedName name="total_2">#REF!</definedName>
    <definedName name="total_3">#REF!</definedName>
    <definedName name="total_4">#REF!</definedName>
  </definedNames>
  <calcPr calcId="145621"/>
</workbook>
</file>

<file path=xl/calcChain.xml><?xml version="1.0" encoding="utf-8"?>
<calcChain xmlns="http://schemas.openxmlformats.org/spreadsheetml/2006/main">
  <c r="G21" i="2" l="1"/>
  <c r="G27" i="2"/>
  <c r="F28" i="24" l="1"/>
  <c r="F25" i="24"/>
  <c r="E25" i="24"/>
  <c r="F13" i="24"/>
  <c r="G13" i="24" s="1"/>
  <c r="H13" i="24" s="1"/>
  <c r="I13" i="24" s="1"/>
  <c r="E13" i="24"/>
  <c r="E32" i="2"/>
  <c r="E31" i="2"/>
  <c r="E28" i="2"/>
  <c r="E27" i="2"/>
  <c r="E24" i="2"/>
  <c r="E21" i="2"/>
  <c r="E20" i="2"/>
  <c r="G135" i="8"/>
  <c r="G152" i="8"/>
  <c r="G175" i="8"/>
  <c r="G200" i="8"/>
  <c r="G217" i="8"/>
  <c r="G235" i="8"/>
  <c r="B235" i="8"/>
  <c r="B217" i="8"/>
  <c r="B200" i="8"/>
  <c r="B175" i="8"/>
  <c r="B152" i="8"/>
  <c r="B135" i="8"/>
  <c r="B118" i="8"/>
  <c r="G118" i="8"/>
  <c r="G34" i="8"/>
  <c r="G98" i="8"/>
  <c r="B98" i="8"/>
  <c r="B34" i="8"/>
  <c r="B126" i="8"/>
  <c r="B143" i="8"/>
  <c r="B166" i="8"/>
  <c r="B191" i="8"/>
  <c r="B208" i="8"/>
  <c r="B226" i="8"/>
  <c r="B245" i="8"/>
  <c r="B109" i="8"/>
  <c r="F88" i="8"/>
  <c r="D88" i="8"/>
  <c r="F77" i="8"/>
  <c r="F22" i="8"/>
  <c r="F14" i="8"/>
  <c r="D14" i="8"/>
  <c r="D22" i="8"/>
  <c r="B56" i="8"/>
  <c r="D33" i="2"/>
  <c r="G241" i="8"/>
  <c r="G239" i="8"/>
  <c r="G238" i="8"/>
  <c r="D24" i="2" l="1"/>
  <c r="D31" i="2"/>
  <c r="G139" i="8" l="1"/>
  <c r="G138" i="8"/>
  <c r="G122" i="8"/>
  <c r="G121" i="8"/>
  <c r="E96" i="8"/>
  <c r="G96" i="8" s="1"/>
  <c r="E95" i="8"/>
  <c r="G95" i="8" s="1"/>
  <c r="E94" i="8"/>
  <c r="F115" i="8" s="1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2" i="8"/>
  <c r="E30" i="8"/>
  <c r="G30" i="8" s="1"/>
  <c r="G29" i="8"/>
  <c r="G28" i="8"/>
  <c r="G224" i="8"/>
  <c r="G223" i="8"/>
  <c r="G222" i="8"/>
  <c r="G206" i="8"/>
  <c r="G205" i="8"/>
  <c r="G187" i="8"/>
  <c r="G186" i="8"/>
  <c r="G185" i="8"/>
  <c r="G184" i="8"/>
  <c r="G183" i="8"/>
  <c r="G182" i="8"/>
  <c r="G181" i="8"/>
  <c r="G180" i="8"/>
  <c r="G179" i="8"/>
  <c r="G178" i="8"/>
  <c r="G162" i="8"/>
  <c r="G161" i="8"/>
  <c r="G160" i="8"/>
  <c r="G159" i="8"/>
  <c r="G158" i="8"/>
  <c r="G157" i="8"/>
  <c r="G156" i="8"/>
  <c r="G155" i="8"/>
  <c r="G107" i="8"/>
  <c r="G106" i="8"/>
  <c r="G105" i="8"/>
  <c r="G104" i="8"/>
  <c r="G103" i="8"/>
  <c r="G94" i="8"/>
  <c r="G115" i="8" l="1"/>
  <c r="F132" i="8"/>
  <c r="G132" i="8" s="1"/>
  <c r="F149" i="8"/>
  <c r="G149" i="8" s="1"/>
  <c r="F116" i="8"/>
  <c r="E197" i="8"/>
  <c r="G97" i="8"/>
  <c r="G99" i="8" s="1"/>
  <c r="G108" i="8" s="1"/>
  <c r="E31" i="8"/>
  <c r="G31" i="8" s="1"/>
  <c r="G33" i="8" s="1"/>
  <c r="G35" i="8" s="1"/>
  <c r="G55" i="8" s="1"/>
  <c r="G57" i="8" l="1"/>
  <c r="E17" i="2" s="1"/>
  <c r="F17" i="2" s="1"/>
  <c r="G56" i="8"/>
  <c r="G109" i="8"/>
  <c r="G110" i="8" s="1"/>
  <c r="F133" i="8"/>
  <c r="G133" i="8" s="1"/>
  <c r="G134" i="8" s="1"/>
  <c r="G136" i="8" s="1"/>
  <c r="F140" i="8" s="1"/>
  <c r="G140" i="8" s="1"/>
  <c r="G141" i="8" s="1"/>
  <c r="G116" i="8"/>
  <c r="E214" i="8"/>
  <c r="F232" i="8" s="1"/>
  <c r="G232" i="8" s="1"/>
  <c r="G197" i="8"/>
  <c r="F172" i="8"/>
  <c r="G172" i="8" s="1"/>
  <c r="G117" i="8"/>
  <c r="G119" i="8" s="1"/>
  <c r="F123" i="8" s="1"/>
  <c r="G123" i="8" s="1"/>
  <c r="G124" i="8" s="1"/>
  <c r="F150" i="8"/>
  <c r="G150" i="8" s="1"/>
  <c r="D67" i="8"/>
  <c r="F67" i="8" s="1"/>
  <c r="F32" i="2"/>
  <c r="F31" i="2"/>
  <c r="F27" i="2"/>
  <c r="F20" i="2"/>
  <c r="B13" i="24"/>
  <c r="B16" i="24"/>
  <c r="B19" i="24"/>
  <c r="D73" i="8"/>
  <c r="D74" i="8" s="1"/>
  <c r="F11" i="8"/>
  <c r="F12" i="8"/>
  <c r="B14" i="8"/>
  <c r="A19" i="8"/>
  <c r="D19" i="8"/>
  <c r="E19" i="8"/>
  <c r="A20" i="8"/>
  <c r="B20" i="8"/>
  <c r="F20" i="8"/>
  <c r="B22" i="8"/>
  <c r="C22" i="8"/>
  <c r="D77" i="8"/>
  <c r="F61" i="8"/>
  <c r="F62" i="8"/>
  <c r="F63" i="8"/>
  <c r="F65" i="8"/>
  <c r="F66" i="8"/>
  <c r="F70" i="8"/>
  <c r="F71" i="8"/>
  <c r="F72" i="8"/>
  <c r="F73" i="8"/>
  <c r="B77" i="8"/>
  <c r="C77" i="8"/>
  <c r="C88" i="8" s="1"/>
  <c r="F82" i="8"/>
  <c r="F83" i="8"/>
  <c r="F85" i="8"/>
  <c r="F86" i="8" s="1"/>
  <c r="B88" i="8"/>
  <c r="F24" i="2"/>
  <c r="F23" i="2" l="1"/>
  <c r="D16" i="24" s="1"/>
  <c r="G16" i="24" s="1"/>
  <c r="G214" i="8"/>
  <c r="G142" i="8"/>
  <c r="G151" i="8"/>
  <c r="G153" i="8" s="1"/>
  <c r="F163" i="8" s="1"/>
  <c r="G163" i="8" s="1"/>
  <c r="G164" i="8" s="1"/>
  <c r="G165" i="8" s="1"/>
  <c r="F173" i="8"/>
  <c r="G173" i="8" s="1"/>
  <c r="G125" i="8"/>
  <c r="D68" i="8"/>
  <c r="F28" i="2"/>
  <c r="F26" i="2" s="1"/>
  <c r="F21" i="2"/>
  <c r="F84" i="8"/>
  <c r="F87" i="8" s="1"/>
  <c r="F64" i="8"/>
  <c r="F19" i="8"/>
  <c r="F21" i="8" s="1"/>
  <c r="F23" i="8" s="1"/>
  <c r="F13" i="8"/>
  <c r="F15" i="8" s="1"/>
  <c r="G17" i="24" l="1"/>
  <c r="H17" i="24" s="1"/>
  <c r="I17" i="24" s="1"/>
  <c r="J17" i="24" s="1"/>
  <c r="H16" i="24"/>
  <c r="G144" i="8"/>
  <c r="G143" i="8"/>
  <c r="G167" i="8"/>
  <c r="G166" i="8"/>
  <c r="G127" i="8"/>
  <c r="G126" i="8"/>
  <c r="G174" i="8"/>
  <c r="G176" i="8" s="1"/>
  <c r="F188" i="8" s="1"/>
  <c r="G188" i="8" s="1"/>
  <c r="G189" i="8" s="1"/>
  <c r="G190" i="8" s="1"/>
  <c r="E198" i="8"/>
  <c r="E215" i="8" s="1"/>
  <c r="F233" i="8" s="1"/>
  <c r="G233" i="8" s="1"/>
  <c r="G234" i="8" s="1"/>
  <c r="G236" i="8" s="1"/>
  <c r="F242" i="8" s="1"/>
  <c r="G242" i="8" s="1"/>
  <c r="G243" i="8" s="1"/>
  <c r="G244" i="8" s="1"/>
  <c r="E15" i="2"/>
  <c r="F15" i="2" s="1"/>
  <c r="E16" i="2"/>
  <c r="F16" i="2" s="1"/>
  <c r="F68" i="8"/>
  <c r="D69" i="8"/>
  <c r="F69" i="8" s="1"/>
  <c r="F89" i="8"/>
  <c r="D19" i="24"/>
  <c r="G19" i="24" s="1"/>
  <c r="I16" i="24" l="1"/>
  <c r="G20" i="24"/>
  <c r="H20" i="24" s="1"/>
  <c r="I20" i="24" s="1"/>
  <c r="J20" i="24" s="1"/>
  <c r="I19" i="24"/>
  <c r="H19" i="24"/>
  <c r="J19" i="24" s="1"/>
  <c r="G191" i="8"/>
  <c r="G192" i="8" s="1"/>
  <c r="G245" i="8"/>
  <c r="G246" i="8" s="1"/>
  <c r="E33" i="2" s="1"/>
  <c r="F33" i="2" s="1"/>
  <c r="F30" i="2" s="1"/>
  <c r="D22" i="24" s="1"/>
  <c r="G22" i="24" s="1"/>
  <c r="G25" i="24" s="1"/>
  <c r="G215" i="8"/>
  <c r="G216" i="8" s="1"/>
  <c r="G218" i="8" s="1"/>
  <c r="G225" i="8" s="1"/>
  <c r="G198" i="8"/>
  <c r="G199" i="8" s="1"/>
  <c r="G201" i="8" s="1"/>
  <c r="G207" i="8" s="1"/>
  <c r="E19" i="2"/>
  <c r="F19" i="2" s="1"/>
  <c r="F75" i="8"/>
  <c r="F76" i="8" s="1"/>
  <c r="F78" i="8" s="1"/>
  <c r="E18" i="2" s="1"/>
  <c r="F18" i="2" s="1"/>
  <c r="G28" i="24" l="1"/>
  <c r="J16" i="24"/>
  <c r="H22" i="24"/>
  <c r="G23" i="24"/>
  <c r="H23" i="24" s="1"/>
  <c r="I23" i="24" s="1"/>
  <c r="J23" i="24" s="1"/>
  <c r="I22" i="24"/>
  <c r="I25" i="24" s="1"/>
  <c r="G209" i="8"/>
  <c r="G208" i="8"/>
  <c r="G227" i="8"/>
  <c r="G226" i="8"/>
  <c r="F14" i="2"/>
  <c r="F34" i="2" s="1"/>
  <c r="J22" i="24" l="1"/>
  <c r="J25" i="24" s="1"/>
  <c r="H25" i="24"/>
  <c r="H28" i="24" s="1"/>
  <c r="I28" i="24" s="1"/>
  <c r="D13" i="24"/>
  <c r="J28" i="24" l="1"/>
  <c r="J14" i="24"/>
  <c r="E14" i="24"/>
  <c r="H14" i="24"/>
  <c r="F14" i="24"/>
  <c r="G14" i="24"/>
  <c r="I14" i="24"/>
  <c r="D25" i="24"/>
  <c r="J26" i="24" s="1"/>
  <c r="E26" i="24" l="1"/>
  <c r="F26" i="24"/>
  <c r="G26" i="24"/>
  <c r="H26" i="24"/>
  <c r="I26" i="24"/>
  <c r="E28" i="24" l="1"/>
  <c r="E27" i="24"/>
  <c r="F27" i="24" s="1"/>
  <c r="G27" i="24" s="1"/>
  <c r="H27" i="24" s="1"/>
  <c r="I27" i="24" s="1"/>
  <c r="J27" i="24" l="1"/>
</calcChain>
</file>

<file path=xl/sharedStrings.xml><?xml version="1.0" encoding="utf-8"?>
<sst xmlns="http://schemas.openxmlformats.org/spreadsheetml/2006/main" count="483" uniqueCount="185">
  <si>
    <t>DISCRIMINAÇÃO DOS SERVIÇOS</t>
  </si>
  <si>
    <t>UND</t>
  </si>
  <si>
    <t>QUANT</t>
  </si>
  <si>
    <t>UNITÁRIO</t>
  </si>
  <si>
    <t>TOTAL</t>
  </si>
  <si>
    <t>SERVIÇOS PRELIMINARES</t>
  </si>
  <si>
    <t>Mobilização</t>
  </si>
  <si>
    <t>un</t>
  </si>
  <si>
    <t>Desmobilização</t>
  </si>
  <si>
    <t>m²</t>
  </si>
  <si>
    <t>mês</t>
  </si>
  <si>
    <t>dia</t>
  </si>
  <si>
    <t>02.00</t>
  </si>
  <si>
    <t>TERRAPLENAGEM</t>
  </si>
  <si>
    <t>03.00</t>
  </si>
  <si>
    <t>REVESTIMENTO PRIMÁRIO</t>
  </si>
  <si>
    <t>m³</t>
  </si>
  <si>
    <t>04.00</t>
  </si>
  <si>
    <t>TOTAL GERAL</t>
  </si>
  <si>
    <t>ITEM</t>
  </si>
  <si>
    <t>DESCRIÇÃO</t>
  </si>
  <si>
    <t>UNIDADE</t>
  </si>
  <si>
    <t>QUANTIDADE</t>
  </si>
  <si>
    <t>CUSTO UNITÁRIO</t>
  </si>
  <si>
    <t>CUSTO TOTAL</t>
  </si>
  <si>
    <t>Transporte dos equipamentos</t>
  </si>
  <si>
    <t>und</t>
  </si>
  <si>
    <t>Custo</t>
  </si>
  <si>
    <t>h</t>
  </si>
  <si>
    <t>Apontador</t>
  </si>
  <si>
    <t>Bota couro</t>
  </si>
  <si>
    <t>Capacete</t>
  </si>
  <si>
    <t>Luva</t>
  </si>
  <si>
    <t>Medicamento</t>
  </si>
  <si>
    <t>vb</t>
  </si>
  <si>
    <t>Ajudante</t>
  </si>
  <si>
    <t/>
  </si>
  <si>
    <t>R$</t>
  </si>
  <si>
    <t>Instalação de canteiro</t>
  </si>
  <si>
    <t>Administração local e manutenção do canteiro</t>
  </si>
  <si>
    <t>Compactação 100% proctor normal</t>
  </si>
  <si>
    <t>km</t>
  </si>
  <si>
    <t>Valor unitário do item</t>
  </si>
  <si>
    <t>%</t>
  </si>
  <si>
    <t>ITEM/CÓDIGO</t>
  </si>
  <si>
    <t>Custo horário da mão de obra c/ leis sociais</t>
  </si>
  <si>
    <t>Engenheiro civil</t>
  </si>
  <si>
    <t>Mestre de obras</t>
  </si>
  <si>
    <t>Máscara contra po</t>
  </si>
  <si>
    <t>Óculos contra pó</t>
  </si>
  <si>
    <t>Água</t>
  </si>
  <si>
    <t>Refeição</t>
  </si>
  <si>
    <t>Café da manhã</t>
  </si>
  <si>
    <t xml:space="preserve">Custo do material </t>
  </si>
  <si>
    <t>Custo dos insumos</t>
  </si>
  <si>
    <t>Custo do equipamento</t>
  </si>
  <si>
    <t>OBRA:</t>
  </si>
  <si>
    <t>VALOR</t>
  </si>
  <si>
    <t>1º Mês</t>
  </si>
  <si>
    <t>2º Mês</t>
  </si>
  <si>
    <t>3º Mês</t>
  </si>
  <si>
    <t>4º Mês</t>
  </si>
  <si>
    <t>%/R$</t>
  </si>
  <si>
    <t>PERCENTUAL SIMPLES</t>
  </si>
  <si>
    <t>PERCENTUAL ACUMULADO</t>
  </si>
  <si>
    <t>TOTAL SIMPLES</t>
  </si>
  <si>
    <t>TOTAL ACUMULADO</t>
  </si>
  <si>
    <t>cotação</t>
  </si>
  <si>
    <t>par</t>
  </si>
  <si>
    <t xml:space="preserve">Topógrafo </t>
  </si>
  <si>
    <t>Equipamento - Teodolito c/ precisão</t>
  </si>
  <si>
    <t>Desmatamento, destocamento e limpeza - Faixa de Domínio</t>
  </si>
  <si>
    <t>Passagens rodoviárias - Feira de Santana x Lapão</t>
  </si>
  <si>
    <t>Espalhamento mecanizado</t>
  </si>
  <si>
    <t>Pavimentação em pedra</t>
  </si>
  <si>
    <t>Alvenaria de Pedra</t>
  </si>
  <si>
    <t>5º Mês</t>
  </si>
  <si>
    <t>Energia</t>
  </si>
  <si>
    <t>Kw/h</t>
  </si>
  <si>
    <t>BDI: 25,00%</t>
  </si>
  <si>
    <t xml:space="preserve">ENCARGOS SOCIAIS: 91,70%                                      </t>
  </si>
  <si>
    <t>6º Mês</t>
  </si>
  <si>
    <t>MÃO DE OBRA</t>
  </si>
  <si>
    <t>Carpinteiro</t>
  </si>
  <si>
    <t>Encarregado</t>
  </si>
  <si>
    <t>Pedreiro</t>
  </si>
  <si>
    <t>Eletricista</t>
  </si>
  <si>
    <t>Servente</t>
  </si>
  <si>
    <t>Custo horário da mão de obra s/ls</t>
  </si>
  <si>
    <t>Custo horário da mão de obra c/ls</t>
  </si>
  <si>
    <t>MATERIAL</t>
  </si>
  <si>
    <t>Areia grossa</t>
  </si>
  <si>
    <t>Fio rígido, isolado em PVC 450/750V 1,5 mm²</t>
  </si>
  <si>
    <t>m</t>
  </si>
  <si>
    <t>Chapa madeira compensada resinada 2,2x1,1m x 12mm p/ forma concreto</t>
  </si>
  <si>
    <t>Cimento portland CP-320</t>
  </si>
  <si>
    <t>kg</t>
  </si>
  <si>
    <t>Telha ondulada de fibrocimento 6mm c/ parafusos e borrachas de vedação</t>
  </si>
  <si>
    <t>Interruptor sobrepor 1 tecla simples</t>
  </si>
  <si>
    <t>Boca/soquete/receptaculo de porcelana</t>
  </si>
  <si>
    <t>Dobradiça aço zincado 3x3" sem anéis</t>
  </si>
  <si>
    <t>Fechadura embutir externa (c/ cilindro) completa linha popular</t>
  </si>
  <si>
    <t>cj</t>
  </si>
  <si>
    <t>Lâmpada incandescente 60W</t>
  </si>
  <si>
    <t>Peça de madeira de lei 1ª qualidade 6x12 cm não aparelhada</t>
  </si>
  <si>
    <t>Peça de madeira de lei 1ª qualidade 5x6 cm não aparelhada</t>
  </si>
  <si>
    <t>Peça de madeira de lei 3ª qualidade 2,5x10 cm não aparelhada</t>
  </si>
  <si>
    <t>Seixo</t>
  </si>
  <si>
    <t>Prego de aço 17x27</t>
  </si>
  <si>
    <t>Porta cadeado zincado oxidado preto</t>
  </si>
  <si>
    <t>Total</t>
  </si>
  <si>
    <t>Peça de madeira de lei 1ª qualidade 2,5 X 7,5cm (1 X 3") não aparelhada</t>
  </si>
  <si>
    <t>Peça de madeira 3ª/4ª qualidade 7,5 X 7,5cm (3X3)não aparelhada</t>
  </si>
  <si>
    <t>Placa de obra (adentificação) para construção civil em chapa galvanizada nº 22</t>
  </si>
  <si>
    <t>Prego de aço 18 X 30</t>
  </si>
  <si>
    <t xml:space="preserve">Concreto não estrutural, consumo mínimo 1500 KG/M3                                                                                                                                           </t>
  </si>
  <si>
    <t>CPU - 09 Esc. carga tr. mat 1ª c. DMT 3000 a 5000m c/carreg  - 2 S 01 100 20   (DNIT)   Produção da Equipe : 214,00 m3     M³</t>
  </si>
  <si>
    <t>PRODUTIVIDADE</t>
  </si>
  <si>
    <t>Encarregado de turma</t>
  </si>
  <si>
    <t>EQUIPAMENTOS</t>
  </si>
  <si>
    <t>Trator de Esteiras - com lâmina (259 kW)</t>
  </si>
  <si>
    <t>CHP</t>
  </si>
  <si>
    <t>CHI</t>
  </si>
  <si>
    <t>Motoniveladora - (103 kW)</t>
  </si>
  <si>
    <t>Carregadeira de Pneus - 3,3 m3 (147 kW)</t>
  </si>
  <si>
    <t>Caminhão Basculante - 40 t (294 kW)</t>
  </si>
  <si>
    <t>Ferramentas</t>
  </si>
  <si>
    <t>Custo Unitário de Execução</t>
  </si>
  <si>
    <t>Custo Horário de Execução</t>
  </si>
  <si>
    <t>Trator Agrícola - (74 kW)</t>
  </si>
  <si>
    <t>Rolo Compactador - pé de carneiro autop. 11,25t vibrat. (82 kW)</t>
  </si>
  <si>
    <t>Grade de Discos - GA 24 x 24</t>
  </si>
  <si>
    <t>Caminhão Tanque - 10.000 l (210 kW)</t>
  </si>
  <si>
    <t>Pedra de mão ou pedra rachão</t>
  </si>
  <si>
    <t>Argamassa traço 1:4</t>
  </si>
  <si>
    <t>Areia média</t>
  </si>
  <si>
    <t>Cimento</t>
  </si>
  <si>
    <t>CPU - 01</t>
  </si>
  <si>
    <t>CPU - 02</t>
  </si>
  <si>
    <t>CPU - 03</t>
  </si>
  <si>
    <t>CPU - 04</t>
  </si>
  <si>
    <t>CPU - 05</t>
  </si>
  <si>
    <t>CPU - 06</t>
  </si>
  <si>
    <t>CPU - 07</t>
  </si>
  <si>
    <t>01.00</t>
  </si>
  <si>
    <t>CPU - 08</t>
  </si>
  <si>
    <t>CPU - 09</t>
  </si>
  <si>
    <t>CPU - 10</t>
  </si>
  <si>
    <t>CPU - 11</t>
  </si>
  <si>
    <t>CPU - 12</t>
  </si>
  <si>
    <t>CPU - 02 DESMOBILIZAÇÃO DE PESSOAL E EQUIPAMENTOS                                          Und</t>
  </si>
  <si>
    <t xml:space="preserve">Placa da obra </t>
  </si>
  <si>
    <t>CPU - 06 PLACA DE OBRAS EM CHAPA GALVANIZADA                                                                                    M²</t>
  </si>
  <si>
    <t>CPU - 05 CONTROLE TECNOLÓGICO                                                                                        Dia</t>
  </si>
  <si>
    <t>CPU - 04 ADMINISTRAÇÃO LOCAL E MANUTENÇÃO DE CANTEIRO DE OBRAS                      Mês</t>
  </si>
  <si>
    <t>CPU - 07 LIMPEZA DE TERRENO Produção da Equipe : 73,00 m²                                                                               M²</t>
  </si>
  <si>
    <t>CPU - 10 Compactação de aterros a 100% proctor normal - 5 S 01 511 00   (DNIT)    Produção da Equipe :152,00 m3          M³</t>
  </si>
  <si>
    <t>CPU - 11 PAVIMENTAÇÃO EM PEDRA BRUTA                                                                                                                  M²</t>
  </si>
  <si>
    <t>CPU - 08 ESPALHAMENTO        Produção da Equipe : 870,00 m²                                                                                     M²</t>
  </si>
  <si>
    <t>RECUPERAÇÃO E LIMPEZA DE BARRAGENS NA ÁREA DE ABRANGÊNCUIA DA 2ª SUPERINTENDÊNCIA REGIONAL DA CODEVASF</t>
  </si>
  <si>
    <t xml:space="preserve">LOCALIDADES: </t>
  </si>
  <si>
    <t>COMUNIDADE DE MANDIM - MUNICÍPIO DE ANGICAL; DODO E GRUNA - MUNICÍPIO DE JABORANDI E MOZONDÓ I E II NO MUNICÍPIO DE CATOLÂNDIA</t>
  </si>
  <si>
    <t xml:space="preserve">Controle tecnológico / Geométrico  </t>
  </si>
  <si>
    <t>MANDIN</t>
  </si>
  <si>
    <t>DODO</t>
  </si>
  <si>
    <t>MOZONDÓ</t>
  </si>
  <si>
    <t>SINAPI: JULHO/2014</t>
  </si>
  <si>
    <t>GRUNA</t>
  </si>
  <si>
    <t xml:space="preserve">Escavação, carga e transporte de material de 1ª categoria  </t>
  </si>
  <si>
    <t>PLANILHA ORÇAMENTÁRIA - ANEXO II</t>
  </si>
  <si>
    <t>OBRAS DE ARTE</t>
  </si>
  <si>
    <t>CPU - 13</t>
  </si>
  <si>
    <t>Enrocamento de pedra arrumada</t>
  </si>
  <si>
    <t>CPU - 12 ALVENARIA DE PEDRA ARGAMASSADA                                                                                                           M³</t>
  </si>
  <si>
    <t>CPU - 13 ENROCAMENTO DE PEDRA ARRUMADA 3 S 05 000 00  (DNIT)   Produção da Equipe : 2,00 m3                         M³</t>
  </si>
  <si>
    <t xml:space="preserve">Pedreiro </t>
  </si>
  <si>
    <t>Caminhão Basculante - 5 m3 - 8,8 t (136 kW)</t>
  </si>
  <si>
    <t>Pedra de mão produzida manualmente</t>
  </si>
  <si>
    <t>MATERIAIS</t>
  </si>
  <si>
    <r>
      <rPr>
        <b/>
        <sz val="8"/>
        <rFont val="Arial"/>
        <family val="2"/>
      </rPr>
      <t>OBJETO:</t>
    </r>
    <r>
      <rPr>
        <sz val="8"/>
        <rFont val="Arial"/>
        <family val="2"/>
      </rPr>
      <t xml:space="preserve"> RECUPERAÇÃO E LIMPEZA DE BARRAGENS NA ÁREA DE ABRANGÊNCUIA DA 2ª SUPERINTENDÊNCIA REGIONAL DA CODEVASF</t>
    </r>
  </si>
  <si>
    <t>COMPOSIÇÃO DE PREÇOS UNITÁRIOS</t>
  </si>
  <si>
    <t>CPU - 01  MOBILIZAÇÃO DE PESSOAL E EQUIPAMENTOS                                                                Und</t>
  </si>
  <si>
    <t>CPU - 03 INSTALAÇÃO DE CANTEIRO DE OBRAS                                                                                                            m²</t>
  </si>
  <si>
    <t>OBRAS  DE ARTE</t>
  </si>
  <si>
    <t xml:space="preserve">                                     CRONOGRAMA FÍSICO-FINANCEIRO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</si>
</sst>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\-??_);_(@_)"/>
    <numFmt numFmtId="165" formatCode="#,##0.0000"/>
    <numFmt numFmtId="166" formatCode="0.00000"/>
  </numFmts>
  <fonts count="37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0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name val="MonoMM1_ZeroNormal"/>
      <family val="3"/>
    </font>
    <font>
      <b/>
      <sz val="11"/>
      <name val="MonoMM1_ZeroNormal"/>
    </font>
    <font>
      <b/>
      <sz val="8"/>
      <name val="Arial"/>
      <family val="2"/>
    </font>
    <font>
      <sz val="8"/>
      <name val="Arial"/>
      <family val="2"/>
    </font>
    <font>
      <sz val="10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10"/>
      <name val="Arial Narrow"/>
      <family val="2"/>
    </font>
    <font>
      <sz val="10"/>
      <name val="Arial"/>
      <family val="2"/>
    </font>
    <font>
      <b/>
      <sz val="14"/>
      <name val="Arial"/>
      <family val="2"/>
    </font>
    <font>
      <b/>
      <sz val="11"/>
      <name val="MonoMM1_ZeroNormal"/>
      <family val="3"/>
    </font>
    <font>
      <sz val="8"/>
      <name val="Arial"/>
      <family val="2"/>
    </font>
    <font>
      <sz val="9"/>
      <name val="Arial"/>
      <family val="2"/>
    </font>
    <font>
      <sz val="11"/>
      <color rgb="FFFF0000"/>
      <name val="MonoMM1_ZeroNormal"/>
      <family val="3"/>
    </font>
    <font>
      <b/>
      <sz val="12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0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6" borderId="0" applyNumberFormat="0" applyBorder="0" applyAlignment="0" applyProtection="0"/>
    <xf numFmtId="0" fontId="4" fillId="11" borderId="1" applyNumberFormat="0" applyAlignment="0" applyProtection="0"/>
    <xf numFmtId="0" fontId="5" fillId="12" borderId="2" applyNumberFormat="0" applyAlignment="0" applyProtection="0"/>
    <xf numFmtId="0" fontId="6" fillId="0" borderId="3" applyNumberFormat="0" applyFill="0" applyAlignment="0" applyProtection="0"/>
    <xf numFmtId="0" fontId="2" fillId="1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7" fillId="7" borderId="1" applyNumberFormat="0" applyAlignment="0" applyProtection="0"/>
    <xf numFmtId="0" fontId="8" fillId="17" borderId="0" applyNumberFormat="0" applyBorder="0" applyAlignment="0" applyProtection="0"/>
    <xf numFmtId="0" fontId="9" fillId="7" borderId="0" applyNumberFormat="0" applyBorder="0" applyAlignment="0" applyProtection="0"/>
    <xf numFmtId="0" fontId="30" fillId="0" borderId="0"/>
    <xf numFmtId="0" fontId="30" fillId="4" borderId="4" applyNumberFormat="0" applyAlignment="0" applyProtection="0"/>
    <xf numFmtId="0" fontId="10" fillId="11" borderId="5" applyNumberFormat="0" applyAlignment="0" applyProtection="0"/>
    <xf numFmtId="164" fontId="30" fillId="0" borderId="0" applyFill="0" applyBorder="0" applyAlignment="0" applyProtection="0"/>
    <xf numFmtId="0" fontId="6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2" fillId="0" borderId="9" applyNumberFormat="0" applyFill="0" applyAlignment="0" applyProtection="0"/>
    <xf numFmtId="164" fontId="30" fillId="0" borderId="0" applyFill="0" applyBorder="0" applyAlignment="0" applyProtection="0"/>
    <xf numFmtId="0" fontId="1" fillId="0" borderId="0"/>
    <xf numFmtId="9" fontId="30" fillId="0" borderId="0" applyFont="0" applyFill="0" applyBorder="0" applyAlignment="0" applyProtection="0"/>
  </cellStyleXfs>
  <cellXfs count="362">
    <xf numFmtId="0" fontId="0" fillId="0" borderId="0" xfId="0"/>
    <xf numFmtId="0" fontId="0" fillId="0" borderId="0" xfId="32" applyFont="1"/>
    <xf numFmtId="4" fontId="0" fillId="0" borderId="0" xfId="32" applyNumberFormat="1" applyFont="1"/>
    <xf numFmtId="4" fontId="0" fillId="0" borderId="0" xfId="32" applyNumberFormat="1" applyFont="1" applyAlignment="1">
      <alignment horizontal="right"/>
    </xf>
    <xf numFmtId="0" fontId="0" fillId="0" borderId="0" xfId="0" applyFont="1"/>
    <xf numFmtId="0" fontId="0" fillId="0" borderId="0" xfId="0" applyBorder="1" applyAlignment="1">
      <alignment horizontal="center"/>
    </xf>
    <xf numFmtId="0" fontId="18" fillId="0" borderId="0" xfId="0" applyFont="1"/>
    <xf numFmtId="0" fontId="0" fillId="0" borderId="0" xfId="32" applyFont="1" applyAlignment="1">
      <alignment horizontal="center"/>
    </xf>
    <xf numFmtId="0" fontId="30" fillId="0" borderId="0" xfId="32"/>
    <xf numFmtId="0" fontId="21" fillId="0" borderId="0" xfId="32" applyFont="1"/>
    <xf numFmtId="0" fontId="21" fillId="0" borderId="0" xfId="32" applyFont="1" applyAlignment="1">
      <alignment vertical="center"/>
    </xf>
    <xf numFmtId="0" fontId="21" fillId="0" borderId="0" xfId="0" applyFont="1"/>
    <xf numFmtId="0" fontId="20" fillId="0" borderId="0" xfId="32" applyFont="1"/>
    <xf numFmtId="0" fontId="0" fillId="0" borderId="0" xfId="32" applyNumberFormat="1" applyFont="1" applyBorder="1" applyAlignment="1">
      <alignment vertical="top" wrapText="1"/>
    </xf>
    <xf numFmtId="0" fontId="0" fillId="0" borderId="0" xfId="32" applyFont="1" applyBorder="1"/>
    <xf numFmtId="0" fontId="26" fillId="0" borderId="0" xfId="0" applyFont="1"/>
    <xf numFmtId="0" fontId="26" fillId="0" borderId="0" xfId="0" applyFont="1" applyAlignment="1">
      <alignment horizontal="center"/>
    </xf>
    <xf numFmtId="0" fontId="27" fillId="0" borderId="0" xfId="0" applyFont="1"/>
    <xf numFmtId="0" fontId="27" fillId="0" borderId="10" xfId="0" applyFont="1" applyBorder="1" applyAlignment="1">
      <alignment horizontal="center"/>
    </xf>
    <xf numFmtId="0" fontId="27" fillId="0" borderId="10" xfId="0" applyFont="1" applyBorder="1" applyAlignment="1">
      <alignment horizontal="left" vertical="center" wrapText="1" readingOrder="1"/>
    </xf>
    <xf numFmtId="4" fontId="27" fillId="0" borderId="10" xfId="0" applyNumberFormat="1" applyFont="1" applyBorder="1" applyAlignment="1">
      <alignment horizontal="center"/>
    </xf>
    <xf numFmtId="4" fontId="28" fillId="0" borderId="10" xfId="0" applyNumberFormat="1" applyFont="1" applyBorder="1" applyAlignment="1">
      <alignment horizontal="left"/>
    </xf>
    <xf numFmtId="0" fontId="0" fillId="0" borderId="10" xfId="0" applyBorder="1" applyAlignment="1">
      <alignment horizontal="center"/>
    </xf>
    <xf numFmtId="4" fontId="28" fillId="0" borderId="10" xfId="0" applyNumberFormat="1" applyFont="1" applyBorder="1" applyAlignment="1">
      <alignment horizontal="center"/>
    </xf>
    <xf numFmtId="0" fontId="27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4" fontId="27" fillId="0" borderId="11" xfId="0" applyNumberFormat="1" applyFont="1" applyBorder="1" applyAlignment="1">
      <alignment horizontal="center"/>
    </xf>
    <xf numFmtId="4" fontId="28" fillId="0" borderId="12" xfId="0" applyNumberFormat="1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4" fontId="28" fillId="0" borderId="0" xfId="0" applyNumberFormat="1" applyFont="1" applyBorder="1" applyAlignment="1">
      <alignment horizontal="left"/>
    </xf>
    <xf numFmtId="4" fontId="28" fillId="0" borderId="0" xfId="0" applyNumberFormat="1" applyFont="1" applyBorder="1" applyAlignment="1">
      <alignment horizontal="center"/>
    </xf>
    <xf numFmtId="0" fontId="27" fillId="0" borderId="0" xfId="0" applyFont="1" applyBorder="1"/>
    <xf numFmtId="0" fontId="26" fillId="0" borderId="10" xfId="32" applyFont="1" applyBorder="1" applyAlignment="1">
      <alignment horizontal="center"/>
    </xf>
    <xf numFmtId="0" fontId="26" fillId="0" borderId="10" xfId="32" applyFont="1" applyBorder="1" applyAlignment="1">
      <alignment horizontal="left" vertical="center" wrapText="1" readingOrder="1"/>
    </xf>
    <xf numFmtId="4" fontId="26" fillId="0" borderId="10" xfId="32" applyNumberFormat="1" applyFont="1" applyBorder="1" applyAlignment="1">
      <alignment horizontal="center"/>
    </xf>
    <xf numFmtId="0" fontId="26" fillId="0" borderId="13" xfId="32" applyFont="1" applyBorder="1" applyAlignment="1">
      <alignment horizontal="center"/>
    </xf>
    <xf numFmtId="0" fontId="26" fillId="0" borderId="14" xfId="32" applyFont="1" applyBorder="1" applyAlignment="1">
      <alignment horizontal="center"/>
    </xf>
    <xf numFmtId="4" fontId="26" fillId="0" borderId="14" xfId="32" applyNumberFormat="1" applyFont="1" applyBorder="1" applyAlignment="1">
      <alignment horizontal="center"/>
    </xf>
    <xf numFmtId="0" fontId="30" fillId="0" borderId="10" xfId="32" applyBorder="1" applyAlignment="1">
      <alignment horizontal="center"/>
    </xf>
    <xf numFmtId="0" fontId="26" fillId="0" borderId="10" xfId="32" applyFont="1" applyBorder="1"/>
    <xf numFmtId="4" fontId="0" fillId="0" borderId="0" xfId="0" applyNumberFormat="1"/>
    <xf numFmtId="0" fontId="26" fillId="0" borderId="0" xfId="0" applyFont="1" applyBorder="1" applyAlignment="1">
      <alignment horizontal="center"/>
    </xf>
    <xf numFmtId="0" fontId="26" fillId="0" borderId="0" xfId="0" applyFont="1" applyBorder="1"/>
    <xf numFmtId="4" fontId="26" fillId="0" borderId="0" xfId="0" applyNumberFormat="1" applyFont="1" applyBorder="1"/>
    <xf numFmtId="4" fontId="29" fillId="0" borderId="0" xfId="0" applyNumberFormat="1" applyFont="1" applyBorder="1" applyAlignment="1">
      <alignment horizontal="center"/>
    </xf>
    <xf numFmtId="4" fontId="29" fillId="0" borderId="0" xfId="0" applyNumberFormat="1" applyFont="1" applyBorder="1"/>
    <xf numFmtId="0" fontId="27" fillId="0" borderId="0" xfId="32" applyFont="1"/>
    <xf numFmtId="0" fontId="0" fillId="0" borderId="10" xfId="32" applyFont="1" applyBorder="1"/>
    <xf numFmtId="0" fontId="0" fillId="0" borderId="10" xfId="32" applyFont="1" applyBorder="1" applyAlignment="1">
      <alignment horizontal="center"/>
    </xf>
    <xf numFmtId="2" fontId="30" fillId="0" borderId="10" xfId="32" applyNumberFormat="1" applyBorder="1" applyAlignment="1">
      <alignment horizontal="center"/>
    </xf>
    <xf numFmtId="0" fontId="27" fillId="0" borderId="0" xfId="32" applyFont="1" applyBorder="1" applyAlignment="1">
      <alignment horizontal="center"/>
    </xf>
    <xf numFmtId="0" fontId="0" fillId="0" borderId="0" xfId="0" applyFont="1" applyAlignment="1">
      <alignment horizontal="right"/>
    </xf>
    <xf numFmtId="0" fontId="0" fillId="0" borderId="14" xfId="32" applyFont="1" applyBorder="1" applyAlignment="1">
      <alignment horizontal="center"/>
    </xf>
    <xf numFmtId="2" fontId="30" fillId="0" borderId="14" xfId="32" applyNumberFormat="1" applyBorder="1" applyAlignment="1">
      <alignment horizontal="center"/>
    </xf>
    <xf numFmtId="0" fontId="27" fillId="0" borderId="0" xfId="32" applyFont="1" applyBorder="1"/>
    <xf numFmtId="0" fontId="26" fillId="0" borderId="10" xfId="0" applyFont="1" applyBorder="1" applyAlignment="1">
      <alignment horizontal="center"/>
    </xf>
    <xf numFmtId="0" fontId="21" fillId="0" borderId="0" xfId="32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64" fontId="30" fillId="0" borderId="0" xfId="44" applyBorder="1" applyAlignment="1">
      <alignment horizontal="center"/>
    </xf>
    <xf numFmtId="0" fontId="21" fillId="0" borderId="15" xfId="32" applyFont="1" applyBorder="1" applyAlignment="1">
      <alignment horizontal="center" vertical="center"/>
    </xf>
    <xf numFmtId="0" fontId="22" fillId="0" borderId="15" xfId="32" applyNumberFormat="1" applyFont="1" applyBorder="1" applyAlignment="1">
      <alignment horizontal="center" vertical="center"/>
    </xf>
    <xf numFmtId="0" fontId="21" fillId="0" borderId="15" xfId="32" applyNumberFormat="1" applyFont="1" applyBorder="1" applyAlignment="1">
      <alignment horizontal="justify" vertical="center"/>
    </xf>
    <xf numFmtId="4" fontId="21" fillId="0" borderId="15" xfId="32" applyNumberFormat="1" applyFont="1" applyBorder="1" applyAlignment="1">
      <alignment horizontal="center" vertical="center"/>
    </xf>
    <xf numFmtId="4" fontId="22" fillId="0" borderId="15" xfId="32" applyNumberFormat="1" applyFont="1" applyBorder="1" applyAlignment="1">
      <alignment horizontal="right" vertical="center"/>
    </xf>
    <xf numFmtId="0" fontId="21" fillId="11" borderId="15" xfId="32" applyFont="1" applyFill="1" applyBorder="1" applyAlignment="1">
      <alignment horizontal="justify" vertical="center"/>
    </xf>
    <xf numFmtId="0" fontId="21" fillId="11" borderId="15" xfId="32" applyFont="1" applyFill="1" applyBorder="1" applyAlignment="1">
      <alignment horizontal="center" vertical="center" wrapText="1"/>
    </xf>
    <xf numFmtId="0" fontId="21" fillId="0" borderId="15" xfId="32" applyFont="1" applyBorder="1" applyAlignment="1">
      <alignment vertical="center" wrapText="1"/>
    </xf>
    <xf numFmtId="0" fontId="20" fillId="11" borderId="16" xfId="32" applyFont="1" applyFill="1" applyBorder="1" applyAlignment="1">
      <alignment horizontal="center"/>
    </xf>
    <xf numFmtId="0" fontId="20" fillId="11" borderId="17" xfId="32" applyFont="1" applyFill="1" applyBorder="1" applyAlignment="1">
      <alignment horizontal="center"/>
    </xf>
    <xf numFmtId="0" fontId="20" fillId="11" borderId="18" xfId="32" applyFont="1" applyFill="1" applyBorder="1" applyAlignment="1">
      <alignment horizontal="center"/>
    </xf>
    <xf numFmtId="4" fontId="20" fillId="11" borderId="18" xfId="32" applyNumberFormat="1" applyFont="1" applyFill="1" applyBorder="1" applyAlignment="1">
      <alignment horizontal="center"/>
    </xf>
    <xf numFmtId="4" fontId="20" fillId="11" borderId="19" xfId="32" applyNumberFormat="1" applyFont="1" applyFill="1" applyBorder="1" applyAlignment="1">
      <alignment horizontal="center"/>
    </xf>
    <xf numFmtId="0" fontId="31" fillId="0" borderId="0" xfId="32" applyFont="1" applyAlignment="1">
      <alignment horizontal="center"/>
    </xf>
    <xf numFmtId="4" fontId="23" fillId="11" borderId="19" xfId="32" applyNumberFormat="1" applyFont="1" applyFill="1" applyBorder="1" applyAlignment="1">
      <alignment horizontal="center" vertical="center"/>
    </xf>
    <xf numFmtId="4" fontId="20" fillId="0" borderId="18" xfId="32" applyNumberFormat="1" applyFont="1" applyBorder="1" applyAlignment="1">
      <alignment horizontal="center" vertical="center"/>
    </xf>
    <xf numFmtId="0" fontId="32" fillId="0" borderId="15" xfId="32" applyNumberFormat="1" applyFont="1" applyBorder="1" applyAlignment="1">
      <alignment horizontal="center" vertical="center"/>
    </xf>
    <xf numFmtId="0" fontId="20" fillId="0" borderId="15" xfId="32" applyNumberFormat="1" applyFont="1" applyBorder="1" applyAlignment="1">
      <alignment horizontal="justify" vertical="center"/>
    </xf>
    <xf numFmtId="0" fontId="20" fillId="11" borderId="15" xfId="32" applyFont="1" applyFill="1" applyBorder="1" applyAlignment="1">
      <alignment horizontal="justify" vertical="center"/>
    </xf>
    <xf numFmtId="0" fontId="21" fillId="0" borderId="0" xfId="32" applyFont="1" applyAlignment="1">
      <alignment horizontal="left" vertical="top"/>
    </xf>
    <xf numFmtId="4" fontId="28" fillId="0" borderId="12" xfId="32" applyNumberFormat="1" applyFont="1" applyBorder="1" applyAlignment="1">
      <alignment horizontal="center"/>
    </xf>
    <xf numFmtId="4" fontId="28" fillId="0" borderId="11" xfId="0" applyNumberFormat="1" applyFont="1" applyBorder="1" applyAlignment="1">
      <alignment horizontal="left"/>
    </xf>
    <xf numFmtId="10" fontId="27" fillId="0" borderId="11" xfId="0" applyNumberFormat="1" applyFont="1" applyBorder="1" applyAlignment="1">
      <alignment horizontal="center"/>
    </xf>
    <xf numFmtId="0" fontId="26" fillId="0" borderId="14" xfId="32" applyFont="1" applyBorder="1"/>
    <xf numFmtId="0" fontId="26" fillId="0" borderId="21" xfId="32" applyFont="1" applyBorder="1" applyAlignment="1">
      <alignment horizontal="center"/>
    </xf>
    <xf numFmtId="4" fontId="26" fillId="0" borderId="22" xfId="32" applyNumberFormat="1" applyFont="1" applyBorder="1" applyAlignment="1">
      <alignment horizontal="center"/>
    </xf>
    <xf numFmtId="4" fontId="26" fillId="0" borderId="21" xfId="32" applyNumberFormat="1" applyFont="1" applyBorder="1" applyAlignment="1">
      <alignment horizontal="center"/>
    </xf>
    <xf numFmtId="4" fontId="28" fillId="0" borderId="13" xfId="0" applyNumberFormat="1" applyFont="1" applyBorder="1" applyAlignment="1">
      <alignment horizontal="left"/>
    </xf>
    <xf numFmtId="0" fontId="27" fillId="0" borderId="13" xfId="0" applyFont="1" applyBorder="1" applyAlignment="1">
      <alignment horizontal="center"/>
    </xf>
    <xf numFmtId="10" fontId="27" fillId="0" borderId="13" xfId="0" applyNumberFormat="1" applyFont="1" applyBorder="1" applyAlignment="1">
      <alignment horizontal="center"/>
    </xf>
    <xf numFmtId="0" fontId="0" fillId="0" borderId="13" xfId="0" applyBorder="1" applyAlignment="1">
      <alignment horizontal="center"/>
    </xf>
    <xf numFmtId="4" fontId="27" fillId="0" borderId="13" xfId="0" applyNumberFormat="1" applyFont="1" applyBorder="1" applyAlignment="1">
      <alignment horizontal="center"/>
    </xf>
    <xf numFmtId="0" fontId="26" fillId="0" borderId="23" xfId="32" applyFont="1" applyBorder="1" applyAlignment="1">
      <alignment horizontal="center"/>
    </xf>
    <xf numFmtId="4" fontId="28" fillId="0" borderId="23" xfId="0" applyNumberFormat="1" applyFont="1" applyBorder="1" applyAlignment="1">
      <alignment horizontal="left"/>
    </xf>
    <xf numFmtId="0" fontId="27" fillId="0" borderId="23" xfId="0" applyFont="1" applyBorder="1" applyAlignment="1">
      <alignment horizontal="center"/>
    </xf>
    <xf numFmtId="0" fontId="0" fillId="0" borderId="23" xfId="0" applyBorder="1" applyAlignment="1">
      <alignment horizontal="center"/>
    </xf>
    <xf numFmtId="4" fontId="28" fillId="0" borderId="23" xfId="0" applyNumberFormat="1" applyFont="1" applyBorder="1" applyAlignment="1">
      <alignment horizontal="center"/>
    </xf>
    <xf numFmtId="0" fontId="26" fillId="0" borderId="21" xfId="32" applyFont="1" applyBorder="1"/>
    <xf numFmtId="0" fontId="0" fillId="0" borderId="14" xfId="32" applyFont="1" applyBorder="1"/>
    <xf numFmtId="0" fontId="30" fillId="0" borderId="14" xfId="32" applyBorder="1" applyAlignment="1">
      <alignment horizontal="center"/>
    </xf>
    <xf numFmtId="0" fontId="0" fillId="0" borderId="21" xfId="32" applyFont="1" applyBorder="1"/>
    <xf numFmtId="2" fontId="30" fillId="0" borderId="21" xfId="32" applyNumberFormat="1" applyBorder="1" applyAlignment="1">
      <alignment horizontal="center"/>
    </xf>
    <xf numFmtId="0" fontId="30" fillId="0" borderId="21" xfId="32" applyBorder="1"/>
    <xf numFmtId="4" fontId="28" fillId="0" borderId="24" xfId="32" applyNumberFormat="1" applyFont="1" applyBorder="1" applyAlignment="1">
      <alignment horizontal="center"/>
    </xf>
    <xf numFmtId="164" fontId="30" fillId="0" borderId="0" xfId="44"/>
    <xf numFmtId="4" fontId="17" fillId="0" borderId="0" xfId="32" applyNumberFormat="1" applyFont="1" applyBorder="1" applyAlignment="1">
      <alignment horizontal="justify" vertical="top" wrapText="1"/>
    </xf>
    <xf numFmtId="164" fontId="30" fillId="0" borderId="0" xfId="44" applyBorder="1" applyAlignment="1">
      <alignment horizontal="justify" vertical="top" wrapText="1"/>
    </xf>
    <xf numFmtId="4" fontId="22" fillId="11" borderId="15" xfId="44" applyNumberFormat="1" applyFont="1" applyFill="1" applyBorder="1" applyAlignment="1" applyProtection="1">
      <alignment horizontal="right" vertical="center" wrapText="1"/>
    </xf>
    <xf numFmtId="4" fontId="23" fillId="0" borderId="15" xfId="32" applyNumberFormat="1" applyFont="1" applyBorder="1" applyAlignment="1">
      <alignment horizontal="right" vertical="center"/>
    </xf>
    <xf numFmtId="4" fontId="22" fillId="0" borderId="15" xfId="44" applyNumberFormat="1" applyFont="1" applyFill="1" applyBorder="1" applyAlignment="1" applyProtection="1">
      <alignment horizontal="right" vertical="center"/>
    </xf>
    <xf numFmtId="4" fontId="22" fillId="0" borderId="20" xfId="32" applyNumberFormat="1" applyFont="1" applyBorder="1" applyAlignment="1">
      <alignment horizontal="right" vertical="center"/>
    </xf>
    <xf numFmtId="0" fontId="33" fillId="0" borderId="0" xfId="0" applyFont="1"/>
    <xf numFmtId="49" fontId="27" fillId="0" borderId="10" xfId="0" applyNumberFormat="1" applyFont="1" applyBorder="1" applyAlignment="1">
      <alignment wrapText="1"/>
    </xf>
    <xf numFmtId="0" fontId="30" fillId="0" borderId="14" xfId="32" applyFont="1" applyBorder="1"/>
    <xf numFmtId="0" fontId="20" fillId="0" borderId="0" xfId="32" applyNumberFormat="1" applyFont="1" applyBorder="1" applyAlignment="1">
      <alignment horizontal="left" vertical="center" wrapText="1"/>
    </xf>
    <xf numFmtId="165" fontId="27" fillId="0" borderId="10" xfId="0" applyNumberFormat="1" applyFont="1" applyBorder="1" applyAlignment="1">
      <alignment horizontal="center"/>
    </xf>
    <xf numFmtId="164" fontId="30" fillId="0" borderId="0" xfId="44" applyAlignment="1">
      <alignment horizontal="center"/>
    </xf>
    <xf numFmtId="164" fontId="30" fillId="0" borderId="0" xfId="44" applyAlignment="1">
      <alignment horizontal="left"/>
    </xf>
    <xf numFmtId="164" fontId="20" fillId="0" borderId="15" xfId="44" applyFont="1" applyBorder="1" applyAlignment="1">
      <alignment horizontal="center" vertical="center"/>
    </xf>
    <xf numFmtId="4" fontId="35" fillId="11" borderId="15" xfId="44" applyNumberFormat="1" applyFont="1" applyFill="1" applyBorder="1" applyAlignment="1" applyProtection="1">
      <alignment horizontal="right" vertical="center" wrapText="1"/>
    </xf>
    <xf numFmtId="0" fontId="21" fillId="0" borderId="0" xfId="32" applyFont="1" applyAlignment="1"/>
    <xf numFmtId="0" fontId="21" fillId="0" borderId="0" xfId="0" applyFont="1" applyBorder="1" applyAlignment="1">
      <alignment horizontal="left" wrapText="1"/>
    </xf>
    <xf numFmtId="0" fontId="25" fillId="0" borderId="0" xfId="0" applyFont="1"/>
    <xf numFmtId="4" fontId="34" fillId="0" borderId="0" xfId="0" applyNumberFormat="1" applyFont="1"/>
    <xf numFmtId="43" fontId="21" fillId="0" borderId="0" xfId="32" applyNumberFormat="1" applyFont="1"/>
    <xf numFmtId="4" fontId="30" fillId="0" borderId="0" xfId="0" applyNumberFormat="1" applyFont="1"/>
    <xf numFmtId="4" fontId="30" fillId="0" borderId="0" xfId="32" applyNumberFormat="1" applyFont="1" applyBorder="1" applyAlignment="1">
      <alignment horizontal="center" vertical="top" wrapText="1"/>
    </xf>
    <xf numFmtId="0" fontId="20" fillId="0" borderId="15" xfId="32" applyFont="1" applyBorder="1" applyAlignment="1">
      <alignment vertical="center" wrapText="1"/>
    </xf>
    <xf numFmtId="164" fontId="0" fillId="0" borderId="0" xfId="32" applyNumberFormat="1" applyFont="1"/>
    <xf numFmtId="43" fontId="0" fillId="0" borderId="0" xfId="0" applyNumberFormat="1"/>
    <xf numFmtId="0" fontId="25" fillId="0" borderId="26" xfId="0" applyFont="1" applyBorder="1" applyAlignment="1">
      <alignment horizontal="center"/>
    </xf>
    <xf numFmtId="0" fontId="25" fillId="0" borderId="27" xfId="0" applyFont="1" applyBorder="1" applyAlignment="1">
      <alignment horizontal="left"/>
    </xf>
    <xf numFmtId="0" fontId="25" fillId="0" borderId="28" xfId="0" applyFont="1" applyBorder="1" applyAlignment="1">
      <alignment horizontal="center"/>
    </xf>
    <xf numFmtId="0" fontId="25" fillId="0" borderId="29" xfId="0" applyFont="1" applyBorder="1" applyAlignment="1">
      <alignment horizontal="center"/>
    </xf>
    <xf numFmtId="0" fontId="25" fillId="0" borderId="30" xfId="0" applyFont="1" applyBorder="1" applyAlignment="1">
      <alignment horizontal="center"/>
    </xf>
    <xf numFmtId="0" fontId="24" fillId="0" borderId="0" xfId="32" applyFont="1" applyAlignment="1">
      <alignment horizontal="center"/>
    </xf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left"/>
    </xf>
    <xf numFmtId="0" fontId="25" fillId="0" borderId="31" xfId="0" applyFont="1" applyBorder="1" applyAlignment="1">
      <alignment horizontal="center"/>
    </xf>
    <xf numFmtId="0" fontId="25" fillId="0" borderId="32" xfId="0" applyFont="1" applyBorder="1" applyAlignment="1">
      <alignment horizontal="center"/>
    </xf>
    <xf numFmtId="0" fontId="25" fillId="0" borderId="33" xfId="0" applyFont="1" applyBorder="1" applyAlignment="1">
      <alignment horizontal="center"/>
    </xf>
    <xf numFmtId="0" fontId="25" fillId="0" borderId="34" xfId="0" applyFont="1" applyBorder="1" applyAlignment="1">
      <alignment horizontal="center"/>
    </xf>
    <xf numFmtId="0" fontId="25" fillId="0" borderId="35" xfId="0" applyFont="1" applyBorder="1" applyAlignment="1">
      <alignment horizontal="center"/>
    </xf>
    <xf numFmtId="0" fontId="25" fillId="0" borderId="36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5" fillId="0" borderId="27" xfId="0" applyFont="1" applyBorder="1" applyAlignment="1"/>
    <xf numFmtId="10" fontId="25" fillId="0" borderId="27" xfId="0" applyNumberFormat="1" applyFont="1" applyBorder="1" applyAlignment="1">
      <alignment horizontal="center"/>
    </xf>
    <xf numFmtId="0" fontId="25" fillId="0" borderId="30" xfId="0" applyFont="1" applyBorder="1" applyAlignment="1"/>
    <xf numFmtId="4" fontId="25" fillId="0" borderId="20" xfId="0" applyNumberFormat="1" applyFont="1" applyBorder="1" applyAlignment="1"/>
    <xf numFmtId="4" fontId="25" fillId="0" borderId="15" xfId="0" applyNumberFormat="1" applyFont="1" applyBorder="1" applyAlignment="1">
      <alignment horizontal="center"/>
    </xf>
    <xf numFmtId="4" fontId="25" fillId="0" borderId="38" xfId="0" applyNumberFormat="1" applyFont="1" applyBorder="1" applyAlignment="1">
      <alignment horizontal="center"/>
    </xf>
    <xf numFmtId="10" fontId="25" fillId="0" borderId="15" xfId="0" applyNumberFormat="1" applyFont="1" applyBorder="1" applyAlignment="1">
      <alignment horizontal="center"/>
    </xf>
    <xf numFmtId="10" fontId="25" fillId="0" borderId="38" xfId="0" applyNumberFormat="1" applyFont="1" applyBorder="1" applyAlignment="1">
      <alignment horizontal="center"/>
    </xf>
    <xf numFmtId="4" fontId="25" fillId="0" borderId="39" xfId="0" applyNumberFormat="1" applyFont="1" applyBorder="1" applyAlignment="1">
      <alignment horizontal="center"/>
    </xf>
    <xf numFmtId="4" fontId="25" fillId="0" borderId="40" xfId="0" applyNumberFormat="1" applyFont="1" applyBorder="1" applyAlignment="1">
      <alignment horizontal="center"/>
    </xf>
    <xf numFmtId="4" fontId="25" fillId="0" borderId="27" xfId="0" applyNumberFormat="1" applyFont="1" applyBorder="1" applyAlignment="1">
      <alignment horizontal="center"/>
    </xf>
    <xf numFmtId="4" fontId="25" fillId="0" borderId="30" xfId="0" applyNumberFormat="1" applyFont="1" applyBorder="1" applyAlignment="1">
      <alignment horizontal="center"/>
    </xf>
    <xf numFmtId="0" fontId="25" fillId="0" borderId="0" xfId="0" applyFont="1" applyBorder="1"/>
    <xf numFmtId="4" fontId="25" fillId="0" borderId="15" xfId="0" applyNumberFormat="1" applyFont="1" applyBorder="1"/>
    <xf numFmtId="2" fontId="25" fillId="0" borderId="27" xfId="0" applyNumberFormat="1" applyFont="1" applyBorder="1"/>
    <xf numFmtId="2" fontId="25" fillId="0" borderId="15" xfId="0" applyNumberFormat="1" applyFont="1" applyBorder="1"/>
    <xf numFmtId="2" fontId="25" fillId="0" borderId="28" xfId="0" applyNumberFormat="1" applyFont="1" applyBorder="1"/>
    <xf numFmtId="2" fontId="25" fillId="0" borderId="38" xfId="0" applyNumberFormat="1" applyFont="1" applyBorder="1"/>
    <xf numFmtId="0" fontId="25" fillId="0" borderId="41" xfId="0" applyFont="1" applyBorder="1"/>
    <xf numFmtId="4" fontId="25" fillId="0" borderId="41" xfId="0" applyNumberFormat="1" applyFont="1" applyBorder="1"/>
    <xf numFmtId="4" fontId="25" fillId="0" borderId="25" xfId="0" applyNumberFormat="1" applyFont="1" applyBorder="1"/>
    <xf numFmtId="4" fontId="25" fillId="0" borderId="30" xfId="0" applyNumberFormat="1" applyFont="1" applyBorder="1"/>
    <xf numFmtId="0" fontId="25" fillId="0" borderId="0" xfId="0" quotePrefix="1" applyFont="1"/>
    <xf numFmtId="4" fontId="21" fillId="0" borderId="0" xfId="32" applyNumberFormat="1" applyFont="1"/>
    <xf numFmtId="0" fontId="0" fillId="0" borderId="0" xfId="32" applyFont="1" applyAlignment="1">
      <alignment vertical="top"/>
    </xf>
    <xf numFmtId="0" fontId="31" fillId="0" borderId="0" xfId="32" applyFont="1" applyAlignment="1">
      <alignment horizontal="center"/>
    </xf>
    <xf numFmtId="0" fontId="20" fillId="0" borderId="0" xfId="0" applyFont="1" applyBorder="1" applyAlignment="1">
      <alignment horizontal="center" wrapText="1"/>
    </xf>
    <xf numFmtId="0" fontId="29" fillId="0" borderId="0" xfId="32" applyFont="1" applyBorder="1" applyAlignment="1">
      <alignment horizontal="center"/>
    </xf>
    <xf numFmtId="0" fontId="0" fillId="0" borderId="0" xfId="0" applyFont="1" applyAlignment="1">
      <alignment horizontal="left"/>
    </xf>
    <xf numFmtId="4" fontId="22" fillId="11" borderId="15" xfId="44" applyNumberFormat="1" applyFont="1" applyFill="1" applyBorder="1" applyAlignment="1" applyProtection="1">
      <alignment horizontal="left" vertical="center" wrapText="1"/>
    </xf>
    <xf numFmtId="4" fontId="24" fillId="0" borderId="41" xfId="0" applyNumberFormat="1" applyFont="1" applyBorder="1"/>
    <xf numFmtId="0" fontId="31" fillId="0" borderId="0" xfId="32" applyFont="1" applyAlignment="1">
      <alignment horizontal="center"/>
    </xf>
    <xf numFmtId="0" fontId="27" fillId="0" borderId="0" xfId="45" applyFont="1" applyBorder="1"/>
    <xf numFmtId="0" fontId="1" fillId="0" borderId="0" xfId="45" applyBorder="1"/>
    <xf numFmtId="0" fontId="1" fillId="0" borderId="0" xfId="45"/>
    <xf numFmtId="0" fontId="27" fillId="0" borderId="15" xfId="32" applyFont="1" applyBorder="1" applyAlignment="1">
      <alignment horizontal="center"/>
    </xf>
    <xf numFmtId="0" fontId="27" fillId="0" borderId="56" xfId="32" applyFont="1" applyBorder="1" applyAlignment="1">
      <alignment horizontal="center"/>
    </xf>
    <xf numFmtId="0" fontId="29" fillId="0" borderId="57" xfId="32" applyFont="1" applyBorder="1" applyAlignment="1">
      <alignment horizontal="center" vertical="center" wrapText="1" readingOrder="1"/>
    </xf>
    <xf numFmtId="0" fontId="27" fillId="0" borderId="57" xfId="32" applyFont="1" applyBorder="1" applyAlignment="1">
      <alignment horizontal="center"/>
    </xf>
    <xf numFmtId="0" fontId="27" fillId="0" borderId="58" xfId="32" applyFont="1" applyBorder="1" applyAlignment="1">
      <alignment horizontal="center"/>
    </xf>
    <xf numFmtId="0" fontId="26" fillId="0" borderId="59" xfId="32" applyFont="1" applyBorder="1" applyAlignment="1">
      <alignment horizontal="center"/>
    </xf>
    <xf numFmtId="0" fontId="26" fillId="0" borderId="60" xfId="32" applyFont="1" applyBorder="1" applyAlignment="1">
      <alignment horizontal="left" vertical="center" wrapText="1" readingOrder="1"/>
    </xf>
    <xf numFmtId="0" fontId="26" fillId="0" borderId="60" xfId="32" applyFont="1" applyBorder="1" applyAlignment="1">
      <alignment horizontal="center"/>
    </xf>
    <xf numFmtId="4" fontId="26" fillId="0" borderId="63" xfId="32" applyNumberFormat="1" applyFont="1" applyBorder="1" applyAlignment="1">
      <alignment horizontal="center"/>
    </xf>
    <xf numFmtId="0" fontId="27" fillId="0" borderId="0" xfId="45" applyFont="1"/>
    <xf numFmtId="0" fontId="26" fillId="0" borderId="64" xfId="32" applyFont="1" applyBorder="1" applyAlignment="1">
      <alignment horizontal="center"/>
    </xf>
    <xf numFmtId="0" fontId="26" fillId="0" borderId="65" xfId="32" applyFont="1" applyBorder="1" applyAlignment="1">
      <alignment horizontal="left" vertical="center" wrapText="1" readingOrder="1"/>
    </xf>
    <xf numFmtId="0" fontId="26" fillId="0" borderId="65" xfId="32" applyFont="1" applyBorder="1" applyAlignment="1">
      <alignment horizontal="center"/>
    </xf>
    <xf numFmtId="4" fontId="26" fillId="0" borderId="68" xfId="32" applyNumberFormat="1" applyFont="1" applyBorder="1" applyAlignment="1">
      <alignment horizontal="center"/>
    </xf>
    <xf numFmtId="2" fontId="26" fillId="0" borderId="65" xfId="32" applyNumberFormat="1" applyFont="1" applyBorder="1" applyAlignment="1">
      <alignment horizontal="center"/>
    </xf>
    <xf numFmtId="4" fontId="26" fillId="0" borderId="65" xfId="32" applyNumberFormat="1" applyFont="1" applyBorder="1" applyAlignment="1">
      <alignment horizontal="center"/>
    </xf>
    <xf numFmtId="4" fontId="1" fillId="0" borderId="0" xfId="45" applyNumberFormat="1"/>
    <xf numFmtId="0" fontId="26" fillId="0" borderId="69" xfId="32" applyFont="1" applyBorder="1" applyAlignment="1">
      <alignment horizontal="center"/>
    </xf>
    <xf numFmtId="0" fontId="29" fillId="0" borderId="65" xfId="32" applyFont="1" applyBorder="1" applyAlignment="1">
      <alignment horizontal="left" vertical="center" wrapText="1" readingOrder="1"/>
    </xf>
    <xf numFmtId="4" fontId="29" fillId="0" borderId="68" xfId="32" applyNumberFormat="1" applyFont="1" applyBorder="1" applyAlignment="1">
      <alignment horizontal="center"/>
    </xf>
    <xf numFmtId="0" fontId="26" fillId="0" borderId="70" xfId="32" applyFont="1" applyBorder="1" applyAlignment="1">
      <alignment horizontal="center"/>
    </xf>
    <xf numFmtId="0" fontId="29" fillId="0" borderId="71" xfId="32" applyFont="1" applyBorder="1" applyAlignment="1">
      <alignment horizontal="left" vertical="center" wrapText="1" readingOrder="1"/>
    </xf>
    <xf numFmtId="0" fontId="26" fillId="0" borderId="71" xfId="32" applyFont="1" applyBorder="1" applyAlignment="1">
      <alignment horizontal="center"/>
    </xf>
    <xf numFmtId="0" fontId="26" fillId="0" borderId="72" xfId="32" applyFont="1" applyBorder="1" applyAlignment="1">
      <alignment horizontal="center"/>
    </xf>
    <xf numFmtId="4" fontId="26" fillId="0" borderId="73" xfId="32" applyNumberFormat="1" applyFont="1" applyBorder="1" applyAlignment="1">
      <alignment horizontal="center"/>
    </xf>
    <xf numFmtId="4" fontId="29" fillId="0" borderId="74" xfId="32" applyNumberFormat="1" applyFont="1" applyBorder="1" applyAlignment="1">
      <alignment horizontal="center"/>
    </xf>
    <xf numFmtId="0" fontId="26" fillId="0" borderId="75" xfId="32" applyFont="1" applyBorder="1" applyAlignment="1">
      <alignment horizontal="center"/>
    </xf>
    <xf numFmtId="0" fontId="26" fillId="0" borderId="76" xfId="32" applyFont="1" applyBorder="1" applyAlignment="1">
      <alignment horizontal="left" vertical="center" wrapText="1" readingOrder="1"/>
    </xf>
    <xf numFmtId="0" fontId="26" fillId="0" borderId="76" xfId="32" applyFont="1" applyBorder="1" applyAlignment="1">
      <alignment horizontal="center"/>
    </xf>
    <xf numFmtId="4" fontId="26" fillId="0" borderId="79" xfId="32" applyNumberFormat="1" applyFont="1" applyBorder="1" applyAlignment="1">
      <alignment horizontal="center"/>
    </xf>
    <xf numFmtId="0" fontId="26" fillId="0" borderId="80" xfId="32" applyFont="1" applyBorder="1" applyAlignment="1">
      <alignment horizontal="center"/>
    </xf>
    <xf numFmtId="4" fontId="29" fillId="0" borderId="65" xfId="32" applyNumberFormat="1" applyFont="1" applyBorder="1" applyAlignment="1">
      <alignment horizontal="left"/>
    </xf>
    <xf numFmtId="0" fontId="30" fillId="0" borderId="65" xfId="32" applyBorder="1" applyAlignment="1">
      <alignment horizontal="center"/>
    </xf>
    <xf numFmtId="4" fontId="27" fillId="0" borderId="0" xfId="45" applyNumberFormat="1" applyFont="1"/>
    <xf numFmtId="0" fontId="26" fillId="0" borderId="81" xfId="32" applyFont="1" applyBorder="1" applyAlignment="1">
      <alignment horizontal="center"/>
    </xf>
    <xf numFmtId="4" fontId="27" fillId="0" borderId="82" xfId="45" applyNumberFormat="1" applyFont="1" applyBorder="1" applyAlignment="1">
      <alignment horizontal="left"/>
    </xf>
    <xf numFmtId="0" fontId="26" fillId="0" borderId="82" xfId="32" applyFont="1" applyBorder="1" applyAlignment="1">
      <alignment horizontal="center"/>
    </xf>
    <xf numFmtId="0" fontId="30" fillId="0" borderId="82" xfId="32" applyBorder="1" applyAlignment="1">
      <alignment horizontal="center"/>
    </xf>
    <xf numFmtId="4" fontId="26" fillId="0" borderId="83" xfId="32" applyNumberFormat="1" applyFont="1" applyBorder="1" applyAlignment="1">
      <alignment horizontal="center"/>
    </xf>
    <xf numFmtId="0" fontId="26" fillId="0" borderId="42" xfId="32" applyFont="1" applyBorder="1" applyAlignment="1">
      <alignment horizontal="center"/>
    </xf>
    <xf numFmtId="4" fontId="29" fillId="0" borderId="43" xfId="32" applyNumberFormat="1" applyFont="1" applyBorder="1" applyAlignment="1">
      <alignment horizontal="left"/>
    </xf>
    <xf numFmtId="0" fontId="26" fillId="0" borderId="43" xfId="32" applyFont="1" applyBorder="1" applyAlignment="1">
      <alignment horizontal="center"/>
    </xf>
    <xf numFmtId="0" fontId="30" fillId="0" borderId="43" xfId="32" applyBorder="1" applyAlignment="1">
      <alignment horizontal="center"/>
    </xf>
    <xf numFmtId="4" fontId="29" fillId="0" borderId="84" xfId="32" applyNumberFormat="1" applyFont="1" applyBorder="1" applyAlignment="1">
      <alignment horizontal="center"/>
    </xf>
    <xf numFmtId="0" fontId="27" fillId="0" borderId="20" xfId="32" applyFont="1" applyBorder="1" applyAlignment="1">
      <alignment horizontal="left"/>
    </xf>
    <xf numFmtId="2" fontId="26" fillId="0" borderId="60" xfId="32" applyNumberFormat="1" applyFont="1" applyBorder="1" applyAlignment="1">
      <alignment horizontal="center"/>
    </xf>
    <xf numFmtId="0" fontId="27" fillId="0" borderId="20" xfId="32" applyFont="1" applyBorder="1" applyAlignment="1">
      <alignment horizontal="center"/>
    </xf>
    <xf numFmtId="0" fontId="26" fillId="0" borderId="86" xfId="32" applyFont="1" applyBorder="1" applyAlignment="1">
      <alignment wrapText="1"/>
    </xf>
    <xf numFmtId="0" fontId="26" fillId="0" borderId="87" xfId="32" applyFont="1" applyBorder="1" applyAlignment="1">
      <alignment horizontal="center"/>
    </xf>
    <xf numFmtId="2" fontId="26" fillId="0" borderId="86" xfId="32" applyNumberFormat="1" applyFont="1" applyBorder="1" applyAlignment="1">
      <alignment horizontal="center"/>
    </xf>
    <xf numFmtId="4" fontId="26" fillId="0" borderId="89" xfId="32" applyNumberFormat="1" applyFont="1" applyBorder="1" applyAlignment="1">
      <alignment horizontal="center"/>
    </xf>
    <xf numFmtId="0" fontId="26" fillId="0" borderId="65" xfId="32" applyFont="1" applyBorder="1" applyAlignment="1">
      <alignment wrapText="1"/>
    </xf>
    <xf numFmtId="0" fontId="26" fillId="0" borderId="66" xfId="32" applyFont="1" applyBorder="1" applyAlignment="1">
      <alignment horizontal="center"/>
    </xf>
    <xf numFmtId="4" fontId="26" fillId="0" borderId="90" xfId="32" applyNumberFormat="1" applyFont="1" applyBorder="1" applyAlignment="1">
      <alignment horizontal="center"/>
    </xf>
    <xf numFmtId="0" fontId="29" fillId="0" borderId="65" xfId="32" applyFont="1" applyBorder="1" applyAlignment="1">
      <alignment horizontal="center"/>
    </xf>
    <xf numFmtId="0" fontId="29" fillId="0" borderId="86" xfId="32" applyFont="1" applyBorder="1" applyAlignment="1">
      <alignment horizontal="center"/>
    </xf>
    <xf numFmtId="0" fontId="17" fillId="0" borderId="86" xfId="32" applyFont="1" applyBorder="1"/>
    <xf numFmtId="0" fontId="26" fillId="0" borderId="0" xfId="45" applyFont="1"/>
    <xf numFmtId="0" fontId="26" fillId="0" borderId="0" xfId="45" applyFont="1" applyBorder="1" applyAlignment="1">
      <alignment horizontal="center"/>
    </xf>
    <xf numFmtId="0" fontId="30" fillId="0" borderId="82" xfId="32" applyBorder="1"/>
    <xf numFmtId="0" fontId="26" fillId="0" borderId="56" xfId="32" applyFont="1" applyBorder="1" applyAlignment="1">
      <alignment horizontal="center"/>
    </xf>
    <xf numFmtId="0" fontId="30" fillId="0" borderId="43" xfId="32" applyBorder="1"/>
    <xf numFmtId="0" fontId="26" fillId="0" borderId="0" xfId="45" applyFont="1" applyBorder="1"/>
    <xf numFmtId="4" fontId="26" fillId="0" borderId="0" xfId="45" applyNumberFormat="1" applyFont="1" applyBorder="1"/>
    <xf numFmtId="0" fontId="27" fillId="0" borderId="93" xfId="32" applyFont="1" applyBorder="1" applyAlignment="1">
      <alignment horizontal="center"/>
    </xf>
    <xf numFmtId="0" fontId="27" fillId="0" borderId="43" xfId="32" applyFont="1" applyBorder="1" applyAlignment="1">
      <alignment horizontal="center"/>
    </xf>
    <xf numFmtId="0" fontId="27" fillId="0" borderId="92" xfId="32" applyFont="1" applyBorder="1" applyAlignment="1">
      <alignment horizontal="center"/>
    </xf>
    <xf numFmtId="0" fontId="26" fillId="0" borderId="86" xfId="32" applyFont="1" applyBorder="1" applyAlignment="1">
      <alignment horizontal="left" vertical="center" wrapText="1" readingOrder="1"/>
    </xf>
    <xf numFmtId="0" fontId="26" fillId="0" borderId="86" xfId="32" applyFont="1" applyBorder="1" applyAlignment="1">
      <alignment horizontal="center"/>
    </xf>
    <xf numFmtId="4" fontId="26" fillId="0" borderId="86" xfId="32" applyNumberFormat="1" applyFont="1" applyBorder="1" applyAlignment="1">
      <alignment horizontal="center"/>
    </xf>
    <xf numFmtId="4" fontId="26" fillId="0" borderId="91" xfId="32" applyNumberFormat="1" applyFont="1" applyBorder="1" applyAlignment="1">
      <alignment horizontal="center"/>
    </xf>
    <xf numFmtId="0" fontId="29" fillId="0" borderId="82" xfId="32" applyFont="1" applyBorder="1" applyAlignment="1">
      <alignment horizontal="left" vertical="center" wrapText="1" readingOrder="1"/>
    </xf>
    <xf numFmtId="4" fontId="26" fillId="0" borderId="82" xfId="32" applyNumberFormat="1" applyFont="1" applyBorder="1" applyAlignment="1">
      <alignment horizontal="center"/>
    </xf>
    <xf numFmtId="4" fontId="29" fillId="0" borderId="83" xfId="32" applyNumberFormat="1" applyFont="1" applyBorder="1" applyAlignment="1">
      <alignment horizontal="center"/>
    </xf>
    <xf numFmtId="0" fontId="26" fillId="0" borderId="57" xfId="32" applyFont="1" applyBorder="1" applyAlignment="1">
      <alignment horizontal="center"/>
    </xf>
    <xf numFmtId="4" fontId="26" fillId="0" borderId="57" xfId="32" applyNumberFormat="1" applyFont="1" applyBorder="1" applyAlignment="1">
      <alignment horizontal="center"/>
    </xf>
    <xf numFmtId="4" fontId="29" fillId="0" borderId="58" xfId="32" applyNumberFormat="1" applyFont="1" applyBorder="1" applyAlignment="1">
      <alignment horizontal="center"/>
    </xf>
    <xf numFmtId="0" fontId="26" fillId="0" borderId="71" xfId="32" applyFont="1" applyBorder="1" applyAlignment="1">
      <alignment horizontal="left" vertical="center" wrapText="1" readingOrder="1"/>
    </xf>
    <xf numFmtId="0" fontId="26" fillId="0" borderId="94" xfId="32" applyFont="1" applyBorder="1" applyAlignment="1">
      <alignment horizontal="center"/>
    </xf>
    <xf numFmtId="0" fontId="30" fillId="0" borderId="94" xfId="32" applyBorder="1" applyAlignment="1">
      <alignment horizontal="center"/>
    </xf>
    <xf numFmtId="4" fontId="29" fillId="0" borderId="95" xfId="32" applyNumberFormat="1" applyFont="1" applyBorder="1" applyAlignment="1">
      <alignment horizontal="center"/>
    </xf>
    <xf numFmtId="4" fontId="27" fillId="0" borderId="0" xfId="0" applyNumberFormat="1" applyFont="1"/>
    <xf numFmtId="0" fontId="21" fillId="0" borderId="0" xfId="32" applyFont="1" applyAlignment="1">
      <alignment horizontal="center" vertical="top"/>
    </xf>
    <xf numFmtId="4" fontId="22" fillId="11" borderId="15" xfId="44" applyNumberFormat="1" applyFont="1" applyFill="1" applyBorder="1" applyAlignment="1" applyProtection="1">
      <alignment horizontal="center" vertical="center" wrapText="1"/>
    </xf>
    <xf numFmtId="4" fontId="17" fillId="0" borderId="0" xfId="32" applyNumberFormat="1" applyFont="1" applyBorder="1" applyAlignment="1">
      <alignment horizontal="center" vertical="top" wrapText="1"/>
    </xf>
    <xf numFmtId="166" fontId="26" fillId="0" borderId="86" xfId="32" applyNumberFormat="1" applyFont="1" applyBorder="1" applyAlignment="1">
      <alignment horizontal="center"/>
    </xf>
    <xf numFmtId="166" fontId="26" fillId="0" borderId="65" xfId="32" applyNumberFormat="1" applyFont="1" applyBorder="1" applyAlignment="1">
      <alignment horizontal="center"/>
    </xf>
    <xf numFmtId="0" fontId="17" fillId="0" borderId="0" xfId="32" applyFont="1" applyAlignment="1">
      <alignment horizontal="left" vertical="top"/>
    </xf>
    <xf numFmtId="164" fontId="0" fillId="0" borderId="0" xfId="44" applyFont="1" applyAlignment="1">
      <alignment horizontal="center"/>
    </xf>
    <xf numFmtId="0" fontId="21" fillId="0" borderId="0" xfId="32" applyFont="1" applyAlignment="1">
      <alignment horizontal="center"/>
    </xf>
    <xf numFmtId="0" fontId="21" fillId="0" borderId="0" xfId="32" applyFont="1" applyAlignment="1">
      <alignment horizontal="right"/>
    </xf>
    <xf numFmtId="0" fontId="24" fillId="0" borderId="0" xfId="32" applyFont="1" applyAlignment="1">
      <alignment horizontal="center"/>
    </xf>
    <xf numFmtId="0" fontId="24" fillId="0" borderId="0" xfId="32" applyFont="1" applyAlignment="1"/>
    <xf numFmtId="0" fontId="25" fillId="0" borderId="0" xfId="0" applyFont="1" applyAlignment="1"/>
    <xf numFmtId="10" fontId="25" fillId="0" borderId="0" xfId="0" applyNumberFormat="1" applyFont="1" applyAlignment="1"/>
    <xf numFmtId="10" fontId="25" fillId="0" borderId="15" xfId="46" applyNumberFormat="1" applyFont="1" applyBorder="1" applyAlignment="1">
      <alignment horizontal="center"/>
    </xf>
    <xf numFmtId="4" fontId="24" fillId="0" borderId="27" xfId="0" applyNumberFormat="1" applyFont="1" applyBorder="1" applyAlignment="1"/>
    <xf numFmtId="0" fontId="25" fillId="18" borderId="30" xfId="0" applyFont="1" applyFill="1" applyBorder="1" applyAlignment="1"/>
    <xf numFmtId="0" fontId="25" fillId="18" borderId="15" xfId="0" applyFont="1" applyFill="1" applyBorder="1" applyAlignment="1">
      <alignment horizontal="center"/>
    </xf>
    <xf numFmtId="0" fontId="25" fillId="18" borderId="38" xfId="0" applyFont="1" applyFill="1" applyBorder="1" applyAlignment="1">
      <alignment horizontal="center"/>
    </xf>
    <xf numFmtId="0" fontId="25" fillId="18" borderId="39" xfId="0" applyFont="1" applyFill="1" applyBorder="1" applyAlignment="1">
      <alignment horizontal="center"/>
    </xf>
    <xf numFmtId="0" fontId="25" fillId="18" borderId="27" xfId="0" applyFont="1" applyFill="1" applyBorder="1" applyAlignment="1">
      <alignment horizontal="center"/>
    </xf>
    <xf numFmtId="4" fontId="25" fillId="0" borderId="20" xfId="0" applyNumberFormat="1" applyFont="1" applyBorder="1" applyAlignment="1">
      <alignment horizontal="center"/>
    </xf>
    <xf numFmtId="0" fontId="25" fillId="19" borderId="30" xfId="0" applyFont="1" applyFill="1" applyBorder="1" applyAlignment="1">
      <alignment horizontal="center"/>
    </xf>
    <xf numFmtId="10" fontId="25" fillId="0" borderId="100" xfId="0" applyNumberFormat="1" applyFont="1" applyBorder="1" applyAlignment="1">
      <alignment horizontal="center"/>
    </xf>
    <xf numFmtId="4" fontId="25" fillId="0" borderId="27" xfId="0" applyNumberFormat="1" applyFont="1" applyBorder="1"/>
    <xf numFmtId="0" fontId="25" fillId="0" borderId="103" xfId="0" applyFont="1" applyBorder="1" applyAlignment="1">
      <alignment horizontal="center"/>
    </xf>
    <xf numFmtId="0" fontId="25" fillId="0" borderId="104" xfId="0" applyFont="1" applyBorder="1" applyAlignment="1">
      <alignment horizontal="center"/>
    </xf>
    <xf numFmtId="4" fontId="25" fillId="0" borderId="105" xfId="0" applyNumberFormat="1" applyFont="1" applyBorder="1" applyAlignment="1">
      <alignment horizontal="center"/>
    </xf>
    <xf numFmtId="10" fontId="25" fillId="0" borderId="105" xfId="46" applyNumberFormat="1" applyFont="1" applyBorder="1" applyAlignment="1">
      <alignment horizontal="center"/>
    </xf>
    <xf numFmtId="0" fontId="25" fillId="18" borderId="105" xfId="0" applyFont="1" applyFill="1" applyBorder="1" applyAlignment="1">
      <alignment horizontal="center"/>
    </xf>
    <xf numFmtId="4" fontId="25" fillId="0" borderId="106" xfId="0" applyNumberFormat="1" applyFont="1" applyBorder="1" applyAlignment="1">
      <alignment horizontal="center"/>
    </xf>
    <xf numFmtId="10" fontId="25" fillId="0" borderId="107" xfId="0" applyNumberFormat="1" applyFont="1" applyBorder="1" applyAlignment="1">
      <alignment horizontal="center"/>
    </xf>
    <xf numFmtId="4" fontId="25" fillId="0" borderId="107" xfId="0" applyNumberFormat="1" applyFont="1" applyBorder="1" applyAlignment="1">
      <alignment horizontal="center"/>
    </xf>
    <xf numFmtId="10" fontId="25" fillId="0" borderId="105" xfId="0" applyNumberFormat="1" applyFont="1" applyBorder="1" applyAlignment="1">
      <alignment horizontal="center"/>
    </xf>
    <xf numFmtId="4" fontId="25" fillId="0" borderId="105" xfId="0" applyNumberFormat="1" applyFont="1" applyBorder="1"/>
    <xf numFmtId="2" fontId="25" fillId="0" borderId="107" xfId="0" applyNumberFormat="1" applyFont="1" applyBorder="1"/>
    <xf numFmtId="2" fontId="25" fillId="0" borderId="105" xfId="0" applyNumberFormat="1" applyFont="1" applyBorder="1"/>
    <xf numFmtId="4" fontId="25" fillId="0" borderId="34" xfId="0" applyNumberFormat="1" applyFont="1" applyBorder="1"/>
    <xf numFmtId="4" fontId="25" fillId="0" borderId="104" xfId="0" applyNumberFormat="1" applyFont="1" applyBorder="1"/>
    <xf numFmtId="164" fontId="30" fillId="0" borderId="0" xfId="44" applyAlignment="1">
      <alignment horizontal="center"/>
    </xf>
    <xf numFmtId="164" fontId="0" fillId="0" borderId="0" xfId="32" applyNumberFormat="1" applyFont="1" applyAlignment="1">
      <alignment horizontal="center"/>
    </xf>
    <xf numFmtId="0" fontId="31" fillId="0" borderId="0" xfId="32" applyFont="1" applyAlignment="1">
      <alignment horizontal="center"/>
    </xf>
    <xf numFmtId="0" fontId="19" fillId="0" borderId="0" xfId="32" applyFont="1" applyAlignment="1">
      <alignment horizontal="center"/>
    </xf>
    <xf numFmtId="0" fontId="20" fillId="0" borderId="0" xfId="0" applyFont="1" applyAlignment="1">
      <alignment horizontal="right"/>
    </xf>
    <xf numFmtId="0" fontId="20" fillId="0" borderId="42" xfId="32" applyNumberFormat="1" applyFont="1" applyBorder="1" applyAlignment="1">
      <alignment horizontal="center" vertical="center"/>
    </xf>
    <xf numFmtId="0" fontId="20" fillId="0" borderId="43" xfId="32" applyNumberFormat="1" applyFont="1" applyBorder="1" applyAlignment="1">
      <alignment horizontal="center" vertical="center"/>
    </xf>
    <xf numFmtId="0" fontId="20" fillId="0" borderId="17" xfId="32" applyNumberFormat="1" applyFont="1" applyBorder="1" applyAlignment="1">
      <alignment horizontal="center" vertical="center"/>
    </xf>
    <xf numFmtId="0" fontId="20" fillId="0" borderId="0" xfId="32" applyNumberFormat="1" applyFont="1" applyBorder="1" applyAlignment="1">
      <alignment horizontal="left" vertical="center" wrapText="1"/>
    </xf>
    <xf numFmtId="0" fontId="20" fillId="0" borderId="0" xfId="32" applyFont="1" applyBorder="1" applyAlignment="1">
      <alignment horizontal="center"/>
    </xf>
    <xf numFmtId="0" fontId="20" fillId="0" borderId="0" xfId="32" applyFont="1" applyAlignment="1">
      <alignment horizontal="center" vertical="top"/>
    </xf>
    <xf numFmtId="0" fontId="20" fillId="0" borderId="0" xfId="0" applyFont="1" applyBorder="1" applyAlignment="1">
      <alignment horizontal="center" wrapText="1"/>
    </xf>
    <xf numFmtId="0" fontId="24" fillId="0" borderId="0" xfId="32" applyFont="1" applyAlignment="1">
      <alignment horizontal="center"/>
    </xf>
    <xf numFmtId="164" fontId="24" fillId="0" borderId="27" xfId="44" applyFont="1" applyBorder="1" applyAlignment="1">
      <alignment horizontal="center" vertical="center"/>
    </xf>
    <xf numFmtId="164" fontId="24" fillId="0" borderId="34" xfId="44" applyFont="1" applyBorder="1" applyAlignment="1">
      <alignment horizontal="center" vertical="center"/>
    </xf>
    <xf numFmtId="0" fontId="25" fillId="0" borderId="44" xfId="0" applyFont="1" applyBorder="1" applyAlignment="1">
      <alignment horizontal="center"/>
    </xf>
    <xf numFmtId="0" fontId="25" fillId="0" borderId="37" xfId="0" applyFont="1" applyBorder="1" applyAlignment="1">
      <alignment horizontal="center"/>
    </xf>
    <xf numFmtId="0" fontId="25" fillId="0" borderId="101" xfId="0" applyFont="1" applyBorder="1" applyAlignment="1">
      <alignment horizontal="center"/>
    </xf>
    <xf numFmtId="0" fontId="25" fillId="0" borderId="102" xfId="0" applyFont="1" applyBorder="1" applyAlignment="1">
      <alignment horizontal="center"/>
    </xf>
    <xf numFmtId="0" fontId="25" fillId="0" borderId="45" xfId="0" applyFont="1" applyBorder="1" applyAlignment="1">
      <alignment horizontal="center"/>
    </xf>
    <xf numFmtId="0" fontId="25" fillId="0" borderId="46" xfId="0" applyFont="1" applyBorder="1" applyAlignment="1">
      <alignment horizontal="center"/>
    </xf>
    <xf numFmtId="0" fontId="25" fillId="0" borderId="47" xfId="0" applyFont="1" applyBorder="1" applyAlignment="1">
      <alignment horizontal="center" vertical="center"/>
    </xf>
    <xf numFmtId="0" fontId="25" fillId="0" borderId="48" xfId="0" applyFont="1" applyBorder="1" applyAlignment="1">
      <alignment horizontal="center" vertical="center"/>
    </xf>
    <xf numFmtId="0" fontId="25" fillId="0" borderId="49" xfId="0" applyFont="1" applyBorder="1" applyAlignment="1">
      <alignment horizontal="center" vertical="center"/>
    </xf>
    <xf numFmtId="0" fontId="25" fillId="0" borderId="50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0" fontId="25" fillId="0" borderId="51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36" fillId="0" borderId="0" xfId="32" applyFont="1" applyAlignment="1">
      <alignment horizontal="center"/>
    </xf>
    <xf numFmtId="0" fontId="28" fillId="0" borderId="38" xfId="45" applyFont="1" applyBorder="1" applyAlignment="1">
      <alignment horizontal="left"/>
    </xf>
    <xf numFmtId="0" fontId="28" fillId="0" borderId="36" xfId="45" applyFont="1" applyBorder="1" applyAlignment="1">
      <alignment horizontal="left"/>
    </xf>
    <xf numFmtId="0" fontId="28" fillId="0" borderId="37" xfId="45" applyFont="1" applyBorder="1" applyAlignment="1">
      <alignment horizontal="left"/>
    </xf>
    <xf numFmtId="4" fontId="26" fillId="0" borderId="66" xfId="32" applyNumberFormat="1" applyFont="1" applyBorder="1" applyAlignment="1">
      <alignment horizontal="center"/>
    </xf>
    <xf numFmtId="4" fontId="26" fillId="0" borderId="67" xfId="32" applyNumberFormat="1" applyFont="1" applyBorder="1" applyAlignment="1">
      <alignment horizontal="center"/>
    </xf>
    <xf numFmtId="0" fontId="27" fillId="0" borderId="38" xfId="32" applyFont="1" applyBorder="1" applyAlignment="1">
      <alignment horizontal="center"/>
    </xf>
    <xf numFmtId="0" fontId="27" fillId="0" borderId="37" xfId="32" applyFont="1" applyBorder="1" applyAlignment="1">
      <alignment horizontal="center"/>
    </xf>
    <xf numFmtId="4" fontId="26" fillId="0" borderId="61" xfId="32" applyNumberFormat="1" applyFont="1" applyBorder="1" applyAlignment="1">
      <alignment horizontal="center"/>
    </xf>
    <xf numFmtId="4" fontId="26" fillId="0" borderId="62" xfId="32" applyNumberFormat="1" applyFont="1" applyBorder="1" applyAlignment="1">
      <alignment horizontal="center"/>
    </xf>
    <xf numFmtId="4" fontId="26" fillId="0" borderId="77" xfId="32" applyNumberFormat="1" applyFont="1" applyBorder="1" applyAlignment="1">
      <alignment horizontal="center"/>
    </xf>
    <xf numFmtId="4" fontId="26" fillId="0" borderId="78" xfId="32" applyNumberFormat="1" applyFont="1" applyBorder="1" applyAlignment="1">
      <alignment horizontal="center"/>
    </xf>
    <xf numFmtId="0" fontId="27" fillId="0" borderId="40" xfId="32" applyFont="1" applyBorder="1" applyAlignment="1">
      <alignment horizontal="center"/>
    </xf>
    <xf numFmtId="0" fontId="27" fillId="0" borderId="85" xfId="32" applyFont="1" applyBorder="1" applyAlignment="1">
      <alignment horizontal="center"/>
    </xf>
    <xf numFmtId="4" fontId="26" fillId="0" borderId="87" xfId="32" applyNumberFormat="1" applyFont="1" applyBorder="1" applyAlignment="1">
      <alignment horizontal="center"/>
    </xf>
    <xf numFmtId="4" fontId="26" fillId="0" borderId="88" xfId="32" applyNumberFormat="1" applyFont="1" applyBorder="1" applyAlignment="1">
      <alignment horizontal="center"/>
    </xf>
    <xf numFmtId="166" fontId="26" fillId="0" borderId="87" xfId="32" applyNumberFormat="1" applyFont="1" applyBorder="1" applyAlignment="1">
      <alignment horizontal="center"/>
    </xf>
    <xf numFmtId="166" fontId="26" fillId="0" borderId="88" xfId="32" applyNumberFormat="1" applyFont="1" applyBorder="1" applyAlignment="1">
      <alignment horizontal="center"/>
    </xf>
    <xf numFmtId="166" fontId="26" fillId="0" borderId="66" xfId="32" applyNumberFormat="1" applyFont="1" applyBorder="1" applyAlignment="1">
      <alignment horizontal="center"/>
    </xf>
    <xf numFmtId="166" fontId="26" fillId="0" borderId="67" xfId="32" applyNumberFormat="1" applyFont="1" applyBorder="1" applyAlignment="1">
      <alignment horizontal="center"/>
    </xf>
    <xf numFmtId="0" fontId="26" fillId="0" borderId="66" xfId="32" applyFont="1" applyBorder="1" applyAlignment="1">
      <alignment horizontal="center"/>
    </xf>
    <xf numFmtId="0" fontId="26" fillId="0" borderId="67" xfId="32" applyFont="1" applyBorder="1" applyAlignment="1">
      <alignment horizontal="center"/>
    </xf>
    <xf numFmtId="0" fontId="26" fillId="0" borderId="98" xfId="32" applyFont="1" applyBorder="1" applyAlignment="1">
      <alignment horizontal="center"/>
    </xf>
    <xf numFmtId="0" fontId="26" fillId="0" borderId="99" xfId="32" applyFont="1" applyBorder="1" applyAlignment="1">
      <alignment horizontal="center"/>
    </xf>
    <xf numFmtId="0" fontId="29" fillId="0" borderId="66" xfId="32" applyFont="1" applyBorder="1" applyAlignment="1">
      <alignment horizontal="center"/>
    </xf>
    <xf numFmtId="0" fontId="29" fillId="0" borderId="67" xfId="32" applyFont="1" applyBorder="1" applyAlignment="1">
      <alignment horizontal="center"/>
    </xf>
    <xf numFmtId="4" fontId="28" fillId="0" borderId="53" xfId="0" applyNumberFormat="1" applyFont="1" applyBorder="1" applyAlignment="1">
      <alignment horizontal="center"/>
    </xf>
    <xf numFmtId="4" fontId="28" fillId="0" borderId="54" xfId="0" applyNumberFormat="1" applyFont="1" applyBorder="1" applyAlignment="1">
      <alignment horizontal="center"/>
    </xf>
    <xf numFmtId="0" fontId="26" fillId="0" borderId="52" xfId="32" applyFont="1" applyBorder="1" applyAlignment="1">
      <alignment horizontal="left" vertical="center" wrapText="1" readingOrder="1"/>
    </xf>
    <xf numFmtId="0" fontId="26" fillId="0" borderId="22" xfId="32" applyFont="1" applyBorder="1" applyAlignment="1">
      <alignment horizontal="left" vertical="center" wrapText="1" readingOrder="1"/>
    </xf>
    <xf numFmtId="0" fontId="26" fillId="0" borderId="55" xfId="32" applyFont="1" applyBorder="1" applyAlignment="1">
      <alignment horizontal="left" vertical="center" wrapText="1" readingOrder="1"/>
    </xf>
    <xf numFmtId="0" fontId="28" fillId="0" borderId="10" xfId="0" applyFont="1" applyBorder="1" applyAlignment="1">
      <alignment horizontal="left"/>
    </xf>
    <xf numFmtId="0" fontId="28" fillId="0" borderId="10" xfId="32" applyFont="1" applyBorder="1" applyAlignment="1">
      <alignment horizontal="left"/>
    </xf>
    <xf numFmtId="0" fontId="27" fillId="0" borderId="96" xfId="32" applyFont="1" applyBorder="1" applyAlignment="1">
      <alignment horizontal="center"/>
    </xf>
    <xf numFmtId="0" fontId="27" fillId="0" borderId="97" xfId="32" applyFont="1" applyBorder="1" applyAlignment="1">
      <alignment horizontal="center"/>
    </xf>
  </cellXfs>
  <cellStyles count="47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Neutra" xfId="31" builtinId="28" customBuiltin="1"/>
    <cellStyle name="Normal" xfId="0" builtinId="0"/>
    <cellStyle name="Normal 2" xfId="32"/>
    <cellStyle name="Normal_Análise de Custo FEIRA DA MATA 144513.10" xfId="45"/>
    <cellStyle name="Nota" xfId="33" builtinId="10" customBuiltin="1"/>
    <cellStyle name="Porcentagem" xfId="46" builtinId="5"/>
    <cellStyle name="Saída" xfId="34" builtinId="21" customBuiltin="1"/>
    <cellStyle name="Separador de milhares 2" xfId="35"/>
    <cellStyle name="Texto de Aviso" xfId="36" builtinId="11" customBuiltin="1"/>
    <cellStyle name="Texto Explicativo" xfId="37" builtinId="53" customBuiltin="1"/>
    <cellStyle name="Título 1" xfId="38" builtinId="16" customBuiltin="1"/>
    <cellStyle name="Título 2" xfId="39" builtinId="17" customBuiltin="1"/>
    <cellStyle name="Título 3" xfId="40" builtinId="18" customBuiltin="1"/>
    <cellStyle name="Título 4" xfId="41" builtinId="19" customBuiltin="1"/>
    <cellStyle name="Título 5" xfId="42"/>
    <cellStyle name="Total" xfId="43" builtinId="25" customBuiltin="1"/>
    <cellStyle name="Vírgula" xfId="44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FFCC99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76200</xdr:colOff>
          <xdr:row>0</xdr:row>
          <xdr:rowOff>123825</xdr:rowOff>
        </xdr:from>
        <xdr:to>
          <xdr:col>1</xdr:col>
          <xdr:colOff>2076450</xdr:colOff>
          <xdr:row>3</xdr:row>
          <xdr:rowOff>85725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180975</xdr:colOff>
          <xdr:row>1</xdr:row>
          <xdr:rowOff>9525</xdr:rowOff>
        </xdr:from>
        <xdr:to>
          <xdr:col>3</xdr:col>
          <xdr:colOff>390525</xdr:colOff>
          <xdr:row>5</xdr:row>
          <xdr:rowOff>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171450</xdr:colOff>
          <xdr:row>1</xdr:row>
          <xdr:rowOff>47625</xdr:rowOff>
        </xdr:from>
        <xdr:to>
          <xdr:col>2</xdr:col>
          <xdr:colOff>390525</xdr:colOff>
          <xdr:row>5</xdr:row>
          <xdr:rowOff>38100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49"/>
  <sheetViews>
    <sheetView showGridLines="0" topLeftCell="A7" zoomScaleNormal="100" zoomScaleSheetLayoutView="100" workbookViewId="0">
      <selection activeCell="G7" sqref="G7"/>
    </sheetView>
  </sheetViews>
  <sheetFormatPr defaultRowHeight="12.75"/>
  <cols>
    <col min="1" max="1" width="14.28515625" style="1" customWidth="1"/>
    <col min="2" max="2" width="57" style="1" customWidth="1"/>
    <col min="3" max="3" width="5.7109375" style="7" bestFit="1" customWidth="1"/>
    <col min="4" max="4" width="14.28515625" style="2" bestFit="1" customWidth="1"/>
    <col min="5" max="5" width="12.85546875" style="2" bestFit="1" customWidth="1"/>
    <col min="6" max="6" width="20.42578125" style="3" customWidth="1"/>
    <col min="7" max="7" width="12" style="115" customWidth="1"/>
    <col min="8" max="9" width="16" style="115" customWidth="1"/>
    <col min="10" max="11" width="16" style="1" customWidth="1"/>
    <col min="12" max="12" width="9.140625" style="1"/>
    <col min="13" max="13" width="12.7109375" style="1" bestFit="1" customWidth="1"/>
    <col min="14" max="16384" width="9.140625" style="1"/>
  </cols>
  <sheetData>
    <row r="1" spans="1:256" s="4" customFormat="1" ht="20.25">
      <c r="A1" s="302"/>
      <c r="B1" s="302"/>
      <c r="C1" s="302"/>
      <c r="D1" s="302"/>
      <c r="E1" s="302"/>
      <c r="F1" s="302"/>
      <c r="G1" s="115"/>
      <c r="H1" s="115"/>
      <c r="I1" s="115"/>
      <c r="J1" s="8"/>
      <c r="K1" s="103"/>
    </row>
    <row r="2" spans="1:256" s="4" customFormat="1" ht="18">
      <c r="A2" s="301"/>
      <c r="B2" s="301"/>
      <c r="C2" s="301"/>
      <c r="D2" s="301"/>
      <c r="E2" s="301"/>
      <c r="F2" s="301"/>
      <c r="G2" s="115"/>
      <c r="H2" s="115"/>
      <c r="I2" s="115"/>
      <c r="J2" s="8"/>
    </row>
    <row r="3" spans="1:256" s="4" customFormat="1" ht="18">
      <c r="A3" s="175"/>
      <c r="B3" s="175"/>
      <c r="C3" s="175"/>
      <c r="D3" s="175"/>
      <c r="E3" s="175"/>
      <c r="F3" s="175"/>
      <c r="G3" s="115"/>
      <c r="H3" s="115"/>
      <c r="I3" s="115"/>
      <c r="J3" s="8"/>
    </row>
    <row r="4" spans="1:256" s="4" customFormat="1" ht="18">
      <c r="A4" s="72"/>
      <c r="B4" s="72"/>
      <c r="C4" s="169"/>
      <c r="D4" s="72"/>
      <c r="E4" s="72"/>
      <c r="F4" s="72"/>
      <c r="G4" s="115"/>
      <c r="H4" s="115"/>
      <c r="I4" s="115"/>
      <c r="J4" s="8"/>
    </row>
    <row r="5" spans="1:256" ht="15" customHeight="1">
      <c r="A5" s="266" t="s">
        <v>56</v>
      </c>
      <c r="B5" s="172" t="s">
        <v>159</v>
      </c>
      <c r="C5" s="261"/>
      <c r="D5" s="78"/>
      <c r="E5" s="10"/>
      <c r="F5" s="10"/>
      <c r="J5" s="9"/>
      <c r="K5" s="4"/>
      <c r="L5" s="11"/>
      <c r="M5" s="11"/>
      <c r="N5" s="11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ht="17.25" customHeight="1">
      <c r="A6" s="266" t="s">
        <v>160</v>
      </c>
      <c r="B6" s="168" t="s">
        <v>161</v>
      </c>
      <c r="C6" s="261"/>
      <c r="D6" s="78"/>
      <c r="E6" s="12"/>
      <c r="F6" s="10"/>
      <c r="J6" s="9"/>
      <c r="K6" s="4"/>
      <c r="L6" s="11"/>
      <c r="M6" s="11"/>
      <c r="N6" s="11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ht="17.25" customHeight="1">
      <c r="A7" s="120"/>
      <c r="B7" s="119"/>
      <c r="C7" s="261"/>
      <c r="D7" s="78"/>
      <c r="E7" s="12"/>
      <c r="F7" s="10"/>
      <c r="J7" s="9"/>
      <c r="K7" s="4"/>
      <c r="L7" s="11"/>
      <c r="M7" s="11"/>
      <c r="N7" s="11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spans="1:256" ht="17.25" customHeight="1">
      <c r="A8" s="309" t="s">
        <v>169</v>
      </c>
      <c r="B8" s="309"/>
      <c r="C8" s="309"/>
      <c r="D8" s="309"/>
      <c r="E8" s="309"/>
      <c r="F8" s="309"/>
      <c r="J8" s="9"/>
      <c r="K8" s="4"/>
      <c r="L8" s="11"/>
      <c r="M8" s="11"/>
      <c r="N8" s="11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 ht="12.75" customHeight="1">
      <c r="B9" s="113"/>
      <c r="C9" s="170"/>
      <c r="D9" s="1"/>
      <c r="E9" s="303"/>
      <c r="F9" s="303"/>
      <c r="G9" s="103"/>
      <c r="J9" s="11"/>
      <c r="K9" s="4"/>
      <c r="L9" s="11"/>
      <c r="M9" s="11"/>
      <c r="N9" s="11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 ht="12.75" customHeight="1">
      <c r="A10" s="307" t="s">
        <v>80</v>
      </c>
      <c r="B10" s="307"/>
      <c r="C10" s="310" t="s">
        <v>79</v>
      </c>
      <c r="D10" s="310"/>
      <c r="E10" s="303" t="s">
        <v>166</v>
      </c>
      <c r="F10" s="303"/>
      <c r="J10" s="9"/>
      <c r="K10" s="4"/>
      <c r="L10" s="9"/>
      <c r="M10" s="9"/>
      <c r="N10" s="9"/>
    </row>
    <row r="11" spans="1:256" ht="15.75" thickBot="1">
      <c r="A11" s="308"/>
      <c r="B11" s="308"/>
      <c r="C11" s="308"/>
      <c r="D11" s="308"/>
      <c r="E11" s="308"/>
      <c r="F11" s="308"/>
      <c r="J11" s="9"/>
      <c r="K11" s="4"/>
      <c r="L11" s="9"/>
      <c r="M11" s="9"/>
      <c r="N11" s="9"/>
    </row>
    <row r="12" spans="1:256" ht="15.75" thickBot="1">
      <c r="A12" s="67" t="s">
        <v>19</v>
      </c>
      <c r="B12" s="68" t="s">
        <v>0</v>
      </c>
      <c r="C12" s="69" t="s">
        <v>1</v>
      </c>
      <c r="D12" s="70" t="s">
        <v>2</v>
      </c>
      <c r="E12" s="70" t="s">
        <v>3</v>
      </c>
      <c r="F12" s="71" t="s">
        <v>4</v>
      </c>
      <c r="G12" s="267" t="s">
        <v>163</v>
      </c>
      <c r="H12" s="267" t="s">
        <v>164</v>
      </c>
      <c r="I12" s="267" t="s">
        <v>167</v>
      </c>
      <c r="J12" s="268" t="s">
        <v>165</v>
      </c>
      <c r="K12" s="268" t="s">
        <v>165</v>
      </c>
      <c r="L12" s="9"/>
      <c r="M12" s="9"/>
      <c r="N12" s="9"/>
    </row>
    <row r="13" spans="1:256" ht="15">
      <c r="A13" s="60"/>
      <c r="B13" s="64"/>
      <c r="C13" s="65"/>
      <c r="D13" s="106"/>
      <c r="E13" s="118"/>
      <c r="F13" s="63"/>
      <c r="J13" s="9"/>
      <c r="K13" s="4"/>
      <c r="L13" s="9"/>
      <c r="M13" s="9"/>
      <c r="N13" s="9"/>
    </row>
    <row r="14" spans="1:256" ht="15.75">
      <c r="A14" s="75" t="s">
        <v>144</v>
      </c>
      <c r="B14" s="76" t="s">
        <v>5</v>
      </c>
      <c r="C14" s="65"/>
      <c r="D14" s="106"/>
      <c r="E14" s="118"/>
      <c r="F14" s="117">
        <f>SUM(F15:F21)+0.02</f>
        <v>94686.73</v>
      </c>
      <c r="G14" s="58"/>
      <c r="H14" s="58"/>
      <c r="I14" s="58"/>
      <c r="J14" s="9"/>
      <c r="K14" s="4"/>
      <c r="L14" s="9"/>
      <c r="M14" s="9"/>
      <c r="N14" s="9"/>
    </row>
    <row r="15" spans="1:256" ht="15">
      <c r="A15" s="60" t="s">
        <v>137</v>
      </c>
      <c r="B15" s="173" t="s">
        <v>6</v>
      </c>
      <c r="C15" s="262" t="s">
        <v>7</v>
      </c>
      <c r="D15" s="106">
        <v>1</v>
      </c>
      <c r="E15" s="106">
        <f>Compô!F15</f>
        <v>3399.4</v>
      </c>
      <c r="F15" s="106">
        <f>ROUND(D15*E15,2)</f>
        <v>3399.4</v>
      </c>
      <c r="G15" s="58"/>
      <c r="H15" s="58"/>
      <c r="I15" s="58"/>
      <c r="J15" s="9"/>
      <c r="K15" s="4"/>
      <c r="L15" s="9"/>
      <c r="M15" s="9"/>
      <c r="N15" s="9"/>
    </row>
    <row r="16" spans="1:256" ht="15">
      <c r="A16" s="60" t="s">
        <v>138</v>
      </c>
      <c r="B16" s="173" t="s">
        <v>8</v>
      </c>
      <c r="C16" s="262" t="s">
        <v>7</v>
      </c>
      <c r="D16" s="106">
        <v>1</v>
      </c>
      <c r="E16" s="106">
        <f>Compô!F23</f>
        <v>3399.4</v>
      </c>
      <c r="F16" s="106">
        <f t="shared" ref="F16:F21" si="0">ROUND(D16*E16,2)</f>
        <v>3399.4</v>
      </c>
      <c r="G16" s="58"/>
      <c r="H16" s="58"/>
      <c r="I16" s="58"/>
      <c r="J16" s="9"/>
      <c r="K16" s="4"/>
      <c r="L16" s="9"/>
      <c r="M16" s="103"/>
      <c r="N16" s="9"/>
    </row>
    <row r="17" spans="1:14" ht="15">
      <c r="A17" s="60" t="s">
        <v>139</v>
      </c>
      <c r="B17" s="173" t="s">
        <v>38</v>
      </c>
      <c r="C17" s="262" t="s">
        <v>9</v>
      </c>
      <c r="D17" s="106">
        <v>12</v>
      </c>
      <c r="E17" s="106">
        <f>Compô!G57</f>
        <v>264.20991249999992</v>
      </c>
      <c r="F17" s="106">
        <f t="shared" si="0"/>
        <v>3170.52</v>
      </c>
      <c r="G17" s="58"/>
      <c r="H17" s="56"/>
      <c r="I17" s="56"/>
      <c r="J17" s="167"/>
      <c r="K17" s="4"/>
      <c r="L17" s="9"/>
      <c r="M17" s="40"/>
      <c r="N17" s="9"/>
    </row>
    <row r="18" spans="1:14" ht="30">
      <c r="A18" s="60" t="s">
        <v>140</v>
      </c>
      <c r="B18" s="173" t="s">
        <v>39</v>
      </c>
      <c r="C18" s="262" t="s">
        <v>10</v>
      </c>
      <c r="D18" s="106">
        <v>6</v>
      </c>
      <c r="E18" s="106">
        <f>Compô!F78</f>
        <v>7563.6777499999989</v>
      </c>
      <c r="F18" s="106">
        <f t="shared" si="0"/>
        <v>45382.07</v>
      </c>
      <c r="G18" s="58"/>
      <c r="H18" s="56"/>
      <c r="I18" s="56"/>
      <c r="J18" s="9"/>
      <c r="K18" s="4"/>
      <c r="L18" s="9"/>
      <c r="M18" s="123"/>
      <c r="N18" s="9"/>
    </row>
    <row r="19" spans="1:14" ht="15">
      <c r="A19" s="60" t="s">
        <v>141</v>
      </c>
      <c r="B19" s="173" t="s">
        <v>162</v>
      </c>
      <c r="C19" s="262" t="s">
        <v>11</v>
      </c>
      <c r="D19" s="106">
        <v>20</v>
      </c>
      <c r="E19" s="106">
        <f>Compô!F89</f>
        <v>58.374999999999993</v>
      </c>
      <c r="F19" s="106">
        <f t="shared" si="0"/>
        <v>1167.5</v>
      </c>
      <c r="G19" s="58"/>
      <c r="H19" s="56"/>
      <c r="I19" s="56"/>
      <c r="J19" s="9"/>
      <c r="K19" s="4"/>
      <c r="L19" s="9"/>
      <c r="M19" s="9"/>
      <c r="N19" s="9"/>
    </row>
    <row r="20" spans="1:14" ht="15">
      <c r="A20" s="60" t="s">
        <v>142</v>
      </c>
      <c r="B20" s="173" t="s">
        <v>151</v>
      </c>
      <c r="C20" s="262" t="s">
        <v>9</v>
      </c>
      <c r="D20" s="106">
        <v>6</v>
      </c>
      <c r="E20" s="106">
        <f>Compô!G110</f>
        <v>248.07729999999998</v>
      </c>
      <c r="F20" s="106">
        <f t="shared" si="0"/>
        <v>1488.46</v>
      </c>
      <c r="G20" s="58"/>
      <c r="H20" s="56"/>
      <c r="I20" s="56"/>
      <c r="J20" s="167"/>
      <c r="K20" s="4"/>
      <c r="L20" s="9"/>
      <c r="M20" s="9"/>
      <c r="N20" s="9"/>
    </row>
    <row r="21" spans="1:14" ht="30">
      <c r="A21" s="60" t="s">
        <v>143</v>
      </c>
      <c r="B21" s="173" t="s">
        <v>71</v>
      </c>
      <c r="C21" s="262" t="s">
        <v>9</v>
      </c>
      <c r="D21" s="106">
        <v>15000</v>
      </c>
      <c r="E21" s="106">
        <f>Compô!G127</f>
        <v>2.4452909246575345</v>
      </c>
      <c r="F21" s="106">
        <f t="shared" si="0"/>
        <v>36679.360000000001</v>
      </c>
      <c r="G21" s="9">
        <f>50*50</f>
        <v>2500</v>
      </c>
      <c r="H21" s="9">
        <v>2500</v>
      </c>
      <c r="I21" s="9">
        <v>2500</v>
      </c>
      <c r="J21" s="9">
        <v>2500</v>
      </c>
      <c r="K21" s="9">
        <v>2500</v>
      </c>
      <c r="L21" s="9"/>
      <c r="M21" s="9"/>
      <c r="N21" s="9"/>
    </row>
    <row r="22" spans="1:14" ht="15">
      <c r="A22" s="60"/>
      <c r="B22" s="61"/>
      <c r="C22" s="62"/>
      <c r="D22" s="62"/>
      <c r="E22" s="62"/>
      <c r="F22" s="63"/>
      <c r="G22" s="9"/>
      <c r="H22" s="9"/>
      <c r="I22" s="9"/>
      <c r="J22" s="9"/>
      <c r="K22" s="9"/>
      <c r="L22" s="9"/>
      <c r="M22" s="9"/>
      <c r="N22" s="9"/>
    </row>
    <row r="23" spans="1:14" ht="15.75">
      <c r="A23" s="75" t="s">
        <v>12</v>
      </c>
      <c r="B23" s="77" t="s">
        <v>13</v>
      </c>
      <c r="C23" s="62"/>
      <c r="D23" s="62"/>
      <c r="E23" s="62"/>
      <c r="F23" s="107">
        <f>SUM(F24)</f>
        <v>1639.87</v>
      </c>
      <c r="G23" s="9"/>
      <c r="H23" s="9"/>
      <c r="I23" s="9"/>
      <c r="J23" s="9"/>
      <c r="K23" s="9"/>
      <c r="L23" s="9"/>
      <c r="M23" s="9"/>
      <c r="N23" s="9"/>
    </row>
    <row r="24" spans="1:14" ht="15">
      <c r="A24" s="60" t="s">
        <v>145</v>
      </c>
      <c r="B24" s="173" t="s">
        <v>73</v>
      </c>
      <c r="C24" s="262" t="s">
        <v>9</v>
      </c>
      <c r="D24" s="106">
        <f>D28</f>
        <v>6686.49</v>
      </c>
      <c r="E24" s="106">
        <f>Compô!G144</f>
        <v>0.24525142241379311</v>
      </c>
      <c r="F24" s="106">
        <f>ROUND(D24*E24,2)</f>
        <v>1639.87</v>
      </c>
      <c r="G24" s="9"/>
      <c r="H24" s="9"/>
      <c r="I24" s="9"/>
      <c r="J24" s="9"/>
      <c r="K24" s="9"/>
      <c r="L24" s="9"/>
      <c r="M24" s="9"/>
      <c r="N24" s="9"/>
    </row>
    <row r="25" spans="1:14" ht="15">
      <c r="A25" s="60"/>
      <c r="B25" s="173"/>
      <c r="C25" s="262"/>
      <c r="D25" s="106"/>
      <c r="E25" s="173"/>
      <c r="F25" s="173"/>
      <c r="G25" s="9"/>
      <c r="H25" s="9"/>
      <c r="I25" s="9"/>
      <c r="J25" s="9"/>
      <c r="K25" s="9"/>
      <c r="L25" s="9"/>
      <c r="M25" s="9"/>
      <c r="N25" s="9"/>
    </row>
    <row r="26" spans="1:14" ht="12.75" customHeight="1">
      <c r="A26" s="75" t="s">
        <v>14</v>
      </c>
      <c r="B26" s="76" t="s">
        <v>15</v>
      </c>
      <c r="C26" s="62"/>
      <c r="D26" s="63"/>
      <c r="E26" s="106"/>
      <c r="F26" s="107">
        <f>SUM(F27:F28)</f>
        <v>99285.62</v>
      </c>
      <c r="G26" s="9"/>
      <c r="H26" s="9"/>
      <c r="I26" s="9"/>
      <c r="J26" s="9"/>
      <c r="K26" s="9"/>
      <c r="L26" s="9"/>
      <c r="M26" s="9"/>
      <c r="N26" s="9"/>
    </row>
    <row r="27" spans="1:14" ht="30">
      <c r="A27" s="60" t="s">
        <v>146</v>
      </c>
      <c r="B27" s="173" t="s">
        <v>168</v>
      </c>
      <c r="C27" s="262" t="s">
        <v>16</v>
      </c>
      <c r="D27" s="106">
        <v>11509.27</v>
      </c>
      <c r="E27" s="106">
        <f>Compô!G167</f>
        <v>5.7308702686915893</v>
      </c>
      <c r="F27" s="106">
        <f>ROUND(D27*E27,2)</f>
        <v>65958.13</v>
      </c>
      <c r="G27" s="9">
        <f>G21*0.5</f>
        <v>1250</v>
      </c>
      <c r="H27" s="9">
        <v>2571.61</v>
      </c>
      <c r="I27" s="9">
        <v>3572.78</v>
      </c>
      <c r="J27" s="9">
        <v>2255.87</v>
      </c>
      <c r="K27" s="9">
        <v>1859.01</v>
      </c>
      <c r="L27" s="9"/>
      <c r="M27" s="9"/>
      <c r="N27" s="9"/>
    </row>
    <row r="28" spans="1:14" ht="15">
      <c r="A28" s="60" t="s">
        <v>147</v>
      </c>
      <c r="B28" s="173" t="s">
        <v>40</v>
      </c>
      <c r="C28" s="262" t="s">
        <v>16</v>
      </c>
      <c r="D28" s="106">
        <v>6686.49</v>
      </c>
      <c r="E28" s="106">
        <f>Compô!G192</f>
        <v>4.9843020559210522</v>
      </c>
      <c r="F28" s="106">
        <f>ROUND(D28*E28,2)</f>
        <v>33327.49</v>
      </c>
      <c r="G28" s="9"/>
      <c r="H28" s="9"/>
      <c r="I28" s="9"/>
      <c r="J28" s="9"/>
      <c r="K28" s="9"/>
      <c r="L28" s="9"/>
      <c r="M28" s="9"/>
      <c r="N28" s="9"/>
    </row>
    <row r="29" spans="1:14" ht="15">
      <c r="A29" s="60"/>
      <c r="B29" s="66"/>
      <c r="C29" s="59"/>
      <c r="D29" s="108"/>
      <c r="E29" s="106"/>
      <c r="F29" s="63"/>
      <c r="G29" s="9"/>
      <c r="H29" s="9"/>
      <c r="I29" s="9"/>
      <c r="J29" s="9"/>
      <c r="K29" s="9"/>
      <c r="L29" s="9"/>
      <c r="M29" s="9"/>
      <c r="N29" s="9"/>
    </row>
    <row r="30" spans="1:14" ht="15.75">
      <c r="A30" s="75" t="s">
        <v>17</v>
      </c>
      <c r="B30" s="126" t="s">
        <v>170</v>
      </c>
      <c r="C30" s="59"/>
      <c r="D30" s="108"/>
      <c r="E30" s="106"/>
      <c r="F30" s="107">
        <f>SUM(F32+F31+F33)</f>
        <v>237453.88048060006</v>
      </c>
      <c r="G30" s="9"/>
      <c r="H30" s="9"/>
      <c r="I30" s="9"/>
      <c r="J30" s="9"/>
      <c r="K30" s="9"/>
      <c r="L30" s="9"/>
      <c r="M30" s="9"/>
      <c r="N30" s="9"/>
    </row>
    <row r="31" spans="1:14" ht="15">
      <c r="A31" s="60" t="s">
        <v>148</v>
      </c>
      <c r="B31" s="173" t="s">
        <v>74</v>
      </c>
      <c r="C31" s="262" t="s">
        <v>9</v>
      </c>
      <c r="D31" s="106">
        <f>8*20*2</f>
        <v>320</v>
      </c>
      <c r="E31" s="106">
        <f>Compô!G209</f>
        <v>53.386081250000004</v>
      </c>
      <c r="F31" s="106">
        <f>SUM(D31*E31)</f>
        <v>17083.546000000002</v>
      </c>
      <c r="G31" s="9"/>
      <c r="H31" s="9"/>
      <c r="I31" s="9"/>
      <c r="J31" s="269">
        <v>150</v>
      </c>
      <c r="K31" s="269">
        <v>150</v>
      </c>
      <c r="L31" s="9"/>
      <c r="M31" s="9"/>
      <c r="N31" s="9"/>
    </row>
    <row r="32" spans="1:14" ht="15">
      <c r="A32" s="60" t="s">
        <v>149</v>
      </c>
      <c r="B32" s="173" t="s">
        <v>75</v>
      </c>
      <c r="C32" s="262" t="s">
        <v>16</v>
      </c>
      <c r="D32" s="106">
        <v>539.26</v>
      </c>
      <c r="E32" s="106">
        <f>Compô!G227</f>
        <v>307.93131000000005</v>
      </c>
      <c r="F32" s="106">
        <f>SUM(D32*E32)</f>
        <v>166055.03823060004</v>
      </c>
      <c r="G32" s="9">
        <v>167.04</v>
      </c>
      <c r="H32" s="9">
        <v>122.22</v>
      </c>
      <c r="I32" s="9"/>
      <c r="J32" s="9"/>
      <c r="K32" s="9"/>
      <c r="L32" s="9"/>
      <c r="M32" s="9"/>
      <c r="N32" s="9"/>
    </row>
    <row r="33" spans="1:14" ht="15.75" thickBot="1">
      <c r="A33" s="60" t="s">
        <v>171</v>
      </c>
      <c r="B33" s="173" t="s">
        <v>172</v>
      </c>
      <c r="C33" s="262" t="s">
        <v>16</v>
      </c>
      <c r="D33" s="109">
        <f>30*20</f>
        <v>600</v>
      </c>
      <c r="E33" s="109">
        <f>Compô!G246</f>
        <v>90.525493749999995</v>
      </c>
      <c r="F33" s="106">
        <f>SUM(D33*E33)</f>
        <v>54315.296249999999</v>
      </c>
      <c r="G33" s="9"/>
      <c r="H33" s="9"/>
      <c r="I33" s="9"/>
      <c r="J33" s="9"/>
      <c r="K33" s="9"/>
      <c r="L33" s="9"/>
      <c r="M33" s="9"/>
      <c r="N33" s="9"/>
    </row>
    <row r="34" spans="1:14" ht="15.75" thickBot="1">
      <c r="A34" s="304" t="s">
        <v>18</v>
      </c>
      <c r="B34" s="305"/>
      <c r="C34" s="305"/>
      <c r="D34" s="306"/>
      <c r="E34" s="74" t="s">
        <v>37</v>
      </c>
      <c r="F34" s="73">
        <f>SUM(F14+F23+F26+F30)+0.11</f>
        <v>433066.21048060001</v>
      </c>
      <c r="G34" s="58"/>
      <c r="H34" s="58"/>
      <c r="I34" s="58"/>
      <c r="J34" s="9"/>
      <c r="K34" s="9"/>
      <c r="L34" s="9"/>
      <c r="M34" s="9"/>
      <c r="N34" s="9"/>
    </row>
    <row r="35" spans="1:14">
      <c r="A35" s="13"/>
      <c r="B35" s="14"/>
      <c r="F35" s="1"/>
      <c r="J35" s="127"/>
    </row>
    <row r="36" spans="1:14" ht="12.75" customHeight="1">
      <c r="A36" s="104"/>
      <c r="B36" s="104"/>
      <c r="C36" s="263"/>
      <c r="D36" s="104"/>
      <c r="E36" s="125"/>
      <c r="F36" s="105"/>
      <c r="G36" s="115">
        <v>110000</v>
      </c>
      <c r="H36" s="299">
        <v>155000</v>
      </c>
      <c r="I36" s="299"/>
      <c r="J36" s="300">
        <v>150000</v>
      </c>
      <c r="K36" s="300"/>
    </row>
    <row r="37" spans="1:14">
      <c r="D37" s="1"/>
      <c r="G37" s="116"/>
      <c r="H37" s="116"/>
      <c r="I37" s="116"/>
    </row>
    <row r="38" spans="1:14">
      <c r="D38" s="1"/>
    </row>
    <row r="39" spans="1:14">
      <c r="D39" s="1"/>
    </row>
    <row r="40" spans="1:14">
      <c r="D40" s="1"/>
    </row>
    <row r="41" spans="1:14">
      <c r="D41" s="1"/>
      <c r="G41" s="3"/>
      <c r="H41" s="3"/>
      <c r="I41" s="3"/>
    </row>
    <row r="42" spans="1:14">
      <c r="D42" s="1"/>
      <c r="G42" s="3"/>
    </row>
    <row r="48" spans="1:14">
      <c r="F48" s="124"/>
      <c r="G48" s="124"/>
    </row>
    <row r="49" spans="7:9">
      <c r="G49" s="3"/>
      <c r="H49" s="3"/>
      <c r="I49" s="3"/>
    </row>
  </sheetData>
  <sheetProtection selectLockedCells="1" selectUnlockedCells="1"/>
  <mergeCells count="11">
    <mergeCell ref="H36:I36"/>
    <mergeCell ref="J36:K36"/>
    <mergeCell ref="A2:F2"/>
    <mergeCell ref="A1:F1"/>
    <mergeCell ref="E10:F10"/>
    <mergeCell ref="A34:D34"/>
    <mergeCell ref="A10:B10"/>
    <mergeCell ref="A11:F11"/>
    <mergeCell ref="A8:F8"/>
    <mergeCell ref="C10:D10"/>
    <mergeCell ref="E9:F9"/>
  </mergeCells>
  <phoneticPr fontId="25" type="noConversion"/>
  <pageMargins left="0.70866141732283472" right="0.39370078740157483" top="0.78740157480314965" bottom="0.78740157480314965" header="0.51181102362204722" footer="0.51181102362204722"/>
  <pageSetup paperSize="9" scale="85" firstPageNumber="0" orientation="landscape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Brush" shapeId="2049" r:id="rId4">
          <objectPr defaultSize="0" autoPict="0" r:id="rId5">
            <anchor moveWithCells="1" sizeWithCells="1">
              <from>
                <xdr:col>0</xdr:col>
                <xdr:colOff>76200</xdr:colOff>
                <xdr:row>0</xdr:row>
                <xdr:rowOff>123825</xdr:rowOff>
              </from>
              <to>
                <xdr:col>1</xdr:col>
                <xdr:colOff>2076450</xdr:colOff>
                <xdr:row>3</xdr:row>
                <xdr:rowOff>85725</xdr:rowOff>
              </to>
            </anchor>
          </objectPr>
        </oleObject>
      </mc:Choice>
      <mc:Fallback>
        <oleObject progId="PBrush" shapeId="20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zoomScaleNormal="100" workbookViewId="0">
      <selection activeCell="M23" sqref="M23"/>
    </sheetView>
  </sheetViews>
  <sheetFormatPr defaultRowHeight="12.75"/>
  <cols>
    <col min="1" max="1" width="3.85546875" customWidth="1"/>
    <col min="2" max="2" width="21.42578125" customWidth="1"/>
    <col min="3" max="3" width="0.7109375" hidden="1" customWidth="1"/>
    <col min="4" max="4" width="11.42578125" customWidth="1"/>
    <col min="5" max="5" width="9.5703125" customWidth="1"/>
    <col min="6" max="6" width="9.7109375" customWidth="1"/>
    <col min="7" max="7" width="9.85546875" customWidth="1"/>
    <col min="8" max="8" width="9.7109375" customWidth="1"/>
    <col min="9" max="9" width="11" customWidth="1"/>
    <col min="10" max="10" width="10.7109375" customWidth="1"/>
    <col min="11" max="11" width="11.7109375" bestFit="1" customWidth="1"/>
    <col min="13" max="13" width="11.7109375" bestFit="1" customWidth="1"/>
  </cols>
  <sheetData>
    <row r="1" spans="1:13">
      <c r="A1" s="311"/>
      <c r="B1" s="311"/>
      <c r="C1" s="311"/>
      <c r="D1" s="311"/>
      <c r="E1" s="311"/>
      <c r="F1" s="311"/>
      <c r="G1" s="311"/>
      <c r="H1" s="311"/>
      <c r="I1" s="134"/>
    </row>
    <row r="2" spans="1:13">
      <c r="A2" s="311"/>
      <c r="B2" s="311"/>
      <c r="C2" s="311"/>
      <c r="D2" s="311"/>
      <c r="E2" s="311"/>
      <c r="F2" s="311"/>
      <c r="G2" s="311"/>
      <c r="H2" s="311"/>
      <c r="I2" s="134"/>
    </row>
    <row r="3" spans="1:13">
      <c r="A3" s="134"/>
      <c r="B3" s="134"/>
      <c r="C3" s="134"/>
      <c r="D3" s="134"/>
      <c r="E3" s="134"/>
      <c r="F3" s="134"/>
      <c r="G3" s="134"/>
      <c r="H3" s="134"/>
      <c r="I3" s="134"/>
    </row>
    <row r="4" spans="1:13">
      <c r="A4" s="270"/>
      <c r="B4" s="270"/>
      <c r="C4" s="270"/>
      <c r="D4" s="270"/>
      <c r="E4" s="270"/>
      <c r="F4" s="270"/>
      <c r="G4" s="270"/>
      <c r="H4" s="270"/>
      <c r="I4" s="270"/>
    </row>
    <row r="5" spans="1:13">
      <c r="A5" s="270"/>
      <c r="B5" s="270"/>
      <c r="C5" s="270"/>
      <c r="D5" s="270"/>
      <c r="E5" s="270"/>
      <c r="F5" s="270"/>
      <c r="G5" s="270"/>
      <c r="H5" s="270"/>
      <c r="I5" s="270"/>
    </row>
    <row r="6" spans="1:13" ht="18">
      <c r="A6" s="301" t="s">
        <v>184</v>
      </c>
      <c r="B6" s="301"/>
      <c r="C6" s="301"/>
      <c r="D6" s="301"/>
      <c r="E6" s="301"/>
      <c r="F6" s="301"/>
      <c r="G6" s="301"/>
      <c r="H6" s="301"/>
      <c r="I6" s="301"/>
      <c r="J6" s="301"/>
    </row>
    <row r="7" spans="1:13">
      <c r="A7" s="121"/>
      <c r="B7" s="121"/>
      <c r="C7" s="121"/>
      <c r="D7" s="121"/>
      <c r="E7" s="121"/>
      <c r="F7" s="121"/>
      <c r="G7" s="121"/>
      <c r="H7" s="121"/>
      <c r="I7" s="121"/>
    </row>
    <row r="8" spans="1:13">
      <c r="A8" s="326" t="s">
        <v>179</v>
      </c>
      <c r="B8" s="326"/>
      <c r="C8" s="326"/>
      <c r="D8" s="326"/>
      <c r="E8" s="326"/>
      <c r="F8" s="326"/>
      <c r="G8" s="326"/>
      <c r="H8" s="326"/>
      <c r="I8" s="326"/>
      <c r="J8" s="326"/>
      <c r="K8" s="110"/>
    </row>
    <row r="9" spans="1:13">
      <c r="A9" s="121"/>
      <c r="B9" s="121"/>
      <c r="C9" s="121"/>
      <c r="D9" s="121"/>
      <c r="E9" s="121"/>
      <c r="F9" s="121"/>
      <c r="G9" s="121"/>
      <c r="H9" s="121"/>
      <c r="I9" s="121"/>
      <c r="J9" s="110"/>
      <c r="K9" s="110"/>
    </row>
    <row r="10" spans="1:13" ht="13.5" thickBot="1">
      <c r="A10" s="135"/>
      <c r="B10" s="121"/>
      <c r="C10" s="136"/>
      <c r="D10" s="136"/>
      <c r="E10" s="136"/>
      <c r="F10" s="136"/>
      <c r="G10" s="136"/>
      <c r="H10" s="136"/>
      <c r="I10" s="136"/>
    </row>
    <row r="11" spans="1:13">
      <c r="A11" s="320" t="s">
        <v>19</v>
      </c>
      <c r="B11" s="322" t="s">
        <v>20</v>
      </c>
      <c r="C11" s="323"/>
      <c r="D11" s="137" t="s">
        <v>57</v>
      </c>
      <c r="E11" s="138" t="s">
        <v>58</v>
      </c>
      <c r="F11" s="138" t="s">
        <v>59</v>
      </c>
      <c r="G11" s="138" t="s">
        <v>60</v>
      </c>
      <c r="H11" s="139" t="s">
        <v>61</v>
      </c>
      <c r="I11" s="138" t="s">
        <v>76</v>
      </c>
      <c r="J11" s="285" t="s">
        <v>81</v>
      </c>
    </row>
    <row r="12" spans="1:13" ht="13.5" thickBot="1">
      <c r="A12" s="321"/>
      <c r="B12" s="324"/>
      <c r="C12" s="325"/>
      <c r="D12" s="140" t="s">
        <v>37</v>
      </c>
      <c r="E12" s="140" t="s">
        <v>62</v>
      </c>
      <c r="F12" s="140" t="s">
        <v>62</v>
      </c>
      <c r="G12" s="140" t="s">
        <v>62</v>
      </c>
      <c r="H12" s="141" t="s">
        <v>62</v>
      </c>
      <c r="I12" s="140" t="s">
        <v>62</v>
      </c>
      <c r="J12" s="286" t="s">
        <v>62</v>
      </c>
      <c r="K12" s="40"/>
    </row>
    <row r="13" spans="1:13">
      <c r="A13" s="129">
        <v>1</v>
      </c>
      <c r="B13" s="130" t="str">
        <f>Plan!B14</f>
        <v>SERVIÇOS PRELIMINARES</v>
      </c>
      <c r="C13" s="142"/>
      <c r="D13" s="275">
        <f>Plan!F14</f>
        <v>94686.73</v>
      </c>
      <c r="E13" s="147">
        <f>Plan!$F$15+Plan!$F$17+Plan!$E$18+Plan!$F$19+Plan!$F$20+5000</f>
        <v>21789.55775</v>
      </c>
      <c r="F13" s="148">
        <f>Plan!$E$18+5000</f>
        <v>12563.677749999999</v>
      </c>
      <c r="G13" s="149">
        <f>F13</f>
        <v>12563.677749999999</v>
      </c>
      <c r="H13" s="149">
        <f>G13</f>
        <v>12563.677749999999</v>
      </c>
      <c r="I13" s="149">
        <f>H13</f>
        <v>12563.677749999999</v>
      </c>
      <c r="J13" s="287">
        <v>22642.46</v>
      </c>
      <c r="K13" s="40"/>
      <c r="M13" s="40"/>
    </row>
    <row r="14" spans="1:13" ht="15.75" customHeight="1">
      <c r="A14" s="129"/>
      <c r="B14" s="131"/>
      <c r="C14" s="143"/>
      <c r="D14" s="144"/>
      <c r="E14" s="274">
        <f>E13/D13</f>
        <v>0.23012261327432049</v>
      </c>
      <c r="F14" s="274">
        <f>F13/D13</f>
        <v>0.13268678462124522</v>
      </c>
      <c r="G14" s="274">
        <f>G13/D13</f>
        <v>0.13268678462124522</v>
      </c>
      <c r="H14" s="274">
        <f>H13/D13</f>
        <v>0.13268678462124522</v>
      </c>
      <c r="I14" s="274">
        <f>I13/D13</f>
        <v>0.13268678462124522</v>
      </c>
      <c r="J14" s="288">
        <f>J13/D13</f>
        <v>0.23913023503927108</v>
      </c>
      <c r="K14" s="40"/>
    </row>
    <row r="15" spans="1:13" ht="13.5" customHeight="1">
      <c r="A15" s="132"/>
      <c r="B15" s="133"/>
      <c r="C15" s="142"/>
      <c r="D15" s="146"/>
      <c r="E15" s="276"/>
      <c r="F15" s="277"/>
      <c r="G15" s="278"/>
      <c r="H15" s="279"/>
      <c r="I15" s="280"/>
      <c r="J15" s="289"/>
      <c r="K15" s="40"/>
    </row>
    <row r="16" spans="1:13">
      <c r="A16" s="129">
        <v>2</v>
      </c>
      <c r="B16" s="130" t="str">
        <f>Plan!B23</f>
        <v>TERRAPLENAGEM</v>
      </c>
      <c r="C16" s="142"/>
      <c r="D16" s="275">
        <f>Plan!F23</f>
        <v>1639.87</v>
      </c>
      <c r="E16" s="147"/>
      <c r="F16" s="281"/>
      <c r="G16" s="148">
        <f>D16/4</f>
        <v>409.96749999999997</v>
      </c>
      <c r="H16" s="148">
        <f t="shared" ref="H16:J17" si="0">G16</f>
        <v>409.96749999999997</v>
      </c>
      <c r="I16" s="148">
        <f t="shared" si="0"/>
        <v>409.96749999999997</v>
      </c>
      <c r="J16" s="290">
        <f t="shared" si="0"/>
        <v>409.96749999999997</v>
      </c>
      <c r="K16" s="40"/>
    </row>
    <row r="17" spans="1:13">
      <c r="A17" s="129"/>
      <c r="B17" s="131"/>
      <c r="C17" s="143"/>
      <c r="D17" s="144"/>
      <c r="E17" s="144"/>
      <c r="F17" s="283"/>
      <c r="G17" s="150">
        <f>G16/D16</f>
        <v>0.25</v>
      </c>
      <c r="H17" s="150">
        <f t="shared" si="0"/>
        <v>0.25</v>
      </c>
      <c r="I17" s="145">
        <f t="shared" si="0"/>
        <v>0.25</v>
      </c>
      <c r="J17" s="291">
        <f t="shared" si="0"/>
        <v>0.25</v>
      </c>
      <c r="K17" s="40"/>
    </row>
    <row r="18" spans="1:13" ht="14.25" customHeight="1">
      <c r="A18" s="132"/>
      <c r="B18" s="133"/>
      <c r="C18" s="142"/>
      <c r="D18" s="146"/>
      <c r="E18" s="146"/>
      <c r="F18" s="282"/>
      <c r="G18" s="277"/>
      <c r="H18" s="278"/>
      <c r="I18" s="277"/>
      <c r="J18" s="289"/>
      <c r="K18" s="40"/>
    </row>
    <row r="19" spans="1:13" ht="15" customHeight="1">
      <c r="A19" s="129">
        <v>3</v>
      </c>
      <c r="B19" s="130" t="str">
        <f>Plan!B26</f>
        <v>REVESTIMENTO PRIMÁRIO</v>
      </c>
      <c r="C19" s="142"/>
      <c r="D19" s="275">
        <f>Plan!F26</f>
        <v>99285.62</v>
      </c>
      <c r="E19" s="147"/>
      <c r="F19" s="281"/>
      <c r="G19" s="149">
        <f>D19/4</f>
        <v>24821.404999999999</v>
      </c>
      <c r="H19" s="153">
        <f>G19</f>
        <v>24821.404999999999</v>
      </c>
      <c r="I19" s="154">
        <f>G19</f>
        <v>24821.404999999999</v>
      </c>
      <c r="J19" s="292">
        <f>H19</f>
        <v>24821.404999999999</v>
      </c>
      <c r="K19" s="40"/>
      <c r="M19" s="40"/>
    </row>
    <row r="20" spans="1:13" ht="15" customHeight="1">
      <c r="A20" s="129"/>
      <c r="B20" s="131"/>
      <c r="C20" s="143"/>
      <c r="D20" s="144"/>
      <c r="E20" s="144"/>
      <c r="F20" s="283"/>
      <c r="G20" s="151">
        <f>G19/D19</f>
        <v>0.25</v>
      </c>
      <c r="H20" s="150">
        <f>G20</f>
        <v>0.25</v>
      </c>
      <c r="I20" s="150">
        <f>H20</f>
        <v>0.25</v>
      </c>
      <c r="J20" s="293">
        <f>I20</f>
        <v>0.25</v>
      </c>
      <c r="K20" s="40"/>
    </row>
    <row r="21" spans="1:13" ht="15" customHeight="1">
      <c r="A21" s="132"/>
      <c r="B21" s="133"/>
      <c r="C21" s="142"/>
      <c r="D21" s="146"/>
      <c r="E21" s="146"/>
      <c r="F21" s="282"/>
      <c r="G21" s="278"/>
      <c r="H21" s="279"/>
      <c r="I21" s="277"/>
      <c r="J21" s="289"/>
      <c r="K21" s="40"/>
      <c r="M21" s="40"/>
    </row>
    <row r="22" spans="1:13" ht="15" customHeight="1">
      <c r="A22" s="129">
        <v>4</v>
      </c>
      <c r="B22" s="130" t="s">
        <v>183</v>
      </c>
      <c r="C22" s="142"/>
      <c r="D22" s="275">
        <f>SUM(Plan!F30)</f>
        <v>237453.88048060006</v>
      </c>
      <c r="E22" s="147"/>
      <c r="F22" s="281"/>
      <c r="G22" s="148">
        <f>D22/4</f>
        <v>59363.470120150014</v>
      </c>
      <c r="H22" s="152">
        <f>G22</f>
        <v>59363.470120150014</v>
      </c>
      <c r="I22" s="155">
        <f>G22</f>
        <v>59363.470120150014</v>
      </c>
      <c r="J22" s="290">
        <f>H22</f>
        <v>59363.470120150014</v>
      </c>
      <c r="K22" s="40"/>
    </row>
    <row r="23" spans="1:13" ht="15" customHeight="1">
      <c r="A23" s="129"/>
      <c r="B23" s="131"/>
      <c r="C23" s="143"/>
      <c r="D23" s="144"/>
      <c r="E23" s="144"/>
      <c r="F23" s="283"/>
      <c r="G23" s="150">
        <f>G22/D22</f>
        <v>0.25</v>
      </c>
      <c r="H23" s="151">
        <f>G23</f>
        <v>0.25</v>
      </c>
      <c r="I23" s="150">
        <f>H23</f>
        <v>0.25</v>
      </c>
      <c r="J23" s="293">
        <f>I23</f>
        <v>0.25</v>
      </c>
      <c r="K23" s="40"/>
    </row>
    <row r="24" spans="1:13" ht="15" customHeight="1">
      <c r="A24" s="132"/>
      <c r="B24" s="133"/>
      <c r="C24" s="142"/>
      <c r="D24" s="146"/>
      <c r="E24" s="146"/>
      <c r="F24" s="282"/>
      <c r="G24" s="277"/>
      <c r="H24" s="277"/>
      <c r="I24" s="277"/>
      <c r="J24" s="289"/>
      <c r="K24" s="40"/>
    </row>
    <row r="25" spans="1:13" ht="19.5" customHeight="1">
      <c r="A25" s="316" t="s">
        <v>65</v>
      </c>
      <c r="B25" s="317"/>
      <c r="C25" s="156"/>
      <c r="D25" s="312">
        <f>SUM(D13:D22)</f>
        <v>433066.10048060003</v>
      </c>
      <c r="E25" s="165">
        <f>E13</f>
        <v>21789.55775</v>
      </c>
      <c r="F25" s="284">
        <f>F13</f>
        <v>12563.677749999999</v>
      </c>
      <c r="G25" s="165">
        <f>G13+G16+G19+G22</f>
        <v>97158.520370150014</v>
      </c>
      <c r="H25" s="165">
        <f>SUM(H13+H16+H19+H22)</f>
        <v>97158.520370150014</v>
      </c>
      <c r="I25" s="157">
        <f>I13+I16+I19+I22</f>
        <v>97158.520370150014</v>
      </c>
      <c r="J25" s="294">
        <f>J13+J16+J19+J22</f>
        <v>107237.30262015</v>
      </c>
      <c r="K25" s="40"/>
      <c r="M25" s="40"/>
    </row>
    <row r="26" spans="1:13">
      <c r="A26" s="314" t="s">
        <v>63</v>
      </c>
      <c r="B26" s="315"/>
      <c r="C26" s="156"/>
      <c r="D26" s="312"/>
      <c r="E26" s="158">
        <f>SUM(E25/D25)*100</f>
        <v>5.0314623393100479</v>
      </c>
      <c r="F26" s="159">
        <f>SUM(F25/D25)*100</f>
        <v>2.9010993324246148</v>
      </c>
      <c r="G26" s="158">
        <f>SUM(G25/D25)*100</f>
        <v>22.435032495576827</v>
      </c>
      <c r="H26" s="160">
        <f>SUM(H25/D25)*100</f>
        <v>22.435032495576827</v>
      </c>
      <c r="I26" s="158">
        <f>SUM(I25/D25)*100</f>
        <v>22.435032495576827</v>
      </c>
      <c r="J26" s="295">
        <f>SUM(J25/D25)*100</f>
        <v>24.762340552895317</v>
      </c>
      <c r="K26" s="40"/>
    </row>
    <row r="27" spans="1:13">
      <c r="A27" s="314" t="s">
        <v>64</v>
      </c>
      <c r="B27" s="315"/>
      <c r="C27" s="156"/>
      <c r="D27" s="312"/>
      <c r="E27" s="159">
        <f>SUM(E26)</f>
        <v>5.0314623393100479</v>
      </c>
      <c r="F27" s="159">
        <f>E27+F26</f>
        <v>7.9325616717346623</v>
      </c>
      <c r="G27" s="159">
        <f>F27+G26</f>
        <v>30.367594167311488</v>
      </c>
      <c r="H27" s="161">
        <f>SUM(H26+G27)</f>
        <v>52.802626662888315</v>
      </c>
      <c r="I27" s="159">
        <f>SUM(I26+H27)</f>
        <v>75.237659158465135</v>
      </c>
      <c r="J27" s="296">
        <f>SUM(J26+I27)</f>
        <v>99.999999711360459</v>
      </c>
      <c r="K27" s="40"/>
    </row>
    <row r="28" spans="1:13" ht="13.5" thickBot="1">
      <c r="A28" s="318" t="s">
        <v>66</v>
      </c>
      <c r="B28" s="319"/>
      <c r="C28" s="162"/>
      <c r="D28" s="313"/>
      <c r="E28" s="174">
        <f>SUM(E25)</f>
        <v>21789.55775</v>
      </c>
      <c r="F28" s="164">
        <f>E28+F25</f>
        <v>34353.235499999995</v>
      </c>
      <c r="G28" s="164">
        <f>F28+G25</f>
        <v>131511.75587014999</v>
      </c>
      <c r="H28" s="163">
        <f>G28+H25</f>
        <v>228670.27624030001</v>
      </c>
      <c r="I28" s="297">
        <f>H28+I25</f>
        <v>325828.79661045002</v>
      </c>
      <c r="J28" s="298">
        <f>I28+J25</f>
        <v>433066.09923060006</v>
      </c>
    </row>
    <row r="29" spans="1:13">
      <c r="A29" s="121"/>
      <c r="B29" s="121"/>
      <c r="C29" s="121"/>
      <c r="D29" s="121"/>
      <c r="E29" s="121"/>
      <c r="F29" s="121"/>
      <c r="G29" s="121"/>
      <c r="H29" s="166" t="s">
        <v>36</v>
      </c>
      <c r="I29" s="166"/>
      <c r="M29" s="128"/>
    </row>
    <row r="30" spans="1:13">
      <c r="D30" s="122"/>
      <c r="K30" s="40"/>
    </row>
    <row r="32" spans="1:13">
      <c r="M32" s="40"/>
    </row>
    <row r="33" spans="11:11">
      <c r="K33" s="40"/>
    </row>
    <row r="34" spans="11:11">
      <c r="K34" s="40"/>
    </row>
    <row r="36" spans="11:11">
      <c r="K36" s="40"/>
    </row>
    <row r="39" spans="11:11">
      <c r="K39" s="40"/>
    </row>
  </sheetData>
  <mergeCells count="11">
    <mergeCell ref="A1:H1"/>
    <mergeCell ref="A2:H2"/>
    <mergeCell ref="D25:D28"/>
    <mergeCell ref="A26:B26"/>
    <mergeCell ref="A25:B25"/>
    <mergeCell ref="A27:B27"/>
    <mergeCell ref="A28:B28"/>
    <mergeCell ref="A11:A12"/>
    <mergeCell ref="B11:C12"/>
    <mergeCell ref="A6:J6"/>
    <mergeCell ref="A8:J8"/>
  </mergeCells>
  <phoneticPr fontId="25" type="noConversion"/>
  <pageMargins left="0.86614173228346458" right="0.78740157480314965" top="0.78740157480314965" bottom="0.98425196850393704" header="0.51181102362204722" footer="0.51181102362204722"/>
  <pageSetup paperSize="9" orientation="landscape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Brush" shapeId="3073" r:id="rId4">
          <objectPr defaultSize="0" autoPict="0" r:id="rId5">
            <anchor moveWithCells="1" sizeWithCells="1">
              <from>
                <xdr:col>0</xdr:col>
                <xdr:colOff>180975</xdr:colOff>
                <xdr:row>1</xdr:row>
                <xdr:rowOff>9525</xdr:rowOff>
              </from>
              <to>
                <xdr:col>3</xdr:col>
                <xdr:colOff>390525</xdr:colOff>
                <xdr:row>5</xdr:row>
                <xdr:rowOff>0</xdr:rowOff>
              </to>
            </anchor>
          </objectPr>
        </oleObject>
      </mc:Choice>
      <mc:Fallback>
        <oleObject progId="PBrush" shapeId="307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46"/>
  <sheetViews>
    <sheetView showGridLines="0" tabSelected="1" zoomScaleNormal="100" zoomScaleSheetLayoutView="100" workbookViewId="0">
      <selection activeCell="A246" sqref="A1:H246"/>
    </sheetView>
  </sheetViews>
  <sheetFormatPr defaultRowHeight="15"/>
  <cols>
    <col min="1" max="1" width="11.28515625" bestFit="1" customWidth="1"/>
    <col min="2" max="2" width="30.42578125" customWidth="1"/>
    <col min="3" max="3" width="9.5703125" customWidth="1"/>
    <col min="4" max="4" width="13.85546875" customWidth="1"/>
    <col min="5" max="5" width="17" customWidth="1"/>
    <col min="6" max="6" width="17.42578125" customWidth="1"/>
    <col min="7" max="7" width="14.28515625" style="6" customWidth="1"/>
  </cols>
  <sheetData>
    <row r="1" spans="1:14" ht="12.75">
      <c r="A1" s="311"/>
      <c r="B1" s="311"/>
      <c r="C1" s="311"/>
      <c r="D1" s="311"/>
      <c r="E1" s="311"/>
      <c r="F1" s="311"/>
      <c r="G1" s="311"/>
      <c r="H1" s="311"/>
      <c r="I1" s="270"/>
    </row>
    <row r="2" spans="1:14" ht="12.75">
      <c r="A2" s="270"/>
      <c r="B2" s="270"/>
      <c r="C2" s="270"/>
      <c r="D2" s="270"/>
      <c r="E2" s="270"/>
      <c r="F2" s="270"/>
      <c r="G2" s="270"/>
      <c r="H2" s="270"/>
      <c r="I2" s="270"/>
    </row>
    <row r="3" spans="1:14" ht="12.75">
      <c r="A3" s="270"/>
      <c r="B3" s="270"/>
      <c r="C3" s="270"/>
      <c r="D3" s="270"/>
      <c r="E3" s="270"/>
      <c r="F3" s="270"/>
      <c r="G3" s="270"/>
      <c r="H3" s="270"/>
      <c r="I3" s="270"/>
    </row>
    <row r="4" spans="1:14" ht="12.75">
      <c r="A4" s="270"/>
      <c r="B4" s="270"/>
      <c r="C4" s="270"/>
      <c r="D4" s="270"/>
      <c r="E4" s="270"/>
      <c r="F4" s="270"/>
      <c r="G4" s="270"/>
      <c r="H4" s="270"/>
      <c r="I4" s="270"/>
    </row>
    <row r="5" spans="1:14" ht="15.75">
      <c r="A5" s="271"/>
      <c r="B5" s="271"/>
      <c r="C5" s="271"/>
      <c r="D5" s="327" t="s">
        <v>180</v>
      </c>
      <c r="E5" s="327"/>
      <c r="F5" s="327"/>
      <c r="G5" s="271"/>
      <c r="H5" s="271"/>
      <c r="I5" s="271"/>
      <c r="J5" s="271"/>
    </row>
    <row r="6" spans="1:14" ht="12.75">
      <c r="A6" s="121"/>
      <c r="B6" s="121"/>
      <c r="C6" s="121"/>
      <c r="D6" s="121"/>
      <c r="E6" s="121"/>
      <c r="F6" s="121"/>
      <c r="G6" s="121"/>
      <c r="H6" s="121"/>
      <c r="I6" s="121"/>
    </row>
    <row r="7" spans="1:14" ht="12.75">
      <c r="A7" s="272" t="s">
        <v>179</v>
      </c>
      <c r="B7" s="272"/>
      <c r="C7" s="272"/>
      <c r="D7" s="272"/>
      <c r="E7" s="272"/>
      <c r="F7" s="272"/>
      <c r="G7" s="273">
        <v>0.25</v>
      </c>
      <c r="H7" s="273">
        <v>0.91700000000000004</v>
      </c>
      <c r="I7" s="272"/>
      <c r="J7" s="272"/>
      <c r="K7" s="110"/>
    </row>
    <row r="8" spans="1:14" ht="12.75">
      <c r="A8" s="121"/>
      <c r="B8" s="121"/>
      <c r="C8" s="121"/>
      <c r="D8" s="121"/>
      <c r="E8" s="121"/>
      <c r="F8" s="121"/>
      <c r="G8" s="121"/>
      <c r="H8" s="121"/>
      <c r="I8" s="121"/>
      <c r="J8" s="110"/>
      <c r="K8" s="110"/>
    </row>
    <row r="9" spans="1:14" ht="15.75" customHeight="1">
      <c r="A9" s="358" t="s">
        <v>181</v>
      </c>
      <c r="B9" s="358"/>
      <c r="C9" s="358"/>
      <c r="D9" s="358"/>
      <c r="E9" s="358"/>
      <c r="F9" s="358"/>
      <c r="H9" s="15"/>
      <c r="I9" s="15"/>
      <c r="J9" s="16"/>
      <c r="K9" s="15"/>
      <c r="L9" s="15"/>
      <c r="M9" s="15"/>
      <c r="N9" s="15"/>
    </row>
    <row r="10" spans="1:14" ht="15.75">
      <c r="A10" s="55" t="s">
        <v>44</v>
      </c>
      <c r="B10" s="55" t="s">
        <v>20</v>
      </c>
      <c r="C10" s="55" t="s">
        <v>21</v>
      </c>
      <c r="D10" s="55" t="s">
        <v>22</v>
      </c>
      <c r="E10" s="55" t="s">
        <v>23</v>
      </c>
      <c r="F10" s="55" t="s">
        <v>24</v>
      </c>
      <c r="G10" s="17"/>
      <c r="H10" s="15"/>
      <c r="I10" s="15"/>
      <c r="J10" s="16"/>
      <c r="K10" s="15"/>
      <c r="L10" s="15"/>
      <c r="M10" s="15"/>
      <c r="N10" s="15"/>
    </row>
    <row r="11" spans="1:14" ht="15.75">
      <c r="A11" s="18">
        <v>1286</v>
      </c>
      <c r="B11" s="19" t="s">
        <v>25</v>
      </c>
      <c r="C11" s="18" t="s">
        <v>28</v>
      </c>
      <c r="D11" s="114">
        <v>10</v>
      </c>
      <c r="E11" s="20">
        <v>160.94999999999999</v>
      </c>
      <c r="F11" s="20">
        <f>ROUND(E11*D11,2)</f>
        <v>1609.5</v>
      </c>
      <c r="G11" s="17"/>
      <c r="H11" s="15"/>
      <c r="I11" s="15"/>
      <c r="J11" s="16"/>
      <c r="K11" s="15"/>
      <c r="L11" s="15"/>
      <c r="M11" s="15"/>
      <c r="N11" s="15"/>
    </row>
    <row r="12" spans="1:14" ht="31.5">
      <c r="A12" s="18" t="s">
        <v>67</v>
      </c>
      <c r="B12" s="111" t="s">
        <v>72</v>
      </c>
      <c r="C12" s="18" t="s">
        <v>26</v>
      </c>
      <c r="D12" s="18">
        <v>12</v>
      </c>
      <c r="E12" s="20">
        <v>92.501800000000003</v>
      </c>
      <c r="F12" s="20">
        <f>ROUND(E12*D12,2)</f>
        <v>1110.02</v>
      </c>
      <c r="G12" s="17"/>
      <c r="H12" s="15"/>
      <c r="I12" s="15"/>
      <c r="J12" s="16"/>
      <c r="K12" s="15"/>
      <c r="L12" s="15"/>
      <c r="M12" s="15"/>
      <c r="N12" s="15"/>
    </row>
    <row r="13" spans="1:14" ht="15.75">
      <c r="A13" s="18"/>
      <c r="B13" s="21" t="s">
        <v>27</v>
      </c>
      <c r="C13" s="18"/>
      <c r="D13" s="18"/>
      <c r="E13" s="22"/>
      <c r="F13" s="23">
        <f>SUM(F11:F12)</f>
        <v>2719.52</v>
      </c>
      <c r="G13" s="17"/>
      <c r="H13" s="15"/>
      <c r="I13" s="15"/>
      <c r="J13" s="16"/>
      <c r="K13" s="15"/>
      <c r="L13" s="15"/>
      <c r="M13" s="15"/>
      <c r="N13" s="15"/>
    </row>
    <row r="14" spans="1:14" ht="16.5" thickBot="1">
      <c r="A14" s="24"/>
      <c r="B14" s="80" t="str">
        <f>"BDI  "</f>
        <v xml:space="preserve">BDI  </v>
      </c>
      <c r="C14" s="24" t="s">
        <v>43</v>
      </c>
      <c r="D14" s="81">
        <f>G7</f>
        <v>0.25</v>
      </c>
      <c r="E14" s="25"/>
      <c r="F14" s="26">
        <f>F13*G7</f>
        <v>679.88</v>
      </c>
      <c r="G14" s="17"/>
      <c r="H14" s="15"/>
      <c r="I14" s="15"/>
      <c r="J14" s="16"/>
      <c r="K14" s="15"/>
      <c r="L14" s="15"/>
      <c r="M14" s="15"/>
      <c r="N14" s="15"/>
    </row>
    <row r="15" spans="1:14" ht="16.5" thickBot="1">
      <c r="A15" s="353" t="s">
        <v>42</v>
      </c>
      <c r="B15" s="354"/>
      <c r="C15" s="354"/>
      <c r="D15" s="354"/>
      <c r="E15" s="354"/>
      <c r="F15" s="27">
        <f>F14+F13</f>
        <v>3399.4</v>
      </c>
      <c r="G15" s="17"/>
      <c r="H15" s="15"/>
      <c r="I15" s="15"/>
      <c r="J15" s="16"/>
      <c r="K15" s="15"/>
      <c r="L15" s="15"/>
      <c r="M15" s="15"/>
      <c r="N15" s="15"/>
    </row>
    <row r="16" spans="1:14" ht="15.75">
      <c r="A16" s="28"/>
      <c r="B16" s="29"/>
      <c r="C16" s="28"/>
      <c r="D16" s="28"/>
      <c r="E16" s="5"/>
      <c r="F16" s="30"/>
      <c r="G16" s="17"/>
      <c r="H16" s="15"/>
      <c r="I16" s="15"/>
      <c r="J16" s="16"/>
      <c r="K16" s="15"/>
      <c r="L16" s="15"/>
      <c r="M16" s="15"/>
      <c r="N16" s="15"/>
    </row>
    <row r="17" spans="1:14" ht="15.75">
      <c r="A17" s="358" t="s">
        <v>150</v>
      </c>
      <c r="B17" s="358"/>
      <c r="C17" s="358"/>
      <c r="D17" s="358"/>
      <c r="E17" s="358"/>
      <c r="F17" s="358"/>
      <c r="G17" s="17"/>
      <c r="H17" s="15"/>
      <c r="I17" s="15"/>
      <c r="J17" s="16"/>
      <c r="K17" s="15"/>
      <c r="L17" s="15"/>
      <c r="M17" s="15"/>
      <c r="N17" s="15"/>
    </row>
    <row r="18" spans="1:14" ht="15.75">
      <c r="A18" s="55" t="s">
        <v>44</v>
      </c>
      <c r="B18" s="55" t="s">
        <v>20</v>
      </c>
      <c r="C18" s="55" t="s">
        <v>21</v>
      </c>
      <c r="D18" s="55" t="s">
        <v>22</v>
      </c>
      <c r="E18" s="55" t="s">
        <v>23</v>
      </c>
      <c r="F18" s="55" t="s">
        <v>24</v>
      </c>
      <c r="G18" s="17"/>
      <c r="H18" s="15"/>
      <c r="I18" s="15"/>
      <c r="J18" s="16"/>
      <c r="K18" s="15"/>
      <c r="L18" s="15"/>
      <c r="M18" s="15"/>
      <c r="N18" s="15"/>
    </row>
    <row r="19" spans="1:14" ht="15.75">
      <c r="A19" s="18">
        <f>A11</f>
        <v>1286</v>
      </c>
      <c r="B19" s="19" t="s">
        <v>25</v>
      </c>
      <c r="C19" s="18" t="s">
        <v>41</v>
      </c>
      <c r="D19" s="114">
        <f>D11</f>
        <v>10</v>
      </c>
      <c r="E19" s="20">
        <f>E11</f>
        <v>160.94999999999999</v>
      </c>
      <c r="F19" s="20">
        <f>ROUND(E19*D19,2)</f>
        <v>1609.5</v>
      </c>
      <c r="G19" s="17"/>
      <c r="H19" s="15"/>
      <c r="I19" s="15"/>
      <c r="J19" s="16"/>
      <c r="K19" s="15"/>
      <c r="L19" s="15"/>
      <c r="M19" s="15"/>
      <c r="N19" s="15"/>
    </row>
    <row r="20" spans="1:14" ht="31.5">
      <c r="A20" s="18" t="str">
        <f>A12</f>
        <v>cotação</v>
      </c>
      <c r="B20" s="111" t="str">
        <f>B12</f>
        <v>Passagens rodoviárias - Feira de Santana x Lapão</v>
      </c>
      <c r="C20" s="18" t="s">
        <v>26</v>
      </c>
      <c r="D20" s="18">
        <v>12</v>
      </c>
      <c r="E20" s="20">
        <v>92.501800000000003</v>
      </c>
      <c r="F20" s="20">
        <f>ROUND(E20*D20,2)</f>
        <v>1110.02</v>
      </c>
      <c r="G20" s="17"/>
      <c r="H20" s="15"/>
      <c r="I20" s="15"/>
      <c r="J20" s="16"/>
      <c r="K20" s="15"/>
      <c r="L20" s="15"/>
      <c r="M20" s="15"/>
      <c r="N20" s="15"/>
    </row>
    <row r="21" spans="1:14" ht="15.75">
      <c r="A21" s="18"/>
      <c r="B21" s="21" t="s">
        <v>27</v>
      </c>
      <c r="C21" s="18"/>
      <c r="D21" s="18"/>
      <c r="E21" s="22"/>
      <c r="F21" s="23">
        <f>SUM(F19:F20)</f>
        <v>2719.52</v>
      </c>
      <c r="G21" s="17"/>
      <c r="H21" s="15"/>
      <c r="I21" s="15"/>
      <c r="J21" s="16"/>
      <c r="K21" s="15"/>
      <c r="L21" s="15"/>
      <c r="M21" s="15"/>
      <c r="N21" s="15"/>
    </row>
    <row r="22" spans="1:14" ht="16.5" thickBot="1">
      <c r="A22" s="24"/>
      <c r="B22" s="80" t="str">
        <f>"BDI  "</f>
        <v xml:space="preserve">BDI  </v>
      </c>
      <c r="C22" s="24" t="str">
        <f>C14</f>
        <v>%</v>
      </c>
      <c r="D22" s="81">
        <f>G7</f>
        <v>0.25</v>
      </c>
      <c r="E22" s="25"/>
      <c r="F22" s="26">
        <f>F21*G7</f>
        <v>679.88</v>
      </c>
      <c r="G22" s="17"/>
      <c r="H22" s="15"/>
      <c r="I22" s="15"/>
      <c r="J22" s="16"/>
      <c r="K22" s="15"/>
      <c r="L22" s="15"/>
      <c r="M22" s="15"/>
      <c r="N22" s="15"/>
    </row>
    <row r="23" spans="1:14" ht="16.5" thickBot="1">
      <c r="A23" s="353" t="s">
        <v>42</v>
      </c>
      <c r="B23" s="354"/>
      <c r="C23" s="354"/>
      <c r="D23" s="354"/>
      <c r="E23" s="354"/>
      <c r="F23" s="27">
        <f>F22+F21</f>
        <v>3399.4</v>
      </c>
      <c r="G23" s="17"/>
      <c r="H23" s="15"/>
      <c r="I23" s="15"/>
      <c r="J23" s="16"/>
      <c r="K23" s="15"/>
      <c r="L23" s="15"/>
      <c r="M23" s="15"/>
      <c r="N23" s="15"/>
    </row>
    <row r="24" spans="1:14" ht="15.75">
      <c r="A24" s="30"/>
      <c r="B24" s="30"/>
      <c r="C24" s="30"/>
      <c r="D24" s="30"/>
      <c r="E24" s="30"/>
      <c r="F24" s="30"/>
      <c r="G24" s="17"/>
      <c r="H24" s="15"/>
      <c r="I24" s="15"/>
      <c r="J24" s="16"/>
      <c r="K24" s="15"/>
      <c r="L24" s="15"/>
      <c r="M24" s="15"/>
      <c r="N24" s="15"/>
    </row>
    <row r="25" spans="1:14" s="178" customFormat="1" ht="15.75">
      <c r="A25" s="328" t="s">
        <v>182</v>
      </c>
      <c r="B25" s="329"/>
      <c r="C25" s="329"/>
      <c r="D25" s="329"/>
      <c r="E25" s="329"/>
      <c r="F25" s="329"/>
      <c r="G25" s="330"/>
      <c r="H25" s="176"/>
      <c r="I25" s="177"/>
    </row>
    <row r="26" spans="1:14" s="178" customFormat="1" ht="16.5" thickBot="1">
      <c r="A26" s="179" t="s">
        <v>19</v>
      </c>
      <c r="B26" s="179" t="s">
        <v>20</v>
      </c>
      <c r="C26" s="179" t="s">
        <v>21</v>
      </c>
      <c r="D26" s="179" t="s">
        <v>22</v>
      </c>
      <c r="E26" s="333" t="s">
        <v>23</v>
      </c>
      <c r="F26" s="334"/>
      <c r="G26" s="179" t="s">
        <v>24</v>
      </c>
      <c r="H26" s="176"/>
      <c r="I26" s="177"/>
    </row>
    <row r="27" spans="1:14" s="178" customFormat="1" ht="16.5" thickBot="1">
      <c r="A27" s="180"/>
      <c r="B27" s="181" t="s">
        <v>82</v>
      </c>
      <c r="C27" s="182"/>
      <c r="D27" s="182"/>
      <c r="E27" s="360"/>
      <c r="F27" s="361"/>
      <c r="G27" s="183"/>
      <c r="H27" s="176"/>
      <c r="I27" s="177"/>
    </row>
    <row r="28" spans="1:14" s="178" customFormat="1" ht="15.75">
      <c r="A28" s="184">
        <v>1</v>
      </c>
      <c r="B28" s="185" t="s">
        <v>83</v>
      </c>
      <c r="C28" s="186" t="s">
        <v>28</v>
      </c>
      <c r="D28" s="186">
        <v>0.95</v>
      </c>
      <c r="E28" s="335">
        <v>5.67</v>
      </c>
      <c r="F28" s="336"/>
      <c r="G28" s="187">
        <f>ROUND(E28*D28,2)</f>
        <v>5.39</v>
      </c>
      <c r="H28" s="188"/>
    </row>
    <row r="29" spans="1:14" s="178" customFormat="1" ht="15.75">
      <c r="A29" s="189">
        <v>2</v>
      </c>
      <c r="B29" s="190" t="s">
        <v>84</v>
      </c>
      <c r="C29" s="191" t="s">
        <v>28</v>
      </c>
      <c r="D29" s="191">
        <v>0.16</v>
      </c>
      <c r="E29" s="331">
        <v>9.0500000000000007</v>
      </c>
      <c r="F29" s="332"/>
      <c r="G29" s="192">
        <f>ROUND(E29*D29,2)</f>
        <v>1.45</v>
      </c>
      <c r="H29" s="188"/>
    </row>
    <row r="30" spans="1:14" s="178" customFormat="1" ht="15.75">
      <c r="A30" s="189">
        <v>3</v>
      </c>
      <c r="B30" s="190" t="s">
        <v>85</v>
      </c>
      <c r="C30" s="191" t="s">
        <v>28</v>
      </c>
      <c r="D30" s="191">
        <v>0.36</v>
      </c>
      <c r="E30" s="331">
        <f>E28</f>
        <v>5.67</v>
      </c>
      <c r="F30" s="332"/>
      <c r="G30" s="192">
        <f>ROUND(E30*D30,2)</f>
        <v>2.04</v>
      </c>
      <c r="H30" s="188"/>
    </row>
    <row r="31" spans="1:14" s="178" customFormat="1" ht="15.75">
      <c r="A31" s="189">
        <v>4</v>
      </c>
      <c r="B31" s="190" t="s">
        <v>86</v>
      </c>
      <c r="C31" s="191" t="s">
        <v>28</v>
      </c>
      <c r="D31" s="191">
        <v>0.16</v>
      </c>
      <c r="E31" s="331">
        <f>E30</f>
        <v>5.67</v>
      </c>
      <c r="F31" s="332"/>
      <c r="G31" s="192">
        <f>ROUND(E31*D31,2)</f>
        <v>0.91</v>
      </c>
      <c r="H31" s="188"/>
    </row>
    <row r="32" spans="1:14" s="178" customFormat="1" ht="15.75">
      <c r="A32" s="189">
        <v>5</v>
      </c>
      <c r="B32" s="190" t="s">
        <v>87</v>
      </c>
      <c r="C32" s="191" t="s">
        <v>28</v>
      </c>
      <c r="D32" s="193">
        <v>1.9</v>
      </c>
      <c r="E32" s="331">
        <v>3.42</v>
      </c>
      <c r="F32" s="332"/>
      <c r="G32" s="192">
        <f>ROUND(E32*D32,2)</f>
        <v>6.5</v>
      </c>
      <c r="H32" s="188"/>
    </row>
    <row r="33" spans="1:10" s="178" customFormat="1" ht="15.75">
      <c r="A33" s="189">
        <v>6</v>
      </c>
      <c r="B33" s="190" t="s">
        <v>88</v>
      </c>
      <c r="C33" s="191"/>
      <c r="D33" s="191"/>
      <c r="E33" s="347"/>
      <c r="F33" s="348"/>
      <c r="G33" s="192">
        <f>SUM(G28:G32)</f>
        <v>16.29</v>
      </c>
      <c r="H33" s="188"/>
    </row>
    <row r="34" spans="1:10" s="178" customFormat="1" ht="15.75">
      <c r="A34" s="189">
        <v>7</v>
      </c>
      <c r="B34" s="190" t="str">
        <f>"Leis Sociais  ( "&amp;TEXT($H$7,"0,00%")&amp;")"</f>
        <v>Leis Sociais  ( 91,70%)</v>
      </c>
      <c r="C34" s="191"/>
      <c r="D34" s="191"/>
      <c r="E34" s="347"/>
      <c r="F34" s="348"/>
      <c r="G34" s="192">
        <f>$H$7*G33</f>
        <v>14.93793</v>
      </c>
      <c r="H34" s="188"/>
      <c r="J34" s="195"/>
    </row>
    <row r="35" spans="1:10" s="178" customFormat="1" ht="15.75">
      <c r="A35" s="196">
        <v>8</v>
      </c>
      <c r="B35" s="197" t="s">
        <v>89</v>
      </c>
      <c r="C35" s="191"/>
      <c r="D35" s="191"/>
      <c r="E35" s="347"/>
      <c r="F35" s="348"/>
      <c r="G35" s="198">
        <f>G34+G33</f>
        <v>31.227930000000001</v>
      </c>
      <c r="H35" s="188"/>
    </row>
    <row r="36" spans="1:10" s="178" customFormat="1" ht="15.75">
      <c r="A36" s="199"/>
      <c r="B36" s="200"/>
      <c r="C36" s="201"/>
      <c r="D36" s="201"/>
      <c r="E36" s="202"/>
      <c r="F36" s="203"/>
      <c r="G36" s="204"/>
      <c r="H36" s="188"/>
    </row>
    <row r="37" spans="1:10" s="178" customFormat="1" ht="16.5" thickBot="1">
      <c r="A37" s="179" t="s">
        <v>19</v>
      </c>
      <c r="B37" s="179" t="s">
        <v>20</v>
      </c>
      <c r="C37" s="179" t="s">
        <v>21</v>
      </c>
      <c r="D37" s="179" t="s">
        <v>22</v>
      </c>
      <c r="E37" s="333" t="s">
        <v>23</v>
      </c>
      <c r="F37" s="334"/>
      <c r="G37" s="179" t="s">
        <v>24</v>
      </c>
      <c r="H37" s="188"/>
    </row>
    <row r="38" spans="1:10" s="178" customFormat="1" ht="16.5" thickBot="1">
      <c r="A38" s="180"/>
      <c r="B38" s="181" t="s">
        <v>90</v>
      </c>
      <c r="C38" s="182"/>
      <c r="D38" s="182"/>
      <c r="E38" s="182"/>
      <c r="F38" s="182"/>
      <c r="G38" s="183"/>
      <c r="H38" s="188"/>
    </row>
    <row r="39" spans="1:10" s="178" customFormat="1" ht="15.75">
      <c r="A39" s="205">
        <v>9</v>
      </c>
      <c r="B39" s="206" t="s">
        <v>91</v>
      </c>
      <c r="C39" s="207" t="s">
        <v>16</v>
      </c>
      <c r="D39" s="207">
        <v>0.03</v>
      </c>
      <c r="E39" s="337">
        <v>55.71</v>
      </c>
      <c r="F39" s="338"/>
      <c r="G39" s="208">
        <f t="shared" ref="G39:G54" si="0">ROUND(E39*D39,2)</f>
        <v>1.67</v>
      </c>
      <c r="H39" s="188"/>
    </row>
    <row r="40" spans="1:10" s="178" customFormat="1" ht="25.5">
      <c r="A40" s="189">
        <v>10</v>
      </c>
      <c r="B40" s="190" t="s">
        <v>92</v>
      </c>
      <c r="C40" s="191" t="s">
        <v>93</v>
      </c>
      <c r="D40" s="191">
        <v>0.03</v>
      </c>
      <c r="E40" s="331">
        <v>0.64</v>
      </c>
      <c r="F40" s="332"/>
      <c r="G40" s="192">
        <f t="shared" si="0"/>
        <v>0.02</v>
      </c>
      <c r="H40" s="188"/>
    </row>
    <row r="41" spans="1:10" s="178" customFormat="1" ht="25.5">
      <c r="A41" s="189">
        <v>11</v>
      </c>
      <c r="B41" s="190" t="s">
        <v>94</v>
      </c>
      <c r="C41" s="191" t="s">
        <v>7</v>
      </c>
      <c r="D41" s="191">
        <v>0.51</v>
      </c>
      <c r="E41" s="331">
        <v>30.77</v>
      </c>
      <c r="F41" s="332"/>
      <c r="G41" s="192">
        <f t="shared" si="0"/>
        <v>15.69</v>
      </c>
      <c r="H41" s="188"/>
    </row>
    <row r="42" spans="1:10" s="178" customFormat="1" ht="15.75">
      <c r="A42" s="189">
        <v>12</v>
      </c>
      <c r="B42" s="190" t="s">
        <v>95</v>
      </c>
      <c r="C42" s="191" t="s">
        <v>96</v>
      </c>
      <c r="D42" s="193">
        <v>12.67</v>
      </c>
      <c r="E42" s="331">
        <v>0.54</v>
      </c>
      <c r="F42" s="332"/>
      <c r="G42" s="192">
        <f t="shared" si="0"/>
        <v>6.84</v>
      </c>
      <c r="H42" s="188"/>
    </row>
    <row r="43" spans="1:10" s="178" customFormat="1" ht="25.5">
      <c r="A43" s="189">
        <v>13</v>
      </c>
      <c r="B43" s="190" t="s">
        <v>97</v>
      </c>
      <c r="C43" s="191" t="s">
        <v>7</v>
      </c>
      <c r="D43" s="191">
        <v>2.2599999999999998</v>
      </c>
      <c r="E43" s="331">
        <v>46.95</v>
      </c>
      <c r="F43" s="332"/>
      <c r="G43" s="192">
        <f t="shared" si="0"/>
        <v>106.11</v>
      </c>
      <c r="H43" s="188"/>
    </row>
    <row r="44" spans="1:10" s="178" customFormat="1" ht="15.75">
      <c r="A44" s="189">
        <v>14</v>
      </c>
      <c r="B44" s="190" t="s">
        <v>98</v>
      </c>
      <c r="C44" s="191" t="s">
        <v>7</v>
      </c>
      <c r="D44" s="191">
        <v>0.15</v>
      </c>
      <c r="E44" s="331">
        <v>3.5</v>
      </c>
      <c r="F44" s="332"/>
      <c r="G44" s="192">
        <f t="shared" si="0"/>
        <v>0.53</v>
      </c>
      <c r="H44" s="188"/>
    </row>
    <row r="45" spans="1:10" s="178" customFormat="1" ht="15.75">
      <c r="A45" s="189">
        <v>15</v>
      </c>
      <c r="B45" s="190" t="s">
        <v>99</v>
      </c>
      <c r="C45" s="191" t="s">
        <v>7</v>
      </c>
      <c r="D45" s="191">
        <v>0.15</v>
      </c>
      <c r="E45" s="331">
        <v>1.84</v>
      </c>
      <c r="F45" s="332"/>
      <c r="G45" s="192">
        <f t="shared" si="0"/>
        <v>0.28000000000000003</v>
      </c>
      <c r="H45" s="188"/>
    </row>
    <row r="46" spans="1:10" s="178" customFormat="1" ht="15.75">
      <c r="A46" s="189">
        <v>16</v>
      </c>
      <c r="B46" s="190" t="s">
        <v>100</v>
      </c>
      <c r="C46" s="191" t="s">
        <v>7</v>
      </c>
      <c r="D46" s="191">
        <v>4.9000000000000004</v>
      </c>
      <c r="E46" s="331">
        <v>4.3499999999999996</v>
      </c>
      <c r="F46" s="332"/>
      <c r="G46" s="192">
        <f t="shared" si="0"/>
        <v>21.32</v>
      </c>
      <c r="H46" s="188"/>
    </row>
    <row r="47" spans="1:10" s="178" customFormat="1" ht="25.5">
      <c r="A47" s="189">
        <v>17</v>
      </c>
      <c r="B47" s="190" t="s">
        <v>101</v>
      </c>
      <c r="C47" s="191" t="s">
        <v>102</v>
      </c>
      <c r="D47" s="191">
        <v>0.09</v>
      </c>
      <c r="E47" s="331">
        <v>34.9</v>
      </c>
      <c r="F47" s="332"/>
      <c r="G47" s="192">
        <f t="shared" si="0"/>
        <v>3.14</v>
      </c>
      <c r="H47" s="188"/>
    </row>
    <row r="48" spans="1:10" s="178" customFormat="1" ht="15.75">
      <c r="A48" s="189">
        <v>18</v>
      </c>
      <c r="B48" s="190" t="s">
        <v>103</v>
      </c>
      <c r="C48" s="191" t="s">
        <v>7</v>
      </c>
      <c r="D48" s="191">
        <v>0.15</v>
      </c>
      <c r="E48" s="331">
        <v>0.91</v>
      </c>
      <c r="F48" s="332"/>
      <c r="G48" s="192">
        <f t="shared" si="0"/>
        <v>0.14000000000000001</v>
      </c>
      <c r="H48" s="188"/>
    </row>
    <row r="49" spans="1:14" s="178" customFormat="1" ht="25.5">
      <c r="A49" s="189">
        <v>19</v>
      </c>
      <c r="B49" s="190" t="s">
        <v>104</v>
      </c>
      <c r="C49" s="191" t="s">
        <v>93</v>
      </c>
      <c r="D49" s="191">
        <v>0.03</v>
      </c>
      <c r="E49" s="331">
        <v>21.22</v>
      </c>
      <c r="F49" s="332"/>
      <c r="G49" s="192">
        <f t="shared" si="0"/>
        <v>0.64</v>
      </c>
      <c r="H49" s="188"/>
    </row>
    <row r="50" spans="1:14" s="178" customFormat="1" ht="25.5">
      <c r="A50" s="189">
        <v>20</v>
      </c>
      <c r="B50" s="190" t="s">
        <v>105</v>
      </c>
      <c r="C50" s="191" t="s">
        <v>93</v>
      </c>
      <c r="D50" s="191">
        <v>1.3</v>
      </c>
      <c r="E50" s="331">
        <v>8.83</v>
      </c>
      <c r="F50" s="332"/>
      <c r="G50" s="192">
        <f t="shared" si="0"/>
        <v>11.48</v>
      </c>
      <c r="H50" s="188"/>
    </row>
    <row r="51" spans="1:14" s="178" customFormat="1" ht="25.5">
      <c r="A51" s="189">
        <v>21</v>
      </c>
      <c r="B51" s="190" t="s">
        <v>106</v>
      </c>
      <c r="C51" s="191" t="s">
        <v>93</v>
      </c>
      <c r="D51" s="191">
        <v>3.83</v>
      </c>
      <c r="E51" s="331">
        <v>2.04</v>
      </c>
      <c r="F51" s="332"/>
      <c r="G51" s="192">
        <f t="shared" si="0"/>
        <v>7.81</v>
      </c>
      <c r="H51" s="188"/>
    </row>
    <row r="52" spans="1:14" s="178" customFormat="1" ht="15.75">
      <c r="A52" s="189">
        <v>22</v>
      </c>
      <c r="B52" s="190" t="s">
        <v>107</v>
      </c>
      <c r="C52" s="191" t="s">
        <v>16</v>
      </c>
      <c r="D52" s="191">
        <v>0.03</v>
      </c>
      <c r="E52" s="331">
        <v>69.319999999999993</v>
      </c>
      <c r="F52" s="332"/>
      <c r="G52" s="192">
        <f t="shared" si="0"/>
        <v>2.08</v>
      </c>
      <c r="H52" s="188"/>
    </row>
    <row r="53" spans="1:14" s="178" customFormat="1" ht="15.75">
      <c r="A53" s="189">
        <v>23</v>
      </c>
      <c r="B53" s="190" t="s">
        <v>108</v>
      </c>
      <c r="C53" s="191" t="s">
        <v>96</v>
      </c>
      <c r="D53" s="191">
        <v>0.28000000000000003</v>
      </c>
      <c r="E53" s="331">
        <v>6.98</v>
      </c>
      <c r="F53" s="332"/>
      <c r="G53" s="192">
        <f t="shared" si="0"/>
        <v>1.95</v>
      </c>
      <c r="H53" s="188"/>
    </row>
    <row r="54" spans="1:14" s="178" customFormat="1" ht="15.75">
      <c r="A54" s="209">
        <v>24</v>
      </c>
      <c r="B54" s="190" t="s">
        <v>109</v>
      </c>
      <c r="C54" s="191" t="s">
        <v>7</v>
      </c>
      <c r="D54" s="191">
        <v>0.09</v>
      </c>
      <c r="E54" s="331">
        <v>4.84</v>
      </c>
      <c r="F54" s="332"/>
      <c r="G54" s="192">
        <f t="shared" si="0"/>
        <v>0.44</v>
      </c>
      <c r="H54" s="188"/>
    </row>
    <row r="55" spans="1:14" s="178" customFormat="1" ht="15.75">
      <c r="A55" s="189"/>
      <c r="B55" s="210" t="s">
        <v>27</v>
      </c>
      <c r="C55" s="191"/>
      <c r="D55" s="191"/>
      <c r="E55" s="191"/>
      <c r="F55" s="211"/>
      <c r="G55" s="198">
        <f>SUM(G39:G54)+G35</f>
        <v>211.36792999999994</v>
      </c>
      <c r="H55" s="212"/>
    </row>
    <row r="56" spans="1:14" s="178" customFormat="1" ht="16.5" thickBot="1">
      <c r="A56" s="213"/>
      <c r="B56" s="214" t="str">
        <f>"BDI  ( "&amp;TEXT($G$7,"0,00%")&amp;" )"</f>
        <v>BDI  ( 25,00% )</v>
      </c>
      <c r="C56" s="215"/>
      <c r="D56" s="215"/>
      <c r="E56" s="215"/>
      <c r="F56" s="216"/>
      <c r="G56" s="217">
        <f>$G$7*G55</f>
        <v>52.841982499999986</v>
      </c>
      <c r="H56" s="188"/>
    </row>
    <row r="57" spans="1:14" s="178" customFormat="1" ht="16.5" thickBot="1">
      <c r="A57" s="218"/>
      <c r="B57" s="219" t="s">
        <v>110</v>
      </c>
      <c r="C57" s="220"/>
      <c r="D57" s="220"/>
      <c r="E57" s="220"/>
      <c r="F57" s="221"/>
      <c r="G57" s="222">
        <f>G56+G55</f>
        <v>264.20991249999992</v>
      </c>
      <c r="H57" s="188"/>
    </row>
    <row r="58" spans="1:14" ht="15.75">
      <c r="A58" s="30"/>
      <c r="B58" s="30"/>
      <c r="C58" s="30"/>
      <c r="D58" s="30"/>
      <c r="E58" s="30"/>
      <c r="F58" s="30"/>
      <c r="G58" s="17"/>
      <c r="H58" s="15"/>
      <c r="I58" s="15"/>
      <c r="J58" s="16"/>
      <c r="K58" s="15"/>
      <c r="L58" s="15"/>
      <c r="M58" s="15"/>
      <c r="N58" s="15"/>
    </row>
    <row r="59" spans="1:14" ht="15.75">
      <c r="A59" s="359" t="s">
        <v>154</v>
      </c>
      <c r="B59" s="359"/>
      <c r="C59" s="359"/>
      <c r="D59" s="359"/>
      <c r="E59" s="359"/>
      <c r="F59" s="359"/>
      <c r="G59" s="17"/>
      <c r="H59" s="15"/>
      <c r="I59" s="15"/>
      <c r="J59" s="16"/>
      <c r="K59" s="15"/>
      <c r="L59" s="15"/>
      <c r="M59" s="15"/>
      <c r="N59" s="15"/>
    </row>
    <row r="60" spans="1:14" ht="15.75">
      <c r="A60" s="55" t="s">
        <v>44</v>
      </c>
      <c r="B60" s="55" t="s">
        <v>20</v>
      </c>
      <c r="C60" s="55" t="s">
        <v>21</v>
      </c>
      <c r="D60" s="55" t="s">
        <v>22</v>
      </c>
      <c r="E60" s="55" t="s">
        <v>23</v>
      </c>
      <c r="F60" s="55" t="s">
        <v>24</v>
      </c>
      <c r="G60" s="31"/>
      <c r="H60" s="15"/>
      <c r="I60" s="15"/>
      <c r="J60" s="16"/>
      <c r="K60" s="15"/>
      <c r="L60" s="15"/>
      <c r="M60" s="15"/>
      <c r="N60" s="15"/>
    </row>
    <row r="61" spans="1:14" ht="15.75">
      <c r="A61" s="32">
        <v>2707</v>
      </c>
      <c r="B61" s="33" t="s">
        <v>46</v>
      </c>
      <c r="C61" s="32" t="s">
        <v>28</v>
      </c>
      <c r="D61" s="32">
        <v>16</v>
      </c>
      <c r="E61" s="34">
        <v>104.4</v>
      </c>
      <c r="F61" s="34">
        <f>ROUND(E61*D61,2)</f>
        <v>1670.4</v>
      </c>
      <c r="G61" s="17"/>
      <c r="H61" s="15"/>
      <c r="I61" s="15"/>
      <c r="J61" s="16"/>
      <c r="K61" s="15"/>
      <c r="L61" s="15"/>
      <c r="M61" s="15"/>
      <c r="N61" s="15"/>
    </row>
    <row r="62" spans="1:14" ht="15.75">
      <c r="A62" s="32">
        <v>4069</v>
      </c>
      <c r="B62" s="33" t="s">
        <v>47</v>
      </c>
      <c r="C62" s="32" t="s">
        <v>28</v>
      </c>
      <c r="D62" s="32">
        <v>24</v>
      </c>
      <c r="E62" s="34">
        <v>41.96</v>
      </c>
      <c r="F62" s="34">
        <f>ROUND(E62*D62,2)</f>
        <v>1007.04</v>
      </c>
      <c r="G62" s="17"/>
      <c r="H62" s="15"/>
      <c r="I62" s="15"/>
      <c r="J62" s="16"/>
      <c r="K62" s="15"/>
      <c r="L62" s="15"/>
      <c r="M62" s="15"/>
      <c r="N62" s="15"/>
    </row>
    <row r="63" spans="1:14" ht="15.75">
      <c r="A63" s="32">
        <v>6122</v>
      </c>
      <c r="B63" s="33" t="s">
        <v>29</v>
      </c>
      <c r="C63" s="32" t="s">
        <v>28</v>
      </c>
      <c r="D63" s="32">
        <v>220</v>
      </c>
      <c r="E63" s="34">
        <v>11.38</v>
      </c>
      <c r="F63" s="34">
        <f>ROUND(E63*D63,2)</f>
        <v>2503.6</v>
      </c>
      <c r="G63" s="17"/>
      <c r="H63" s="15"/>
      <c r="I63" s="15"/>
      <c r="J63" s="16"/>
      <c r="K63" s="15"/>
      <c r="L63" s="15"/>
      <c r="M63" s="15"/>
      <c r="N63" s="15"/>
    </row>
    <row r="64" spans="1:14" ht="16.5" thickBot="1">
      <c r="A64" s="83"/>
      <c r="B64" s="355" t="s">
        <v>45</v>
      </c>
      <c r="C64" s="356"/>
      <c r="D64" s="356"/>
      <c r="E64" s="84"/>
      <c r="F64" s="85">
        <f>SUM(F61:F63)</f>
        <v>5181.04</v>
      </c>
      <c r="G64" s="17"/>
      <c r="H64" s="15"/>
      <c r="I64" s="15"/>
      <c r="J64" s="16"/>
      <c r="K64" s="15"/>
      <c r="L64" s="15"/>
      <c r="M64" s="15"/>
      <c r="N64" s="15"/>
    </row>
    <row r="65" spans="1:14" ht="15.75">
      <c r="A65" s="36">
        <v>12893</v>
      </c>
      <c r="B65" s="82" t="s">
        <v>30</v>
      </c>
      <c r="C65" s="36" t="s">
        <v>68</v>
      </c>
      <c r="D65" s="36">
        <v>1.3</v>
      </c>
      <c r="E65" s="37">
        <v>31.33</v>
      </c>
      <c r="F65" s="37">
        <f t="shared" ref="F65:F73" si="1">D65*E65</f>
        <v>40.728999999999999</v>
      </c>
      <c r="G65" s="17"/>
      <c r="H65" s="15"/>
      <c r="I65" s="15"/>
      <c r="J65" s="16"/>
      <c r="K65" s="15"/>
      <c r="L65" s="15"/>
      <c r="M65" s="15"/>
      <c r="N65" s="15"/>
    </row>
    <row r="66" spans="1:14" ht="15.75">
      <c r="A66" s="32">
        <v>12895</v>
      </c>
      <c r="B66" s="39" t="s">
        <v>31</v>
      </c>
      <c r="C66" s="32" t="s">
        <v>26</v>
      </c>
      <c r="D66" s="32">
        <v>1.33</v>
      </c>
      <c r="E66" s="34">
        <v>11.04</v>
      </c>
      <c r="F66" s="34">
        <f t="shared" si="1"/>
        <v>14.683199999999999</v>
      </c>
      <c r="G66" s="17"/>
      <c r="H66" s="15"/>
      <c r="I66" s="15"/>
      <c r="J66" s="16"/>
      <c r="K66" s="15"/>
      <c r="L66" s="15"/>
      <c r="M66" s="15"/>
      <c r="N66" s="15"/>
    </row>
    <row r="67" spans="1:14" ht="15.75">
      <c r="A67" s="32">
        <v>3</v>
      </c>
      <c r="B67" s="39" t="s">
        <v>48</v>
      </c>
      <c r="C67" s="32" t="s">
        <v>26</v>
      </c>
      <c r="D67" s="32">
        <f>12/6</f>
        <v>2</v>
      </c>
      <c r="E67" s="34">
        <v>2.2000000000000002</v>
      </c>
      <c r="F67" s="34">
        <f t="shared" si="1"/>
        <v>4.4000000000000004</v>
      </c>
      <c r="G67" s="17"/>
      <c r="H67" s="15"/>
      <c r="I67" s="15"/>
      <c r="J67" s="16"/>
      <c r="K67" s="15"/>
      <c r="L67" s="15"/>
      <c r="M67" s="15"/>
      <c r="N67" s="15"/>
    </row>
    <row r="68" spans="1:14" ht="15.75">
      <c r="A68" s="32">
        <v>4</v>
      </c>
      <c r="B68" s="39" t="s">
        <v>49</v>
      </c>
      <c r="C68" s="32" t="s">
        <v>26</v>
      </c>
      <c r="D68" s="32">
        <f>D67</f>
        <v>2</v>
      </c>
      <c r="E68" s="34">
        <v>16</v>
      </c>
      <c r="F68" s="34">
        <f t="shared" si="1"/>
        <v>32</v>
      </c>
      <c r="G68" s="17"/>
      <c r="H68" s="15"/>
      <c r="I68" s="15"/>
      <c r="J68" s="16"/>
      <c r="K68" s="15"/>
      <c r="L68" s="15"/>
      <c r="M68" s="15"/>
      <c r="N68" s="15"/>
    </row>
    <row r="69" spans="1:14" ht="15.75">
      <c r="A69" s="32">
        <v>12892</v>
      </c>
      <c r="B69" s="39" t="s">
        <v>32</v>
      </c>
      <c r="C69" s="32" t="s">
        <v>68</v>
      </c>
      <c r="D69" s="32">
        <f>D68</f>
        <v>2</v>
      </c>
      <c r="E69" s="34">
        <v>15.9</v>
      </c>
      <c r="F69" s="34">
        <f t="shared" si="1"/>
        <v>31.8</v>
      </c>
      <c r="G69" s="17"/>
      <c r="H69" s="15"/>
      <c r="I69" s="15"/>
      <c r="J69" s="16"/>
      <c r="K69" s="15"/>
      <c r="L69" s="15"/>
      <c r="M69" s="15"/>
      <c r="N69" s="15"/>
    </row>
    <row r="70" spans="1:14" ht="15.75">
      <c r="A70" s="32">
        <v>6</v>
      </c>
      <c r="B70" s="39" t="s">
        <v>33</v>
      </c>
      <c r="C70" s="32" t="s">
        <v>34</v>
      </c>
      <c r="D70" s="32">
        <v>1</v>
      </c>
      <c r="E70" s="34">
        <v>100</v>
      </c>
      <c r="F70" s="34">
        <f t="shared" si="1"/>
        <v>100</v>
      </c>
      <c r="G70" s="17"/>
      <c r="H70" s="15"/>
      <c r="I70" s="15"/>
      <c r="J70" s="16"/>
      <c r="K70" s="15"/>
      <c r="L70" s="15"/>
      <c r="M70" s="15"/>
      <c r="N70" s="15"/>
    </row>
    <row r="71" spans="1:14" ht="15.75">
      <c r="A71" s="32">
        <v>14583</v>
      </c>
      <c r="B71" s="39" t="s">
        <v>50</v>
      </c>
      <c r="C71" s="32" t="s">
        <v>16</v>
      </c>
      <c r="D71" s="32">
        <v>20</v>
      </c>
      <c r="E71" s="34">
        <v>8.14</v>
      </c>
      <c r="F71" s="34">
        <f t="shared" si="1"/>
        <v>162.80000000000001</v>
      </c>
      <c r="G71" s="17"/>
      <c r="H71" s="15"/>
      <c r="I71" s="15"/>
      <c r="J71" s="16"/>
      <c r="K71" s="15"/>
      <c r="L71" s="15"/>
      <c r="M71" s="15"/>
      <c r="N71" s="15"/>
    </row>
    <row r="72" spans="1:14" ht="15.75">
      <c r="A72" s="32">
        <v>14250</v>
      </c>
      <c r="B72" s="39" t="s">
        <v>77</v>
      </c>
      <c r="C72" s="32" t="s">
        <v>78</v>
      </c>
      <c r="D72" s="32">
        <v>50</v>
      </c>
      <c r="E72" s="34">
        <v>0.43</v>
      </c>
      <c r="F72" s="34">
        <f t="shared" si="1"/>
        <v>21.5</v>
      </c>
      <c r="G72" s="17"/>
      <c r="H72" s="15"/>
      <c r="I72" s="15"/>
      <c r="J72" s="16"/>
      <c r="K72" s="15"/>
      <c r="L72" s="15"/>
      <c r="M72" s="15"/>
      <c r="N72" s="15"/>
    </row>
    <row r="73" spans="1:14" ht="15.75">
      <c r="A73" s="32">
        <v>10</v>
      </c>
      <c r="B73" s="39" t="s">
        <v>51</v>
      </c>
      <c r="C73" s="32" t="s">
        <v>26</v>
      </c>
      <c r="D73" s="32">
        <f>2*1*22</f>
        <v>44</v>
      </c>
      <c r="E73" s="34">
        <v>6.5</v>
      </c>
      <c r="F73" s="34">
        <f t="shared" si="1"/>
        <v>286</v>
      </c>
      <c r="G73" s="17"/>
      <c r="H73" s="15"/>
      <c r="I73" s="15"/>
      <c r="J73" s="16"/>
      <c r="K73" s="15"/>
      <c r="L73" s="15"/>
      <c r="M73" s="15"/>
      <c r="N73" s="15"/>
    </row>
    <row r="74" spans="1:14" ht="15.75">
      <c r="A74" s="32">
        <v>11</v>
      </c>
      <c r="B74" s="39" t="s">
        <v>52</v>
      </c>
      <c r="C74" s="32" t="s">
        <v>26</v>
      </c>
      <c r="D74" s="32">
        <f>D73</f>
        <v>44</v>
      </c>
      <c r="E74" s="34">
        <v>3</v>
      </c>
      <c r="F74" s="34">
        <v>175.99</v>
      </c>
      <c r="G74" s="17"/>
      <c r="H74" s="15"/>
      <c r="I74" s="15"/>
      <c r="J74" s="16"/>
      <c r="K74" s="15"/>
      <c r="L74" s="15"/>
      <c r="M74" s="15"/>
      <c r="N74" s="15"/>
    </row>
    <row r="75" spans="1:14" ht="16.5" thickBot="1">
      <c r="A75" s="83"/>
      <c r="B75" s="96" t="s">
        <v>53</v>
      </c>
      <c r="C75" s="83"/>
      <c r="D75" s="83"/>
      <c r="E75" s="85"/>
      <c r="F75" s="85">
        <f>SUM(F65:F74)</f>
        <v>869.90219999999999</v>
      </c>
      <c r="G75" s="17"/>
      <c r="H75" s="57"/>
      <c r="I75" s="57"/>
      <c r="J75" s="57"/>
      <c r="K75" s="57"/>
      <c r="L75" s="57"/>
      <c r="M75" s="57"/>
      <c r="N75" s="15"/>
    </row>
    <row r="76" spans="1:14" ht="15.75">
      <c r="A76" s="91"/>
      <c r="B76" s="92" t="s">
        <v>54</v>
      </c>
      <c r="C76" s="93"/>
      <c r="D76" s="93"/>
      <c r="E76" s="94"/>
      <c r="F76" s="95">
        <f>SUM(F64+F75)</f>
        <v>6050.9421999999995</v>
      </c>
      <c r="G76" s="17"/>
      <c r="H76" s="41"/>
      <c r="I76" s="41"/>
      <c r="J76" s="41"/>
      <c r="K76" s="41"/>
      <c r="L76" s="41"/>
      <c r="M76" s="41"/>
      <c r="N76" s="15"/>
    </row>
    <row r="77" spans="1:14" ht="16.5" thickBot="1">
      <c r="A77" s="35"/>
      <c r="B77" s="86" t="str">
        <f>"BDI  "</f>
        <v xml:space="preserve">BDI  </v>
      </c>
      <c r="C77" s="87" t="str">
        <f>C22</f>
        <v>%</v>
      </c>
      <c r="D77" s="88">
        <f>D22</f>
        <v>0.25</v>
      </c>
      <c r="E77" s="89"/>
      <c r="F77" s="90">
        <f>F76*G7</f>
        <v>1512.7355499999999</v>
      </c>
      <c r="G77" s="17"/>
      <c r="H77" s="41"/>
      <c r="I77" s="41"/>
      <c r="J77" s="41"/>
      <c r="K77" s="41"/>
      <c r="L77" s="41"/>
      <c r="M77" s="41"/>
      <c r="N77" s="15"/>
    </row>
    <row r="78" spans="1:14" ht="16.5" thickBot="1">
      <c r="A78" s="353" t="s">
        <v>42</v>
      </c>
      <c r="B78" s="354"/>
      <c r="C78" s="354"/>
      <c r="D78" s="354"/>
      <c r="E78" s="354"/>
      <c r="F78" s="79">
        <f>F77+F76</f>
        <v>7563.6777499999989</v>
      </c>
      <c r="G78" s="260"/>
      <c r="H78" s="41"/>
      <c r="I78" s="42"/>
      <c r="J78" s="41"/>
      <c r="K78" s="42"/>
      <c r="L78" s="43"/>
      <c r="M78" s="42"/>
      <c r="N78" s="15"/>
    </row>
    <row r="79" spans="1:14">
      <c r="A79" s="15"/>
      <c r="B79" s="15"/>
      <c r="C79" s="16"/>
      <c r="D79" s="15"/>
      <c r="E79" s="44"/>
      <c r="F79" s="45"/>
    </row>
    <row r="80" spans="1:14" ht="15.75">
      <c r="A80" s="359" t="s">
        <v>153</v>
      </c>
      <c r="B80" s="359"/>
      <c r="C80" s="359"/>
      <c r="D80" s="359"/>
      <c r="E80" s="359"/>
      <c r="F80" s="359"/>
      <c r="G80" s="46"/>
    </row>
    <row r="81" spans="1:9" ht="12.75">
      <c r="A81" s="55" t="s">
        <v>44</v>
      </c>
      <c r="B81" s="55" t="s">
        <v>20</v>
      </c>
      <c r="C81" s="55" t="s">
        <v>21</v>
      </c>
      <c r="D81" s="55" t="s">
        <v>22</v>
      </c>
      <c r="E81" s="55" t="s">
        <v>23</v>
      </c>
      <c r="F81" s="55" t="s">
        <v>24</v>
      </c>
      <c r="G81" s="171"/>
    </row>
    <row r="82" spans="1:9" ht="15.75">
      <c r="A82" s="38">
        <v>7592</v>
      </c>
      <c r="B82" s="47" t="s">
        <v>69</v>
      </c>
      <c r="C82" s="48" t="s">
        <v>28</v>
      </c>
      <c r="D82" s="38">
        <v>2</v>
      </c>
      <c r="E82" s="49">
        <v>14.68</v>
      </c>
      <c r="F82" s="49">
        <f>ROUND(D82*E82,2)</f>
        <v>29.36</v>
      </c>
      <c r="G82" s="50"/>
      <c r="H82" s="51"/>
    </row>
    <row r="83" spans="1:9" ht="15.75">
      <c r="A83" s="38">
        <v>6115</v>
      </c>
      <c r="B83" s="47" t="s">
        <v>35</v>
      </c>
      <c r="C83" s="48" t="s">
        <v>28</v>
      </c>
      <c r="D83" s="38">
        <v>2</v>
      </c>
      <c r="E83" s="49">
        <v>6.56</v>
      </c>
      <c r="F83" s="49">
        <f>ROUND(D83*E83,2)</f>
        <v>13.12</v>
      </c>
      <c r="G83" s="50"/>
    </row>
    <row r="84" spans="1:9" ht="16.5" thickBot="1">
      <c r="A84" s="99"/>
      <c r="B84" s="355" t="s">
        <v>45</v>
      </c>
      <c r="C84" s="356"/>
      <c r="D84" s="357"/>
      <c r="E84" s="100"/>
      <c r="F84" s="100">
        <f>F82+F83</f>
        <v>42.48</v>
      </c>
      <c r="G84" s="50"/>
    </row>
    <row r="85" spans="1:9" ht="15.75">
      <c r="A85" s="98">
        <v>7247</v>
      </c>
      <c r="B85" s="112" t="s">
        <v>70</v>
      </c>
      <c r="C85" s="52" t="s">
        <v>28</v>
      </c>
      <c r="D85" s="52">
        <v>2</v>
      </c>
      <c r="E85" s="52">
        <v>2.11</v>
      </c>
      <c r="F85" s="53">
        <f>ROUND(D85*E85,2)</f>
        <v>4.22</v>
      </c>
      <c r="G85" s="50"/>
    </row>
    <row r="86" spans="1:9" ht="16.5" thickBot="1">
      <c r="A86" s="101"/>
      <c r="B86" s="96" t="s">
        <v>55</v>
      </c>
      <c r="C86" s="101"/>
      <c r="D86" s="101"/>
      <c r="E86" s="101"/>
      <c r="F86" s="100">
        <f>F85</f>
        <v>4.22</v>
      </c>
      <c r="G86" s="50"/>
    </row>
    <row r="87" spans="1:9" ht="15.75">
      <c r="A87" s="97"/>
      <c r="B87" s="92" t="s">
        <v>54</v>
      </c>
      <c r="C87" s="93"/>
      <c r="D87" s="93"/>
      <c r="E87" s="94"/>
      <c r="F87" s="95">
        <f>SUM(F86+F84)</f>
        <v>46.699999999999996</v>
      </c>
      <c r="G87" s="50"/>
    </row>
    <row r="88" spans="1:9" ht="16.5" thickBot="1">
      <c r="A88" s="47"/>
      <c r="B88" s="86" t="str">
        <f>"BDI  "</f>
        <v xml:space="preserve">BDI  </v>
      </c>
      <c r="C88" s="87" t="str">
        <f>C77</f>
        <v>%</v>
      </c>
      <c r="D88" s="88">
        <f>D77</f>
        <v>0.25</v>
      </c>
      <c r="E88" s="89"/>
      <c r="F88" s="90">
        <f>F87*G7</f>
        <v>11.674999999999999</v>
      </c>
      <c r="G88" s="54"/>
    </row>
    <row r="89" spans="1:9" ht="16.5" thickBot="1">
      <c r="A89" s="353" t="s">
        <v>42</v>
      </c>
      <c r="B89" s="354"/>
      <c r="C89" s="354"/>
      <c r="D89" s="354"/>
      <c r="E89" s="354"/>
      <c r="F89" s="102">
        <f>F87+F88</f>
        <v>58.374999999999993</v>
      </c>
      <c r="G89" s="54"/>
    </row>
    <row r="91" spans="1:9" s="178" customFormat="1" ht="15.75">
      <c r="A91" s="328" t="s">
        <v>152</v>
      </c>
      <c r="B91" s="329"/>
      <c r="C91" s="329"/>
      <c r="D91" s="329"/>
      <c r="E91" s="329"/>
      <c r="F91" s="329"/>
      <c r="G91" s="330"/>
      <c r="H91" s="188"/>
    </row>
    <row r="92" spans="1:9" s="178" customFormat="1" ht="16.5" thickBot="1">
      <c r="A92" s="223" t="s">
        <v>19</v>
      </c>
      <c r="B92" s="179" t="s">
        <v>20</v>
      </c>
      <c r="C92" s="179" t="s">
        <v>21</v>
      </c>
      <c r="D92" s="179" t="s">
        <v>22</v>
      </c>
      <c r="E92" s="333" t="s">
        <v>23</v>
      </c>
      <c r="F92" s="334"/>
      <c r="G92" s="179" t="s">
        <v>24</v>
      </c>
      <c r="H92" s="188"/>
      <c r="I92" s="177"/>
    </row>
    <row r="93" spans="1:9" s="178" customFormat="1" ht="16.5" thickBot="1">
      <c r="A93" s="180"/>
      <c r="B93" s="181" t="s">
        <v>82</v>
      </c>
      <c r="C93" s="182"/>
      <c r="D93" s="182"/>
      <c r="E93" s="182"/>
      <c r="F93" s="182"/>
      <c r="G93" s="183"/>
      <c r="H93" s="188"/>
      <c r="I93" s="177"/>
    </row>
    <row r="94" spans="1:9" s="178" customFormat="1" ht="15.75">
      <c r="A94" s="189">
        <v>1</v>
      </c>
      <c r="B94" s="190" t="s">
        <v>84</v>
      </c>
      <c r="C94" s="186" t="s">
        <v>28</v>
      </c>
      <c r="D94" s="224">
        <v>0.2</v>
      </c>
      <c r="E94" s="335">
        <f>E29</f>
        <v>9.0500000000000007</v>
      </c>
      <c r="F94" s="336"/>
      <c r="G94" s="187">
        <f>ROUND(E94*D94,2)</f>
        <v>1.81</v>
      </c>
      <c r="H94" s="176"/>
    </row>
    <row r="95" spans="1:9" s="178" customFormat="1" ht="15.75">
      <c r="A95" s="189">
        <v>2</v>
      </c>
      <c r="B95" s="190" t="s">
        <v>83</v>
      </c>
      <c r="C95" s="191" t="s">
        <v>28</v>
      </c>
      <c r="D95" s="193">
        <v>1</v>
      </c>
      <c r="E95" s="331">
        <f>E28</f>
        <v>5.67</v>
      </c>
      <c r="F95" s="332"/>
      <c r="G95" s="192">
        <f>ROUND(E95*D95,2)</f>
        <v>5.67</v>
      </c>
      <c r="H95" s="188"/>
    </row>
    <row r="96" spans="1:9" s="178" customFormat="1" ht="15.75">
      <c r="A96" s="189">
        <v>3</v>
      </c>
      <c r="B96" s="190" t="s">
        <v>87</v>
      </c>
      <c r="C96" s="191" t="s">
        <v>28</v>
      </c>
      <c r="D96" s="193">
        <v>2</v>
      </c>
      <c r="E96" s="331">
        <f>E32</f>
        <v>3.42</v>
      </c>
      <c r="F96" s="332"/>
      <c r="G96" s="192">
        <f>ROUND(E96*D96,2)</f>
        <v>6.84</v>
      </c>
      <c r="H96" s="188"/>
    </row>
    <row r="97" spans="1:16" s="178" customFormat="1" ht="15.75">
      <c r="A97" s="189">
        <v>4</v>
      </c>
      <c r="B97" s="190" t="s">
        <v>88</v>
      </c>
      <c r="C97" s="191"/>
      <c r="D97" s="191"/>
      <c r="E97" s="347"/>
      <c r="F97" s="348"/>
      <c r="G97" s="198">
        <f>SUM(G94:G96)</f>
        <v>14.32</v>
      </c>
      <c r="H97" s="188"/>
    </row>
    <row r="98" spans="1:16" s="178" customFormat="1" ht="15.75">
      <c r="A98" s="189">
        <v>5</v>
      </c>
      <c r="B98" s="190" t="str">
        <f>"Leis Sociais  ( "&amp;TEXT($H$7,"0,00%")&amp;")"</f>
        <v>Leis Sociais  ( 91,70%)</v>
      </c>
      <c r="C98" s="191"/>
      <c r="D98" s="191"/>
      <c r="E98" s="347"/>
      <c r="F98" s="348"/>
      <c r="G98" s="192">
        <f>$H$7*G97</f>
        <v>13.131440000000001</v>
      </c>
      <c r="H98" s="188"/>
    </row>
    <row r="99" spans="1:16" s="178" customFormat="1" ht="15.75">
      <c r="A99" s="189">
        <v>6</v>
      </c>
      <c r="B99" s="197" t="s">
        <v>89</v>
      </c>
      <c r="C99" s="191"/>
      <c r="D99" s="191"/>
      <c r="E99" s="347"/>
      <c r="F99" s="348"/>
      <c r="G99" s="198">
        <f>G98+G97</f>
        <v>27.451440000000002</v>
      </c>
      <c r="H99" s="188"/>
    </row>
    <row r="100" spans="1:16" s="178" customFormat="1"/>
    <row r="101" spans="1:16" s="178" customFormat="1" ht="16.5" thickBot="1">
      <c r="A101" s="225" t="s">
        <v>19</v>
      </c>
      <c r="B101" s="225" t="s">
        <v>20</v>
      </c>
      <c r="C101" s="225" t="s">
        <v>21</v>
      </c>
      <c r="D101" s="225" t="s">
        <v>22</v>
      </c>
      <c r="E101" s="339" t="s">
        <v>23</v>
      </c>
      <c r="F101" s="340"/>
      <c r="G101" s="225" t="s">
        <v>24</v>
      </c>
      <c r="H101" s="188"/>
    </row>
    <row r="102" spans="1:16" s="178" customFormat="1" ht="16.5" thickBot="1">
      <c r="A102" s="180"/>
      <c r="B102" s="181" t="s">
        <v>90</v>
      </c>
      <c r="C102" s="182"/>
      <c r="D102" s="182"/>
      <c r="E102" s="182"/>
      <c r="F102" s="182"/>
      <c r="G102" s="183"/>
      <c r="H102" s="188"/>
    </row>
    <row r="103" spans="1:16" s="178" customFormat="1" ht="26.25">
      <c r="A103" s="209">
        <v>7</v>
      </c>
      <c r="B103" s="226" t="s">
        <v>111</v>
      </c>
      <c r="C103" s="227" t="s">
        <v>93</v>
      </c>
      <c r="D103" s="228">
        <v>1</v>
      </c>
      <c r="E103" s="341">
        <v>5.58</v>
      </c>
      <c r="F103" s="342"/>
      <c r="G103" s="229">
        <f>D103*E103</f>
        <v>5.58</v>
      </c>
      <c r="H103" s="188"/>
    </row>
    <row r="104" spans="1:16" s="178" customFormat="1" ht="26.25">
      <c r="A104" s="189">
        <v>8</v>
      </c>
      <c r="B104" s="230" t="s">
        <v>112</v>
      </c>
      <c r="C104" s="231" t="s">
        <v>93</v>
      </c>
      <c r="D104" s="193">
        <v>4</v>
      </c>
      <c r="E104" s="331">
        <v>3.96</v>
      </c>
      <c r="F104" s="332"/>
      <c r="G104" s="232">
        <f>D104*E104</f>
        <v>15.84</v>
      </c>
      <c r="H104" s="188"/>
      <c r="I104" s="195"/>
    </row>
    <row r="105" spans="1:16" s="178" customFormat="1" ht="29.25" customHeight="1">
      <c r="A105" s="189">
        <v>9</v>
      </c>
      <c r="B105" s="230" t="s">
        <v>113</v>
      </c>
      <c r="C105" s="231" t="s">
        <v>9</v>
      </c>
      <c r="D105" s="193">
        <v>1</v>
      </c>
      <c r="E105" s="331">
        <v>147</v>
      </c>
      <c r="F105" s="332"/>
      <c r="G105" s="232">
        <f>D105*E105</f>
        <v>147</v>
      </c>
      <c r="H105" s="188"/>
    </row>
    <row r="106" spans="1:16" s="178" customFormat="1" ht="15.75">
      <c r="A106" s="189">
        <v>10</v>
      </c>
      <c r="B106" s="230" t="s">
        <v>114</v>
      </c>
      <c r="C106" s="231" t="s">
        <v>96</v>
      </c>
      <c r="D106" s="191">
        <v>0.11</v>
      </c>
      <c r="E106" s="331">
        <v>5.5</v>
      </c>
      <c r="F106" s="332"/>
      <c r="G106" s="232">
        <f>D106*E106</f>
        <v>0.60499999999999998</v>
      </c>
      <c r="H106" s="188"/>
      <c r="I106" s="195"/>
    </row>
    <row r="107" spans="1:16" s="178" customFormat="1" ht="26.25">
      <c r="A107" s="189">
        <v>11</v>
      </c>
      <c r="B107" s="230" t="s">
        <v>115</v>
      </c>
      <c r="C107" s="231" t="s">
        <v>16</v>
      </c>
      <c r="D107" s="191">
        <v>0.01</v>
      </c>
      <c r="E107" s="331">
        <v>198.54</v>
      </c>
      <c r="F107" s="332"/>
      <c r="G107" s="232">
        <f>D107*E107</f>
        <v>1.9854000000000001</v>
      </c>
      <c r="H107" s="188"/>
    </row>
    <row r="108" spans="1:16" s="178" customFormat="1">
      <c r="A108" s="189">
        <v>12</v>
      </c>
      <c r="B108" s="210" t="s">
        <v>27</v>
      </c>
      <c r="C108" s="233"/>
      <c r="D108" s="234"/>
      <c r="E108" s="351"/>
      <c r="F108" s="352"/>
      <c r="G108" s="198">
        <f>SUM(G103:G107)+G99</f>
        <v>198.46184</v>
      </c>
      <c r="H108" s="236"/>
      <c r="J108" s="237"/>
      <c r="K108" s="237"/>
      <c r="L108" s="237"/>
      <c r="M108" s="237"/>
      <c r="N108" s="237"/>
      <c r="O108" s="237"/>
      <c r="P108" s="236"/>
    </row>
    <row r="109" spans="1:16" s="178" customFormat="1" ht="16.5" thickBot="1">
      <c r="A109" s="196">
        <v>13</v>
      </c>
      <c r="B109" s="214" t="str">
        <f>"BDI  ( "&amp;TEXT($B$8,"25,00%")&amp;" )"</f>
        <v>BDI  ( 25,00% )</v>
      </c>
      <c r="C109" s="215"/>
      <c r="D109" s="215"/>
      <c r="E109" s="349"/>
      <c r="F109" s="350"/>
      <c r="G109" s="217">
        <f>$G$7*G108</f>
        <v>49.615459999999999</v>
      </c>
      <c r="H109" s="236"/>
      <c r="J109" s="237"/>
      <c r="K109" s="237"/>
      <c r="L109" s="237"/>
      <c r="M109" s="237"/>
      <c r="N109" s="237"/>
      <c r="O109" s="237"/>
      <c r="P109" s="236"/>
    </row>
    <row r="110" spans="1:16" s="178" customFormat="1" ht="15.75" thickBot="1">
      <c r="A110" s="239">
        <v>14</v>
      </c>
      <c r="B110" s="219" t="s">
        <v>110</v>
      </c>
      <c r="C110" s="220"/>
      <c r="D110" s="220"/>
      <c r="E110" s="220"/>
      <c r="F110" s="240"/>
      <c r="G110" s="222">
        <f>G109+G108</f>
        <v>248.07729999999998</v>
      </c>
      <c r="H110" s="236"/>
      <c r="J110" s="237"/>
      <c r="K110" s="241"/>
      <c r="L110" s="237"/>
      <c r="M110" s="241"/>
      <c r="N110" s="242"/>
      <c r="O110" s="241"/>
      <c r="P110" s="236"/>
    </row>
    <row r="112" spans="1:16" s="178" customFormat="1" ht="15.75">
      <c r="A112" s="328" t="s">
        <v>155</v>
      </c>
      <c r="B112" s="329"/>
      <c r="C112" s="329"/>
      <c r="D112" s="329"/>
      <c r="E112" s="329"/>
      <c r="F112" s="329"/>
      <c r="G112" s="330"/>
      <c r="H112" s="176"/>
      <c r="I112" s="177"/>
    </row>
    <row r="113" spans="1:9" s="178" customFormat="1" ht="16.5" thickBot="1">
      <c r="A113" s="225" t="s">
        <v>19</v>
      </c>
      <c r="B113" s="225" t="s">
        <v>20</v>
      </c>
      <c r="C113" s="225" t="s">
        <v>21</v>
      </c>
      <c r="D113" s="225" t="s">
        <v>22</v>
      </c>
      <c r="E113" s="225" t="s">
        <v>117</v>
      </c>
      <c r="F113" s="225" t="s">
        <v>23</v>
      </c>
      <c r="G113" s="225" t="s">
        <v>24</v>
      </c>
      <c r="H113" s="176"/>
      <c r="I113" s="177"/>
    </row>
    <row r="114" spans="1:9" s="178" customFormat="1" ht="16.5" thickBot="1">
      <c r="A114" s="243"/>
      <c r="B114" s="181" t="s">
        <v>82</v>
      </c>
      <c r="C114" s="244"/>
      <c r="D114" s="244"/>
      <c r="E114" s="244"/>
      <c r="F114" s="244"/>
      <c r="G114" s="245"/>
      <c r="H114" s="176"/>
      <c r="I114" s="177"/>
    </row>
    <row r="115" spans="1:9" s="178" customFormat="1" ht="15.75">
      <c r="A115" s="209">
        <v>1</v>
      </c>
      <c r="B115" s="246" t="s">
        <v>118</v>
      </c>
      <c r="C115" s="247" t="s">
        <v>28</v>
      </c>
      <c r="D115" s="193">
        <v>1</v>
      </c>
      <c r="E115" s="228"/>
      <c r="F115" s="248">
        <f>E94</f>
        <v>9.0500000000000007</v>
      </c>
      <c r="G115" s="249">
        <f>ROUND(F115*D115,2)</f>
        <v>9.0500000000000007</v>
      </c>
      <c r="H115" s="188"/>
    </row>
    <row r="116" spans="1:9" s="178" customFormat="1" ht="15.75">
      <c r="A116" s="189">
        <v>2</v>
      </c>
      <c r="B116" s="190" t="s">
        <v>87</v>
      </c>
      <c r="C116" s="191" t="s">
        <v>28</v>
      </c>
      <c r="D116" s="193">
        <v>1</v>
      </c>
      <c r="E116" s="193"/>
      <c r="F116" s="194">
        <f>E96</f>
        <v>3.42</v>
      </c>
      <c r="G116" s="192">
        <f>ROUND(F116*D116,2)</f>
        <v>3.42</v>
      </c>
      <c r="H116" s="188"/>
    </row>
    <row r="117" spans="1:9" s="178" customFormat="1" ht="15.75">
      <c r="A117" s="189">
        <v>3</v>
      </c>
      <c r="B117" s="190" t="s">
        <v>88</v>
      </c>
      <c r="C117" s="191"/>
      <c r="D117" s="191"/>
      <c r="E117" s="191"/>
      <c r="F117" s="194"/>
      <c r="G117" s="192">
        <f>SUM(G115:G116)</f>
        <v>12.47</v>
      </c>
      <c r="H117" s="188"/>
    </row>
    <row r="118" spans="1:9" s="178" customFormat="1" ht="15.75">
      <c r="A118" s="189">
        <v>4</v>
      </c>
      <c r="B118" s="190" t="str">
        <f>"Leis Sociais  ( "&amp;TEXT($H$7,"0,00%")&amp;")"</f>
        <v>Leis Sociais  ( 91,70%)</v>
      </c>
      <c r="C118" s="191"/>
      <c r="D118" s="191"/>
      <c r="E118" s="191"/>
      <c r="F118" s="194"/>
      <c r="G118" s="192">
        <f>$H$7*G117</f>
        <v>11.434990000000001</v>
      </c>
      <c r="H118" s="188"/>
    </row>
    <row r="119" spans="1:9" s="178" customFormat="1" ht="16.5" thickBot="1">
      <c r="A119" s="189">
        <v>5</v>
      </c>
      <c r="B119" s="250" t="s">
        <v>89</v>
      </c>
      <c r="C119" s="215"/>
      <c r="D119" s="215"/>
      <c r="E119" s="215"/>
      <c r="F119" s="251"/>
      <c r="G119" s="252">
        <f>G118+G117</f>
        <v>23.904990000000002</v>
      </c>
      <c r="H119" s="188"/>
    </row>
    <row r="120" spans="1:9" s="178" customFormat="1" ht="16.5" thickBot="1">
      <c r="A120" s="239"/>
      <c r="B120" s="181" t="s">
        <v>119</v>
      </c>
      <c r="C120" s="253"/>
      <c r="D120" s="253"/>
      <c r="E120" s="253"/>
      <c r="F120" s="254"/>
      <c r="G120" s="255"/>
      <c r="H120" s="188"/>
    </row>
    <row r="121" spans="1:9" s="178" customFormat="1" ht="15.75">
      <c r="A121" s="189">
        <v>8</v>
      </c>
      <c r="B121" s="190" t="s">
        <v>123</v>
      </c>
      <c r="C121" s="247" t="s">
        <v>121</v>
      </c>
      <c r="D121" s="193">
        <v>1</v>
      </c>
      <c r="E121" s="191">
        <v>0.78</v>
      </c>
      <c r="F121" s="191">
        <v>143.08000000000001</v>
      </c>
      <c r="G121" s="249">
        <f t="shared" ref="G121:G122" si="2">ROUND(D121*F121*E121,2)</f>
        <v>111.6</v>
      </c>
      <c r="H121" s="188"/>
    </row>
    <row r="122" spans="1:9" s="178" customFormat="1" ht="15.75">
      <c r="A122" s="189">
        <v>9</v>
      </c>
      <c r="B122" s="190" t="s">
        <v>123</v>
      </c>
      <c r="C122" s="191" t="s">
        <v>122</v>
      </c>
      <c r="D122" s="193">
        <v>1</v>
      </c>
      <c r="E122" s="193">
        <v>0.22</v>
      </c>
      <c r="F122" s="193">
        <v>16.329999999999998</v>
      </c>
      <c r="G122" s="249">
        <f t="shared" si="2"/>
        <v>3.59</v>
      </c>
      <c r="H122" s="188"/>
    </row>
    <row r="123" spans="1:9" s="178" customFormat="1" ht="15.75">
      <c r="A123" s="189">
        <v>14</v>
      </c>
      <c r="B123" s="190" t="s">
        <v>126</v>
      </c>
      <c r="C123" s="191" t="s">
        <v>43</v>
      </c>
      <c r="D123" s="193">
        <v>1</v>
      </c>
      <c r="E123" s="191">
        <v>0.15509999999999999</v>
      </c>
      <c r="F123" s="194">
        <f>G119</f>
        <v>23.904990000000002</v>
      </c>
      <c r="G123" s="249">
        <f t="shared" ref="G123" si="3">ROUND(D123*F123*E123,2)</f>
        <v>3.71</v>
      </c>
      <c r="H123" s="188"/>
    </row>
    <row r="124" spans="1:9" s="178" customFormat="1" ht="15.75">
      <c r="A124" s="209">
        <v>15</v>
      </c>
      <c r="B124" s="210" t="s">
        <v>127</v>
      </c>
      <c r="C124" s="191"/>
      <c r="D124" s="191"/>
      <c r="E124" s="191"/>
      <c r="F124" s="211"/>
      <c r="G124" s="198">
        <f>SUM(G121:G123)+G119</f>
        <v>142.80499</v>
      </c>
      <c r="H124" s="212"/>
    </row>
    <row r="125" spans="1:9" s="178" customFormat="1" ht="15.75">
      <c r="A125" s="209">
        <v>16</v>
      </c>
      <c r="B125" s="210" t="s">
        <v>128</v>
      </c>
      <c r="C125" s="257"/>
      <c r="D125" s="257"/>
      <c r="E125" s="257"/>
      <c r="F125" s="258"/>
      <c r="G125" s="259">
        <f>G124/73</f>
        <v>1.9562327397260275</v>
      </c>
      <c r="H125" s="212"/>
    </row>
    <row r="126" spans="1:9" s="178" customFormat="1" ht="16.5" thickBot="1">
      <c r="A126" s="213">
        <v>17</v>
      </c>
      <c r="B126" s="214" t="str">
        <f>"BDI  ( "&amp;TEXT($G$7,"0,00%")&amp;" )"</f>
        <v>BDI  ( 25,00% )</v>
      </c>
      <c r="C126" s="215"/>
      <c r="D126" s="215"/>
      <c r="E126" s="215"/>
      <c r="F126" s="216"/>
      <c r="G126" s="217">
        <f>$G$7*G125</f>
        <v>0.48905818493150688</v>
      </c>
      <c r="H126" s="188"/>
    </row>
    <row r="127" spans="1:9" s="178" customFormat="1" ht="16.5" thickBot="1">
      <c r="A127" s="218">
        <v>18</v>
      </c>
      <c r="B127" s="219" t="s">
        <v>110</v>
      </c>
      <c r="C127" s="220"/>
      <c r="D127" s="220"/>
      <c r="E127" s="220"/>
      <c r="F127" s="221"/>
      <c r="G127" s="222">
        <f>G126+G125</f>
        <v>2.4452909246575345</v>
      </c>
      <c r="H127" s="188"/>
    </row>
    <row r="129" spans="1:9" s="178" customFormat="1" ht="15.75">
      <c r="A129" s="328" t="s">
        <v>158</v>
      </c>
      <c r="B129" s="329"/>
      <c r="C129" s="329"/>
      <c r="D129" s="329"/>
      <c r="E129" s="329"/>
      <c r="F129" s="329"/>
      <c r="G129" s="330"/>
      <c r="H129" s="176"/>
      <c r="I129" s="177"/>
    </row>
    <row r="130" spans="1:9" s="178" customFormat="1" ht="16.5" thickBot="1">
      <c r="A130" s="225" t="s">
        <v>19</v>
      </c>
      <c r="B130" s="225" t="s">
        <v>20</v>
      </c>
      <c r="C130" s="225" t="s">
        <v>21</v>
      </c>
      <c r="D130" s="225" t="s">
        <v>22</v>
      </c>
      <c r="E130" s="225" t="s">
        <v>117</v>
      </c>
      <c r="F130" s="225" t="s">
        <v>23</v>
      </c>
      <c r="G130" s="225" t="s">
        <v>24</v>
      </c>
      <c r="H130" s="176"/>
      <c r="I130" s="177"/>
    </row>
    <row r="131" spans="1:9" s="178" customFormat="1" ht="16.5" thickBot="1">
      <c r="A131" s="243"/>
      <c r="B131" s="181" t="s">
        <v>82</v>
      </c>
      <c r="C131" s="244"/>
      <c r="D131" s="244"/>
      <c r="E131" s="244"/>
      <c r="F131" s="244"/>
      <c r="G131" s="245"/>
      <c r="H131" s="176"/>
      <c r="I131" s="177"/>
    </row>
    <row r="132" spans="1:9" s="178" customFormat="1" ht="15.75">
      <c r="A132" s="209">
        <v>1</v>
      </c>
      <c r="B132" s="246" t="s">
        <v>118</v>
      </c>
      <c r="C132" s="247" t="s">
        <v>28</v>
      </c>
      <c r="D132" s="193">
        <v>1</v>
      </c>
      <c r="E132" s="228"/>
      <c r="F132" s="248">
        <f>F115</f>
        <v>9.0500000000000007</v>
      </c>
      <c r="G132" s="249">
        <f>ROUND(F132*D132,2)</f>
        <v>9.0500000000000007</v>
      </c>
      <c r="H132" s="188"/>
    </row>
    <row r="133" spans="1:9" s="178" customFormat="1" ht="15.75">
      <c r="A133" s="189">
        <v>2</v>
      </c>
      <c r="B133" s="190" t="s">
        <v>87</v>
      </c>
      <c r="C133" s="191" t="s">
        <v>28</v>
      </c>
      <c r="D133" s="193">
        <v>1</v>
      </c>
      <c r="E133" s="193"/>
      <c r="F133" s="194">
        <f>F116</f>
        <v>3.42</v>
      </c>
      <c r="G133" s="192">
        <f>ROUND(F133*D133,2)</f>
        <v>3.42</v>
      </c>
      <c r="H133" s="188"/>
    </row>
    <row r="134" spans="1:9" s="178" customFormat="1" ht="15.75">
      <c r="A134" s="189">
        <v>3</v>
      </c>
      <c r="B134" s="190" t="s">
        <v>88</v>
      </c>
      <c r="C134" s="191"/>
      <c r="D134" s="191"/>
      <c r="E134" s="191"/>
      <c r="F134" s="194"/>
      <c r="G134" s="192">
        <f>SUM(G132:G133)</f>
        <v>12.47</v>
      </c>
      <c r="H134" s="188"/>
    </row>
    <row r="135" spans="1:9" s="178" customFormat="1" ht="15.75">
      <c r="A135" s="189">
        <v>4</v>
      </c>
      <c r="B135" s="190" t="str">
        <f>"Leis Sociais  ( "&amp;TEXT($H$7,"0,00%")&amp;")"</f>
        <v>Leis Sociais  ( 91,70%)</v>
      </c>
      <c r="C135" s="191"/>
      <c r="D135" s="191"/>
      <c r="E135" s="191"/>
      <c r="F135" s="194"/>
      <c r="G135" s="192">
        <f>$H$7*G134</f>
        <v>11.434990000000001</v>
      </c>
      <c r="H135" s="188"/>
    </row>
    <row r="136" spans="1:9" s="178" customFormat="1" ht="16.5" thickBot="1">
      <c r="A136" s="189">
        <v>5</v>
      </c>
      <c r="B136" s="250" t="s">
        <v>89</v>
      </c>
      <c r="C136" s="215"/>
      <c r="D136" s="215"/>
      <c r="E136" s="215"/>
      <c r="F136" s="251"/>
      <c r="G136" s="252">
        <f>G135+G134</f>
        <v>23.904990000000002</v>
      </c>
      <c r="H136" s="188"/>
    </row>
    <row r="137" spans="1:9" s="178" customFormat="1" ht="16.5" thickBot="1">
      <c r="A137" s="239"/>
      <c r="B137" s="181" t="s">
        <v>119</v>
      </c>
      <c r="C137" s="253"/>
      <c r="D137" s="253"/>
      <c r="E137" s="253"/>
      <c r="F137" s="254"/>
      <c r="G137" s="255"/>
      <c r="H137" s="188"/>
    </row>
    <row r="138" spans="1:9" s="178" customFormat="1" ht="15.75">
      <c r="A138" s="189">
        <v>8</v>
      </c>
      <c r="B138" s="190" t="s">
        <v>123</v>
      </c>
      <c r="C138" s="247" t="s">
        <v>121</v>
      </c>
      <c r="D138" s="193">
        <v>1</v>
      </c>
      <c r="E138" s="191">
        <v>1</v>
      </c>
      <c r="F138" s="191">
        <v>143.08000000000001</v>
      </c>
      <c r="G138" s="249">
        <f t="shared" ref="G138:G140" si="4">ROUND(D138*F138*E138,2)</f>
        <v>143.08000000000001</v>
      </c>
      <c r="H138" s="188"/>
    </row>
    <row r="139" spans="1:9" s="178" customFormat="1" ht="15.75">
      <c r="A139" s="189">
        <v>9</v>
      </c>
      <c r="B139" s="190" t="s">
        <v>123</v>
      </c>
      <c r="C139" s="191" t="s">
        <v>122</v>
      </c>
      <c r="D139" s="193">
        <v>1</v>
      </c>
      <c r="E139" s="193">
        <v>0</v>
      </c>
      <c r="F139" s="193">
        <v>16.329999999999998</v>
      </c>
      <c r="G139" s="249">
        <f t="shared" si="4"/>
        <v>0</v>
      </c>
      <c r="H139" s="188"/>
    </row>
    <row r="140" spans="1:9" s="178" customFormat="1" ht="15.75">
      <c r="A140" s="189">
        <v>14</v>
      </c>
      <c r="B140" s="190" t="s">
        <v>126</v>
      </c>
      <c r="C140" s="191" t="s">
        <v>43</v>
      </c>
      <c r="D140" s="193">
        <v>1</v>
      </c>
      <c r="E140" s="191">
        <v>0.15509999999999999</v>
      </c>
      <c r="F140" s="194">
        <f>G136</f>
        <v>23.904990000000002</v>
      </c>
      <c r="G140" s="249">
        <f t="shared" si="4"/>
        <v>3.71</v>
      </c>
      <c r="H140" s="188"/>
    </row>
    <row r="141" spans="1:9" s="178" customFormat="1" ht="15.75">
      <c r="A141" s="209">
        <v>15</v>
      </c>
      <c r="B141" s="210" t="s">
        <v>127</v>
      </c>
      <c r="C141" s="191"/>
      <c r="D141" s="191"/>
      <c r="E141" s="191"/>
      <c r="F141" s="211"/>
      <c r="G141" s="198">
        <f>SUM(G138:G140)+G136</f>
        <v>170.69499000000002</v>
      </c>
      <c r="H141" s="212"/>
    </row>
    <row r="142" spans="1:9" s="178" customFormat="1" ht="15.75">
      <c r="A142" s="209">
        <v>16</v>
      </c>
      <c r="B142" s="210" t="s">
        <v>128</v>
      </c>
      <c r="C142" s="257"/>
      <c r="D142" s="257"/>
      <c r="E142" s="257"/>
      <c r="F142" s="258"/>
      <c r="G142" s="259">
        <f>G141/870</f>
        <v>0.1962011379310345</v>
      </c>
      <c r="H142" s="212"/>
    </row>
    <row r="143" spans="1:9" s="178" customFormat="1" ht="16.5" thickBot="1">
      <c r="A143" s="213">
        <v>17</v>
      </c>
      <c r="B143" s="214" t="str">
        <f>"BDI  ( "&amp;TEXT($G$7,"0,00%")&amp;" )"</f>
        <v>BDI  ( 25,00% )</v>
      </c>
      <c r="C143" s="215"/>
      <c r="D143" s="215"/>
      <c r="E143" s="215"/>
      <c r="F143" s="216"/>
      <c r="G143" s="217">
        <f>$G$7*G142</f>
        <v>4.9050284482758624E-2</v>
      </c>
      <c r="H143" s="188"/>
    </row>
    <row r="144" spans="1:9" s="178" customFormat="1" ht="16.5" thickBot="1">
      <c r="A144" s="218">
        <v>18</v>
      </c>
      <c r="B144" s="219" t="s">
        <v>110</v>
      </c>
      <c r="C144" s="220"/>
      <c r="D144" s="220"/>
      <c r="E144" s="220"/>
      <c r="F144" s="221"/>
      <c r="G144" s="222">
        <f>G143+G142</f>
        <v>0.24525142241379311</v>
      </c>
      <c r="H144" s="188"/>
    </row>
    <row r="146" spans="1:9" s="178" customFormat="1" ht="15.75">
      <c r="A146" s="328" t="s">
        <v>116</v>
      </c>
      <c r="B146" s="329"/>
      <c r="C146" s="329"/>
      <c r="D146" s="329"/>
      <c r="E146" s="329"/>
      <c r="F146" s="329"/>
      <c r="G146" s="330"/>
      <c r="H146" s="176"/>
      <c r="I146" s="177"/>
    </row>
    <row r="147" spans="1:9" s="178" customFormat="1" ht="16.5" thickBot="1">
      <c r="A147" s="225" t="s">
        <v>19</v>
      </c>
      <c r="B147" s="225" t="s">
        <v>20</v>
      </c>
      <c r="C147" s="225" t="s">
        <v>21</v>
      </c>
      <c r="D147" s="225" t="s">
        <v>22</v>
      </c>
      <c r="E147" s="225" t="s">
        <v>117</v>
      </c>
      <c r="F147" s="225" t="s">
        <v>23</v>
      </c>
      <c r="G147" s="225" t="s">
        <v>24</v>
      </c>
      <c r="H147" s="176"/>
      <c r="I147" s="177"/>
    </row>
    <row r="148" spans="1:9" s="178" customFormat="1" ht="16.5" thickBot="1">
      <c r="A148" s="243"/>
      <c r="B148" s="181" t="s">
        <v>82</v>
      </c>
      <c r="C148" s="244"/>
      <c r="D148" s="244"/>
      <c r="E148" s="244"/>
      <c r="F148" s="244"/>
      <c r="G148" s="245"/>
      <c r="H148" s="176"/>
      <c r="I148" s="177"/>
    </row>
    <row r="149" spans="1:9" s="178" customFormat="1" ht="15.75">
      <c r="A149" s="209">
        <v>1</v>
      </c>
      <c r="B149" s="246" t="s">
        <v>118</v>
      </c>
      <c r="C149" s="247" t="s">
        <v>28</v>
      </c>
      <c r="D149" s="193">
        <v>1</v>
      </c>
      <c r="E149" s="228"/>
      <c r="F149" s="248">
        <f>F115</f>
        <v>9.0500000000000007</v>
      </c>
      <c r="G149" s="249">
        <f>ROUND(F149*D149,2)</f>
        <v>9.0500000000000007</v>
      </c>
      <c r="H149" s="188"/>
    </row>
    <row r="150" spans="1:9" s="178" customFormat="1" ht="15.75">
      <c r="A150" s="189">
        <v>2</v>
      </c>
      <c r="B150" s="190" t="s">
        <v>87</v>
      </c>
      <c r="C150" s="191" t="s">
        <v>28</v>
      </c>
      <c r="D150" s="193">
        <v>1</v>
      </c>
      <c r="E150" s="193"/>
      <c r="F150" s="194">
        <f>F116</f>
        <v>3.42</v>
      </c>
      <c r="G150" s="192">
        <f>ROUND(F150*D150,2)</f>
        <v>3.42</v>
      </c>
      <c r="H150" s="188"/>
    </row>
    <row r="151" spans="1:9" s="178" customFormat="1" ht="15.75">
      <c r="A151" s="189">
        <v>3</v>
      </c>
      <c r="B151" s="190" t="s">
        <v>88</v>
      </c>
      <c r="C151" s="191"/>
      <c r="D151" s="191"/>
      <c r="E151" s="191"/>
      <c r="F151" s="194"/>
      <c r="G151" s="192">
        <f>SUM(G149:G150)</f>
        <v>12.47</v>
      </c>
      <c r="H151" s="188"/>
    </row>
    <row r="152" spans="1:9" s="178" customFormat="1" ht="15.75">
      <c r="A152" s="189">
        <v>4</v>
      </c>
      <c r="B152" s="190" t="str">
        <f>"Leis Sociais  ( "&amp;TEXT($H$7,"0,00%")&amp;")"</f>
        <v>Leis Sociais  ( 91,70%)</v>
      </c>
      <c r="C152" s="191"/>
      <c r="D152" s="191"/>
      <c r="E152" s="191"/>
      <c r="F152" s="194"/>
      <c r="G152" s="192">
        <f>$H$7*G151</f>
        <v>11.434990000000001</v>
      </c>
      <c r="H152" s="188"/>
    </row>
    <row r="153" spans="1:9" s="178" customFormat="1" ht="16.5" thickBot="1">
      <c r="A153" s="189">
        <v>5</v>
      </c>
      <c r="B153" s="250" t="s">
        <v>89</v>
      </c>
      <c r="C153" s="215"/>
      <c r="D153" s="215"/>
      <c r="E153" s="215"/>
      <c r="F153" s="251"/>
      <c r="G153" s="252">
        <f>G152+G151</f>
        <v>23.904990000000002</v>
      </c>
      <c r="H153" s="188"/>
    </row>
    <row r="154" spans="1:9" s="178" customFormat="1" ht="16.5" thickBot="1">
      <c r="A154" s="239"/>
      <c r="B154" s="181" t="s">
        <v>119</v>
      </c>
      <c r="C154" s="253"/>
      <c r="D154" s="253"/>
      <c r="E154" s="253"/>
      <c r="F154" s="254"/>
      <c r="G154" s="255"/>
      <c r="H154" s="188"/>
    </row>
    <row r="155" spans="1:9" s="178" customFormat="1" ht="15.75">
      <c r="A155" s="209">
        <v>6</v>
      </c>
      <c r="B155" s="256" t="s">
        <v>120</v>
      </c>
      <c r="C155" s="247" t="s">
        <v>121</v>
      </c>
      <c r="D155" s="193">
        <v>1</v>
      </c>
      <c r="E155" s="247">
        <v>0.91</v>
      </c>
      <c r="F155" s="247">
        <v>116.21</v>
      </c>
      <c r="G155" s="249">
        <f>ROUND(D155*F155*E155,2)</f>
        <v>105.75</v>
      </c>
      <c r="H155" s="188"/>
    </row>
    <row r="156" spans="1:9" s="178" customFormat="1" ht="15.75">
      <c r="A156" s="189">
        <v>7</v>
      </c>
      <c r="B156" s="190" t="s">
        <v>120</v>
      </c>
      <c r="C156" s="191" t="s">
        <v>122</v>
      </c>
      <c r="D156" s="193">
        <v>1</v>
      </c>
      <c r="E156" s="191">
        <v>0.09</v>
      </c>
      <c r="F156" s="191">
        <v>16.329999999999998</v>
      </c>
      <c r="G156" s="249">
        <f t="shared" ref="G156:G163" si="5">ROUND(D156*F156*E156,2)</f>
        <v>1.47</v>
      </c>
      <c r="H156" s="188"/>
    </row>
    <row r="157" spans="1:9" s="178" customFormat="1" ht="15.75">
      <c r="A157" s="189">
        <v>8</v>
      </c>
      <c r="B157" s="190" t="s">
        <v>123</v>
      </c>
      <c r="C157" s="247" t="s">
        <v>121</v>
      </c>
      <c r="D157" s="193">
        <v>1</v>
      </c>
      <c r="E157" s="191">
        <v>0.78</v>
      </c>
      <c r="F157" s="191">
        <v>143.08000000000001</v>
      </c>
      <c r="G157" s="249">
        <f t="shared" si="5"/>
        <v>111.6</v>
      </c>
      <c r="H157" s="188"/>
    </row>
    <row r="158" spans="1:9" s="178" customFormat="1" ht="15.75">
      <c r="A158" s="189">
        <v>9</v>
      </c>
      <c r="B158" s="190" t="s">
        <v>123</v>
      </c>
      <c r="C158" s="191" t="s">
        <v>122</v>
      </c>
      <c r="D158" s="193">
        <v>1</v>
      </c>
      <c r="E158" s="193">
        <v>0.22</v>
      </c>
      <c r="F158" s="193">
        <v>16.329999999999998</v>
      </c>
      <c r="G158" s="249">
        <f t="shared" si="5"/>
        <v>3.59</v>
      </c>
      <c r="H158" s="188"/>
    </row>
    <row r="159" spans="1:9" s="178" customFormat="1" ht="18.75" customHeight="1">
      <c r="A159" s="189">
        <v>10</v>
      </c>
      <c r="B159" s="190" t="s">
        <v>124</v>
      </c>
      <c r="C159" s="247" t="s">
        <v>121</v>
      </c>
      <c r="D159" s="193">
        <v>1</v>
      </c>
      <c r="E159" s="191">
        <v>1</v>
      </c>
      <c r="F159" s="191">
        <v>124.57</v>
      </c>
      <c r="G159" s="249">
        <f t="shared" si="5"/>
        <v>124.57</v>
      </c>
      <c r="H159" s="188"/>
    </row>
    <row r="160" spans="1:9" s="178" customFormat="1" ht="23.25" customHeight="1">
      <c r="A160" s="189">
        <v>11</v>
      </c>
      <c r="B160" s="190" t="s">
        <v>124</v>
      </c>
      <c r="C160" s="191" t="s">
        <v>122</v>
      </c>
      <c r="D160" s="193">
        <v>1</v>
      </c>
      <c r="E160" s="191">
        <v>0</v>
      </c>
      <c r="F160" s="191">
        <v>12.23</v>
      </c>
      <c r="G160" s="249">
        <f t="shared" si="5"/>
        <v>0</v>
      </c>
      <c r="H160" s="188"/>
    </row>
    <row r="161" spans="1:9" s="178" customFormat="1" ht="15.75">
      <c r="A161" s="189">
        <v>12</v>
      </c>
      <c r="B161" s="190" t="s">
        <v>125</v>
      </c>
      <c r="C161" s="247" t="s">
        <v>121</v>
      </c>
      <c r="D161" s="193">
        <v>10</v>
      </c>
      <c r="E161" s="191">
        <v>0.97</v>
      </c>
      <c r="F161" s="191">
        <v>62.15</v>
      </c>
      <c r="G161" s="249">
        <f>ROUND(D161*F161*E161,2)</f>
        <v>602.86</v>
      </c>
      <c r="H161" s="188"/>
    </row>
    <row r="162" spans="1:9" s="178" customFormat="1" ht="15.75">
      <c r="A162" s="189">
        <v>13</v>
      </c>
      <c r="B162" s="190" t="s">
        <v>125</v>
      </c>
      <c r="C162" s="191" t="s">
        <v>122</v>
      </c>
      <c r="D162" s="193">
        <v>10</v>
      </c>
      <c r="E162" s="191">
        <v>0.03</v>
      </c>
      <c r="F162" s="191">
        <v>12.23</v>
      </c>
      <c r="G162" s="249">
        <f t="shared" si="5"/>
        <v>3.67</v>
      </c>
      <c r="H162" s="188"/>
    </row>
    <row r="163" spans="1:9" s="178" customFormat="1" ht="15.75">
      <c r="A163" s="189">
        <v>14</v>
      </c>
      <c r="B163" s="190" t="s">
        <v>126</v>
      </c>
      <c r="C163" s="191" t="s">
        <v>43</v>
      </c>
      <c r="D163" s="193">
        <v>1</v>
      </c>
      <c r="E163" s="191">
        <v>0.15509999999999999</v>
      </c>
      <c r="F163" s="194">
        <f>G153</f>
        <v>23.904990000000002</v>
      </c>
      <c r="G163" s="249">
        <f t="shared" si="5"/>
        <v>3.71</v>
      </c>
      <c r="H163" s="188"/>
    </row>
    <row r="164" spans="1:9" s="178" customFormat="1" ht="15.75">
      <c r="A164" s="209">
        <v>15</v>
      </c>
      <c r="B164" s="210" t="s">
        <v>127</v>
      </c>
      <c r="C164" s="191"/>
      <c r="D164" s="191"/>
      <c r="E164" s="191"/>
      <c r="F164" s="211"/>
      <c r="G164" s="198">
        <f>SUM(G155:G163)+G153</f>
        <v>981.12499000000003</v>
      </c>
      <c r="H164" s="212"/>
    </row>
    <row r="165" spans="1:9" s="178" customFormat="1" ht="15.75">
      <c r="A165" s="209">
        <v>16</v>
      </c>
      <c r="B165" s="210" t="s">
        <v>128</v>
      </c>
      <c r="C165" s="257"/>
      <c r="D165" s="257"/>
      <c r="E165" s="257"/>
      <c r="F165" s="258"/>
      <c r="G165" s="259">
        <f>G164/214</f>
        <v>4.5846962149532713</v>
      </c>
      <c r="H165" s="212"/>
    </row>
    <row r="166" spans="1:9" s="178" customFormat="1" ht="16.5" thickBot="1">
      <c r="A166" s="213">
        <v>17</v>
      </c>
      <c r="B166" s="214" t="str">
        <f>"BDI  ( "&amp;TEXT($G$7,"0,00%")&amp;" )"</f>
        <v>BDI  ( 25,00% )</v>
      </c>
      <c r="C166" s="215"/>
      <c r="D166" s="215"/>
      <c r="E166" s="215"/>
      <c r="F166" s="216"/>
      <c r="G166" s="217">
        <f>$G$7*G165</f>
        <v>1.1461740537383178</v>
      </c>
      <c r="H166" s="188"/>
    </row>
    <row r="167" spans="1:9" s="178" customFormat="1" ht="16.5" thickBot="1">
      <c r="A167" s="218">
        <v>18</v>
      </c>
      <c r="B167" s="219" t="s">
        <v>110</v>
      </c>
      <c r="C167" s="220"/>
      <c r="D167" s="220"/>
      <c r="E167" s="220"/>
      <c r="F167" s="221"/>
      <c r="G167" s="222">
        <f>G166+G165</f>
        <v>5.7308702686915893</v>
      </c>
      <c r="H167" s="188"/>
    </row>
    <row r="169" spans="1:9" s="178" customFormat="1" ht="15.75">
      <c r="A169" s="328" t="s">
        <v>156</v>
      </c>
      <c r="B169" s="329"/>
      <c r="C169" s="329"/>
      <c r="D169" s="329"/>
      <c r="E169" s="329"/>
      <c r="F169" s="329"/>
      <c r="G169" s="330"/>
      <c r="H169" s="176"/>
      <c r="I169" s="177"/>
    </row>
    <row r="170" spans="1:9" s="178" customFormat="1" ht="16.5" thickBot="1">
      <c r="A170" s="225" t="s">
        <v>19</v>
      </c>
      <c r="B170" s="225" t="s">
        <v>20</v>
      </c>
      <c r="C170" s="225" t="s">
        <v>21</v>
      </c>
      <c r="D170" s="225" t="s">
        <v>22</v>
      </c>
      <c r="E170" s="225" t="s">
        <v>117</v>
      </c>
      <c r="F170" s="225" t="s">
        <v>23</v>
      </c>
      <c r="G170" s="225" t="s">
        <v>24</v>
      </c>
      <c r="H170" s="176"/>
      <c r="I170" s="177"/>
    </row>
    <row r="171" spans="1:9" s="178" customFormat="1" ht="16.5" thickBot="1">
      <c r="A171" s="243"/>
      <c r="B171" s="181" t="s">
        <v>82</v>
      </c>
      <c r="C171" s="244"/>
      <c r="D171" s="244"/>
      <c r="E171" s="244"/>
      <c r="F171" s="244"/>
      <c r="G171" s="245"/>
      <c r="H171" s="176"/>
      <c r="I171" s="177"/>
    </row>
    <row r="172" spans="1:9" s="178" customFormat="1" ht="15.75">
      <c r="A172" s="209">
        <v>1</v>
      </c>
      <c r="B172" s="246" t="s">
        <v>118</v>
      </c>
      <c r="C172" s="247" t="s">
        <v>28</v>
      </c>
      <c r="D172" s="228">
        <v>1</v>
      </c>
      <c r="E172" s="247"/>
      <c r="F172" s="248">
        <f>F149</f>
        <v>9.0500000000000007</v>
      </c>
      <c r="G172" s="249">
        <f>ROUND(F172*D172,2)</f>
        <v>9.0500000000000007</v>
      </c>
      <c r="H172" s="188"/>
    </row>
    <row r="173" spans="1:9" s="178" customFormat="1" ht="15.75">
      <c r="A173" s="189">
        <v>2</v>
      </c>
      <c r="B173" s="190" t="s">
        <v>87</v>
      </c>
      <c r="C173" s="191" t="s">
        <v>28</v>
      </c>
      <c r="D173" s="193">
        <v>2</v>
      </c>
      <c r="E173" s="191"/>
      <c r="F173" s="194">
        <f>F150</f>
        <v>3.42</v>
      </c>
      <c r="G173" s="192">
        <f>ROUND(F173*D173,2)</f>
        <v>6.84</v>
      </c>
      <c r="H173" s="188"/>
    </row>
    <row r="174" spans="1:9" s="178" customFormat="1" ht="15.75">
      <c r="A174" s="189">
        <v>3</v>
      </c>
      <c r="B174" s="190" t="s">
        <v>88</v>
      </c>
      <c r="C174" s="191"/>
      <c r="D174" s="191"/>
      <c r="E174" s="191"/>
      <c r="F174" s="194"/>
      <c r="G174" s="192">
        <f>SUM(G172:G173)</f>
        <v>15.89</v>
      </c>
      <c r="H174" s="188"/>
    </row>
    <row r="175" spans="1:9" s="178" customFormat="1" ht="15.75">
      <c r="A175" s="189">
        <v>4</v>
      </c>
      <c r="B175" s="190" t="str">
        <f>"Leis Sociais  ( "&amp;TEXT($H$7,"0,00%")&amp;")"</f>
        <v>Leis Sociais  ( 91,70%)</v>
      </c>
      <c r="C175" s="191"/>
      <c r="D175" s="191"/>
      <c r="E175" s="191"/>
      <c r="F175" s="194"/>
      <c r="G175" s="192">
        <f>$H$7*G174</f>
        <v>14.571130000000002</v>
      </c>
      <c r="H175" s="188"/>
    </row>
    <row r="176" spans="1:9" s="178" customFormat="1" ht="16.5" thickBot="1">
      <c r="A176" s="189">
        <v>5</v>
      </c>
      <c r="B176" s="250" t="s">
        <v>89</v>
      </c>
      <c r="C176" s="215"/>
      <c r="D176" s="215"/>
      <c r="E176" s="215"/>
      <c r="F176" s="251"/>
      <c r="G176" s="252">
        <f>G175+G174</f>
        <v>30.461130000000004</v>
      </c>
      <c r="H176" s="188"/>
    </row>
    <row r="177" spans="1:8" s="178" customFormat="1" ht="16.5" thickBot="1">
      <c r="A177" s="239"/>
      <c r="B177" s="181" t="s">
        <v>119</v>
      </c>
      <c r="C177" s="253"/>
      <c r="D177" s="253"/>
      <c r="E177" s="253"/>
      <c r="F177" s="254"/>
      <c r="G177" s="255"/>
      <c r="H177" s="188"/>
    </row>
    <row r="178" spans="1:8" s="178" customFormat="1" ht="15.75">
      <c r="A178" s="209">
        <v>6</v>
      </c>
      <c r="B178" s="206" t="s">
        <v>123</v>
      </c>
      <c r="C178" s="247" t="s">
        <v>121</v>
      </c>
      <c r="D178" s="193">
        <v>1</v>
      </c>
      <c r="E178" s="247">
        <v>0.35</v>
      </c>
      <c r="F178" s="247">
        <v>143.08000000000001</v>
      </c>
      <c r="G178" s="249">
        <f t="shared" ref="G178:G187" si="6">ROUND(D178*F178*E178,2)</f>
        <v>50.08</v>
      </c>
      <c r="H178" s="188"/>
    </row>
    <row r="179" spans="1:8" s="178" customFormat="1" ht="15.75">
      <c r="A179" s="209">
        <v>7</v>
      </c>
      <c r="B179" s="246" t="s">
        <v>123</v>
      </c>
      <c r="C179" s="191" t="s">
        <v>122</v>
      </c>
      <c r="D179" s="193">
        <v>1</v>
      </c>
      <c r="E179" s="191">
        <v>0.65</v>
      </c>
      <c r="F179" s="191">
        <v>16.329999999999998</v>
      </c>
      <c r="G179" s="249">
        <f t="shared" si="6"/>
        <v>10.61</v>
      </c>
      <c r="H179" s="188"/>
    </row>
    <row r="180" spans="1:8" s="178" customFormat="1" ht="15.75">
      <c r="A180" s="209">
        <v>8</v>
      </c>
      <c r="B180" s="190" t="s">
        <v>129</v>
      </c>
      <c r="C180" s="247" t="s">
        <v>121</v>
      </c>
      <c r="D180" s="193">
        <v>1</v>
      </c>
      <c r="E180" s="191">
        <v>0.52</v>
      </c>
      <c r="F180" s="191">
        <v>64.290000000000006</v>
      </c>
      <c r="G180" s="249">
        <f t="shared" si="6"/>
        <v>33.43</v>
      </c>
      <c r="H180" s="188"/>
    </row>
    <row r="181" spans="1:8" s="178" customFormat="1" ht="15.75">
      <c r="A181" s="209">
        <v>9</v>
      </c>
      <c r="B181" s="190" t="s">
        <v>129</v>
      </c>
      <c r="C181" s="191" t="s">
        <v>122</v>
      </c>
      <c r="D181" s="193">
        <v>1</v>
      </c>
      <c r="E181" s="193">
        <v>0.48</v>
      </c>
      <c r="F181" s="193">
        <v>11.04</v>
      </c>
      <c r="G181" s="249">
        <f t="shared" si="6"/>
        <v>5.3</v>
      </c>
      <c r="H181" s="188"/>
    </row>
    <row r="182" spans="1:8" s="178" customFormat="1" ht="25.5" customHeight="1">
      <c r="A182" s="209">
        <v>10</v>
      </c>
      <c r="B182" s="190" t="s">
        <v>130</v>
      </c>
      <c r="C182" s="247" t="s">
        <v>121</v>
      </c>
      <c r="D182" s="193">
        <v>1</v>
      </c>
      <c r="E182" s="193">
        <v>1</v>
      </c>
      <c r="F182" s="193">
        <v>314</v>
      </c>
      <c r="G182" s="249">
        <f t="shared" si="6"/>
        <v>314</v>
      </c>
      <c r="H182" s="188"/>
    </row>
    <row r="183" spans="1:8" s="178" customFormat="1" ht="25.5" customHeight="1">
      <c r="A183" s="209">
        <v>11</v>
      </c>
      <c r="B183" s="190" t="s">
        <v>130</v>
      </c>
      <c r="C183" s="191" t="s">
        <v>122</v>
      </c>
      <c r="D183" s="193">
        <v>1</v>
      </c>
      <c r="E183" s="193">
        <v>0</v>
      </c>
      <c r="F183" s="191">
        <v>11.04</v>
      </c>
      <c r="G183" s="249">
        <f t="shared" si="6"/>
        <v>0</v>
      </c>
      <c r="H183" s="188"/>
    </row>
    <row r="184" spans="1:8" s="178" customFormat="1" ht="15.75">
      <c r="A184" s="209">
        <v>12</v>
      </c>
      <c r="B184" s="190" t="s">
        <v>131</v>
      </c>
      <c r="C184" s="247" t="s">
        <v>121</v>
      </c>
      <c r="D184" s="193">
        <v>1</v>
      </c>
      <c r="E184" s="191">
        <v>0.52</v>
      </c>
      <c r="F184" s="191">
        <v>15.68</v>
      </c>
      <c r="G184" s="249">
        <f t="shared" si="6"/>
        <v>8.15</v>
      </c>
      <c r="H184" s="188"/>
    </row>
    <row r="185" spans="1:8" s="178" customFormat="1" ht="15.75">
      <c r="A185" s="209">
        <v>13</v>
      </c>
      <c r="B185" s="190" t="s">
        <v>131</v>
      </c>
      <c r="C185" s="191" t="s">
        <v>122</v>
      </c>
      <c r="D185" s="193">
        <v>1</v>
      </c>
      <c r="E185" s="191">
        <v>0.48</v>
      </c>
      <c r="F185" s="191">
        <v>11.04</v>
      </c>
      <c r="G185" s="249">
        <f t="shared" si="6"/>
        <v>5.3</v>
      </c>
      <c r="H185" s="188"/>
    </row>
    <row r="186" spans="1:8" s="178" customFormat="1" ht="15.75">
      <c r="A186" s="209">
        <v>14</v>
      </c>
      <c r="B186" s="190" t="s">
        <v>132</v>
      </c>
      <c r="C186" s="247" t="s">
        <v>121</v>
      </c>
      <c r="D186" s="193">
        <v>2</v>
      </c>
      <c r="E186" s="191">
        <v>0.54</v>
      </c>
      <c r="F186" s="191">
        <v>122.95</v>
      </c>
      <c r="G186" s="249">
        <f t="shared" si="6"/>
        <v>132.79</v>
      </c>
      <c r="H186" s="188"/>
    </row>
    <row r="187" spans="1:8" s="178" customFormat="1" ht="15.75">
      <c r="A187" s="209">
        <v>15</v>
      </c>
      <c r="B187" s="190" t="s">
        <v>132</v>
      </c>
      <c r="C187" s="191" t="s">
        <v>122</v>
      </c>
      <c r="D187" s="193">
        <v>2</v>
      </c>
      <c r="E187" s="191">
        <v>0.46</v>
      </c>
      <c r="F187" s="191">
        <v>12.23</v>
      </c>
      <c r="G187" s="249">
        <f t="shared" si="6"/>
        <v>11.25</v>
      </c>
      <c r="H187" s="188"/>
    </row>
    <row r="188" spans="1:8" s="178" customFormat="1" ht="15.75">
      <c r="A188" s="209">
        <v>16</v>
      </c>
      <c r="B188" s="190" t="s">
        <v>126</v>
      </c>
      <c r="C188" s="191" t="s">
        <v>43</v>
      </c>
      <c r="D188" s="193">
        <v>1</v>
      </c>
      <c r="E188" s="191">
        <v>0.15509999999999999</v>
      </c>
      <c r="F188" s="194">
        <f>G176</f>
        <v>30.461130000000004</v>
      </c>
      <c r="G188" s="249">
        <f>ROUND(D188*F188*E188,2)</f>
        <v>4.72</v>
      </c>
      <c r="H188" s="188"/>
    </row>
    <row r="189" spans="1:8" s="178" customFormat="1" ht="15.75">
      <c r="A189" s="209">
        <v>17</v>
      </c>
      <c r="B189" s="210" t="s">
        <v>127</v>
      </c>
      <c r="C189" s="191"/>
      <c r="D189" s="191"/>
      <c r="E189" s="347"/>
      <c r="F189" s="348"/>
      <c r="G189" s="198">
        <f>SUM(G178:G188)+G176</f>
        <v>606.09113000000002</v>
      </c>
      <c r="H189" s="212"/>
    </row>
    <row r="190" spans="1:8" s="178" customFormat="1" ht="15.75">
      <c r="A190" s="209">
        <v>18</v>
      </c>
      <c r="B190" s="210" t="s">
        <v>128</v>
      </c>
      <c r="C190" s="257"/>
      <c r="D190" s="257"/>
      <c r="E190" s="347"/>
      <c r="F190" s="348"/>
      <c r="G190" s="259">
        <f>G189/152</f>
        <v>3.9874416447368422</v>
      </c>
      <c r="H190" s="212"/>
    </row>
    <row r="191" spans="1:8" s="178" customFormat="1" ht="16.5" thickBot="1">
      <c r="A191" s="199">
        <v>19</v>
      </c>
      <c r="B191" s="214" t="str">
        <f>"BDI  ( "&amp;TEXT($G$7,"0,00%")&amp;" )"</f>
        <v>BDI  ( 25,00% )</v>
      </c>
      <c r="C191" s="215"/>
      <c r="D191" s="215"/>
      <c r="E191" s="349"/>
      <c r="F191" s="350"/>
      <c r="G191" s="217">
        <f>$G$7*G190</f>
        <v>0.99686041118421054</v>
      </c>
      <c r="H191" s="188"/>
    </row>
    <row r="192" spans="1:8" s="178" customFormat="1" ht="16.5" thickBot="1">
      <c r="A192" s="239">
        <v>20</v>
      </c>
      <c r="B192" s="219" t="s">
        <v>110</v>
      </c>
      <c r="C192" s="220"/>
      <c r="D192" s="220"/>
      <c r="E192" s="220"/>
      <c r="F192" s="221"/>
      <c r="G192" s="222">
        <f>G191+G190</f>
        <v>4.9843020559210522</v>
      </c>
      <c r="H192" s="188"/>
    </row>
    <row r="194" spans="1:16" s="178" customFormat="1" ht="15.75">
      <c r="A194" s="328" t="s">
        <v>157</v>
      </c>
      <c r="B194" s="329"/>
      <c r="C194" s="329"/>
      <c r="D194" s="329"/>
      <c r="E194" s="329"/>
      <c r="F194" s="329"/>
      <c r="G194" s="330"/>
      <c r="H194" s="188"/>
    </row>
    <row r="195" spans="1:16" s="178" customFormat="1" ht="16.5" thickBot="1">
      <c r="A195" s="223" t="s">
        <v>19</v>
      </c>
      <c r="B195" s="179" t="s">
        <v>20</v>
      </c>
      <c r="C195" s="179" t="s">
        <v>21</v>
      </c>
      <c r="D195" s="179" t="s">
        <v>22</v>
      </c>
      <c r="E195" s="333" t="s">
        <v>23</v>
      </c>
      <c r="F195" s="334"/>
      <c r="G195" s="179" t="s">
        <v>24</v>
      </c>
      <c r="H195" s="188"/>
      <c r="I195" s="177"/>
    </row>
    <row r="196" spans="1:16" s="178" customFormat="1" ht="16.5" thickBot="1">
      <c r="A196" s="180"/>
      <c r="B196" s="181" t="s">
        <v>82</v>
      </c>
      <c r="C196" s="182"/>
      <c r="D196" s="182"/>
      <c r="E196" s="182"/>
      <c r="F196" s="182"/>
      <c r="G196" s="183"/>
      <c r="H196" s="188"/>
      <c r="I196" s="177"/>
    </row>
    <row r="197" spans="1:16" s="178" customFormat="1" ht="15.75">
      <c r="A197" s="189">
        <v>1</v>
      </c>
      <c r="B197" s="190" t="s">
        <v>85</v>
      </c>
      <c r="C197" s="186" t="s">
        <v>28</v>
      </c>
      <c r="D197" s="224">
        <v>1</v>
      </c>
      <c r="E197" s="335">
        <f>E95</f>
        <v>5.67</v>
      </c>
      <c r="F197" s="336"/>
      <c r="G197" s="187">
        <f>ROUND(E197*D197,2)</f>
        <v>5.67</v>
      </c>
      <c r="H197" s="176"/>
    </row>
    <row r="198" spans="1:16" s="178" customFormat="1" ht="15.75">
      <c r="A198" s="189">
        <v>3</v>
      </c>
      <c r="B198" s="190" t="s">
        <v>87</v>
      </c>
      <c r="C198" s="191" t="s">
        <v>28</v>
      </c>
      <c r="D198" s="193">
        <v>2</v>
      </c>
      <c r="E198" s="331">
        <f>F173</f>
        <v>3.42</v>
      </c>
      <c r="F198" s="332"/>
      <c r="G198" s="192">
        <f>ROUND(E198*D198,2)</f>
        <v>6.84</v>
      </c>
      <c r="H198" s="188"/>
    </row>
    <row r="199" spans="1:16" s="178" customFormat="1" ht="15.75">
      <c r="A199" s="189">
        <v>4</v>
      </c>
      <c r="B199" s="190" t="s">
        <v>88</v>
      </c>
      <c r="C199" s="191"/>
      <c r="D199" s="191"/>
      <c r="E199" s="191"/>
      <c r="F199" s="194"/>
      <c r="G199" s="198">
        <f>SUM(G197:G198)</f>
        <v>12.51</v>
      </c>
      <c r="H199" s="188"/>
    </row>
    <row r="200" spans="1:16" s="178" customFormat="1" ht="15.75">
      <c r="A200" s="189">
        <v>5</v>
      </c>
      <c r="B200" s="190" t="str">
        <f>"Leis Sociais  ( "&amp;TEXT($H$7,"0,00%")&amp;")"</f>
        <v>Leis Sociais  ( 91,70%)</v>
      </c>
      <c r="C200" s="191"/>
      <c r="D200" s="191"/>
      <c r="E200" s="191"/>
      <c r="F200" s="194"/>
      <c r="G200" s="192">
        <f>$H$7*G199</f>
        <v>11.47167</v>
      </c>
      <c r="H200" s="188"/>
    </row>
    <row r="201" spans="1:16" s="178" customFormat="1" ht="15.75">
      <c r="A201" s="189">
        <v>6</v>
      </c>
      <c r="B201" s="197" t="s">
        <v>89</v>
      </c>
      <c r="C201" s="191"/>
      <c r="D201" s="191"/>
      <c r="E201" s="191"/>
      <c r="F201" s="194"/>
      <c r="G201" s="198">
        <f>G200+G199</f>
        <v>23.981670000000001</v>
      </c>
      <c r="H201" s="188"/>
    </row>
    <row r="202" spans="1:16" s="178" customFormat="1"/>
    <row r="203" spans="1:16" s="178" customFormat="1" ht="16.5" thickBot="1">
      <c r="A203" s="225" t="s">
        <v>19</v>
      </c>
      <c r="B203" s="225" t="s">
        <v>20</v>
      </c>
      <c r="C203" s="225" t="s">
        <v>21</v>
      </c>
      <c r="D203" s="225" t="s">
        <v>22</v>
      </c>
      <c r="E203" s="339" t="s">
        <v>23</v>
      </c>
      <c r="F203" s="340"/>
      <c r="G203" s="225" t="s">
        <v>24</v>
      </c>
      <c r="H203" s="188"/>
    </row>
    <row r="204" spans="1:16" s="178" customFormat="1" ht="16.5" thickBot="1">
      <c r="A204" s="180"/>
      <c r="B204" s="181" t="s">
        <v>90</v>
      </c>
      <c r="C204" s="182"/>
      <c r="D204" s="182"/>
      <c r="E204" s="182"/>
      <c r="F204" s="182"/>
      <c r="G204" s="183"/>
      <c r="H204" s="188"/>
    </row>
    <row r="205" spans="1:16" s="178" customFormat="1" ht="15.75">
      <c r="A205" s="209">
        <v>7</v>
      </c>
      <c r="B205" s="226" t="s">
        <v>133</v>
      </c>
      <c r="C205" s="227" t="s">
        <v>16</v>
      </c>
      <c r="D205" s="264">
        <v>0.03</v>
      </c>
      <c r="E205" s="343">
        <v>39.700000000000003</v>
      </c>
      <c r="F205" s="344"/>
      <c r="G205" s="229">
        <f>D205*E205</f>
        <v>1.1910000000000001</v>
      </c>
      <c r="H205" s="188"/>
    </row>
    <row r="206" spans="1:16" s="178" customFormat="1" ht="15.75">
      <c r="A206" s="189">
        <v>8</v>
      </c>
      <c r="B206" s="230" t="s">
        <v>134</v>
      </c>
      <c r="C206" s="231" t="s">
        <v>16</v>
      </c>
      <c r="D206" s="265">
        <v>4.546E-2</v>
      </c>
      <c r="E206" s="345">
        <v>385.75</v>
      </c>
      <c r="F206" s="346"/>
      <c r="G206" s="232">
        <f>D206*E206</f>
        <v>17.536194999999999</v>
      </c>
      <c r="H206" s="188"/>
      <c r="I206" s="195"/>
    </row>
    <row r="207" spans="1:16" s="178" customFormat="1">
      <c r="A207" s="189">
        <v>12</v>
      </c>
      <c r="B207" s="210" t="s">
        <v>27</v>
      </c>
      <c r="C207" s="233"/>
      <c r="D207" s="234"/>
      <c r="E207" s="234"/>
      <c r="F207" s="235"/>
      <c r="G207" s="198">
        <f>SUM(G205:G206)+G201</f>
        <v>42.708865000000003</v>
      </c>
      <c r="H207" s="236"/>
      <c r="J207" s="237"/>
      <c r="K207" s="237"/>
      <c r="L207" s="237"/>
      <c r="M207" s="237"/>
      <c r="N207" s="237"/>
      <c r="O207" s="237"/>
      <c r="P207" s="236"/>
    </row>
    <row r="208" spans="1:16" s="178" customFormat="1" ht="16.5" thickBot="1">
      <c r="A208" s="196">
        <v>13</v>
      </c>
      <c r="B208" s="214" t="str">
        <f>"BDI  ( "&amp;TEXT($G$7,"0,00%")&amp;" )"</f>
        <v>BDI  ( 25,00% )</v>
      </c>
      <c r="C208" s="215"/>
      <c r="D208" s="215"/>
      <c r="E208" s="215"/>
      <c r="F208" s="238"/>
      <c r="G208" s="217">
        <f>$G$7*G207</f>
        <v>10.677216250000001</v>
      </c>
      <c r="H208" s="236"/>
      <c r="J208" s="237"/>
      <c r="K208" s="237"/>
      <c r="L208" s="237"/>
      <c r="M208" s="237"/>
      <c r="N208" s="237"/>
      <c r="O208" s="237"/>
      <c r="P208" s="236"/>
    </row>
    <row r="209" spans="1:16" s="178" customFormat="1" ht="15.75" thickBot="1">
      <c r="A209" s="239">
        <v>14</v>
      </c>
      <c r="B209" s="219" t="s">
        <v>110</v>
      </c>
      <c r="C209" s="220"/>
      <c r="D209" s="220"/>
      <c r="E209" s="220"/>
      <c r="F209" s="240"/>
      <c r="G209" s="222">
        <f>G208+G207</f>
        <v>53.386081250000004</v>
      </c>
      <c r="H209" s="236"/>
      <c r="J209" s="237"/>
      <c r="K209" s="241"/>
      <c r="L209" s="237"/>
      <c r="M209" s="241"/>
      <c r="N209" s="242"/>
      <c r="O209" s="241"/>
      <c r="P209" s="236"/>
    </row>
    <row r="211" spans="1:16" s="178" customFormat="1" ht="15.75">
      <c r="A211" s="328" t="s">
        <v>173</v>
      </c>
      <c r="B211" s="329"/>
      <c r="C211" s="329"/>
      <c r="D211" s="329"/>
      <c r="E211" s="329"/>
      <c r="F211" s="329"/>
      <c r="G211" s="330"/>
      <c r="H211" s="188"/>
    </row>
    <row r="212" spans="1:16" s="178" customFormat="1" ht="16.5" thickBot="1">
      <c r="A212" s="223" t="s">
        <v>19</v>
      </c>
      <c r="B212" s="179" t="s">
        <v>20</v>
      </c>
      <c r="C212" s="179" t="s">
        <v>21</v>
      </c>
      <c r="D212" s="179" t="s">
        <v>22</v>
      </c>
      <c r="E212" s="333" t="s">
        <v>23</v>
      </c>
      <c r="F212" s="334"/>
      <c r="G212" s="179" t="s">
        <v>24</v>
      </c>
      <c r="H212" s="188"/>
      <c r="I212" s="177"/>
    </row>
    <row r="213" spans="1:16" s="178" customFormat="1" ht="16.5" thickBot="1">
      <c r="A213" s="180"/>
      <c r="B213" s="181" t="s">
        <v>82</v>
      </c>
      <c r="C213" s="182"/>
      <c r="D213" s="182"/>
      <c r="E213" s="182"/>
      <c r="F213" s="182"/>
      <c r="G213" s="183"/>
      <c r="H213" s="188"/>
      <c r="I213" s="177"/>
    </row>
    <row r="214" spans="1:16" s="178" customFormat="1" ht="15.75">
      <c r="A214" s="189">
        <v>1</v>
      </c>
      <c r="B214" s="190" t="s">
        <v>85</v>
      </c>
      <c r="C214" s="186" t="s">
        <v>28</v>
      </c>
      <c r="D214" s="224">
        <v>6</v>
      </c>
      <c r="E214" s="335">
        <f>E197</f>
        <v>5.67</v>
      </c>
      <c r="F214" s="336"/>
      <c r="G214" s="187">
        <f>ROUND(E214*D214,2)</f>
        <v>34.020000000000003</v>
      </c>
      <c r="H214" s="176"/>
    </row>
    <row r="215" spans="1:16" s="178" customFormat="1" ht="15.75">
      <c r="A215" s="189">
        <v>3</v>
      </c>
      <c r="B215" s="190" t="s">
        <v>87</v>
      </c>
      <c r="C215" s="191" t="s">
        <v>28</v>
      </c>
      <c r="D215" s="193">
        <v>9</v>
      </c>
      <c r="E215" s="331">
        <f>E198</f>
        <v>3.42</v>
      </c>
      <c r="F215" s="332"/>
      <c r="G215" s="192">
        <f>ROUND(E215*D215,2)</f>
        <v>30.78</v>
      </c>
      <c r="H215" s="188"/>
    </row>
    <row r="216" spans="1:16" s="178" customFormat="1" ht="15.75">
      <c r="A216" s="189">
        <v>4</v>
      </c>
      <c r="B216" s="190" t="s">
        <v>88</v>
      </c>
      <c r="C216" s="191"/>
      <c r="D216" s="191"/>
      <c r="E216" s="191"/>
      <c r="F216" s="194"/>
      <c r="G216" s="198">
        <f>SUM(G214:G215)</f>
        <v>64.800000000000011</v>
      </c>
      <c r="H216" s="188"/>
    </row>
    <row r="217" spans="1:16" s="178" customFormat="1" ht="15.75">
      <c r="A217" s="189">
        <v>5</v>
      </c>
      <c r="B217" s="190" t="str">
        <f>"Leis Sociais  ( "&amp;TEXT($H$7,"0,00%")&amp;")"</f>
        <v>Leis Sociais  ( 91,70%)</v>
      </c>
      <c r="C217" s="191"/>
      <c r="D217" s="191"/>
      <c r="E217" s="191"/>
      <c r="F217" s="194"/>
      <c r="G217" s="192">
        <f>$H$7*G216</f>
        <v>59.421600000000012</v>
      </c>
      <c r="H217" s="188"/>
    </row>
    <row r="218" spans="1:16" s="178" customFormat="1" ht="15.75">
      <c r="A218" s="189">
        <v>6</v>
      </c>
      <c r="B218" s="197" t="s">
        <v>89</v>
      </c>
      <c r="C218" s="191"/>
      <c r="D218" s="191"/>
      <c r="E218" s="191"/>
      <c r="F218" s="194"/>
      <c r="G218" s="198">
        <f>G217+G216</f>
        <v>124.22160000000002</v>
      </c>
      <c r="H218" s="188"/>
    </row>
    <row r="219" spans="1:16" s="178" customFormat="1"/>
    <row r="220" spans="1:16" s="178" customFormat="1" ht="16.5" thickBot="1">
      <c r="A220" s="225" t="s">
        <v>19</v>
      </c>
      <c r="B220" s="225" t="s">
        <v>20</v>
      </c>
      <c r="C220" s="225" t="s">
        <v>21</v>
      </c>
      <c r="D220" s="225" t="s">
        <v>22</v>
      </c>
      <c r="E220" s="339" t="s">
        <v>23</v>
      </c>
      <c r="F220" s="340"/>
      <c r="G220" s="225" t="s">
        <v>24</v>
      </c>
      <c r="H220" s="188"/>
    </row>
    <row r="221" spans="1:16" s="178" customFormat="1" ht="16.5" thickBot="1">
      <c r="A221" s="180"/>
      <c r="B221" s="181" t="s">
        <v>90</v>
      </c>
      <c r="C221" s="182"/>
      <c r="D221" s="182"/>
      <c r="E221" s="182"/>
      <c r="F221" s="182"/>
      <c r="G221" s="183"/>
      <c r="H221" s="188"/>
    </row>
    <row r="222" spans="1:16" s="178" customFormat="1" ht="15.75">
      <c r="A222" s="209">
        <v>7</v>
      </c>
      <c r="B222" s="226" t="s">
        <v>135</v>
      </c>
      <c r="C222" s="227" t="s">
        <v>16</v>
      </c>
      <c r="D222" s="264">
        <v>0.6744</v>
      </c>
      <c r="E222" s="341">
        <v>56.42</v>
      </c>
      <c r="F222" s="342"/>
      <c r="G222" s="229">
        <f>D222*E222</f>
        <v>38.049647999999998</v>
      </c>
      <c r="H222" s="188"/>
    </row>
    <row r="223" spans="1:16" s="178" customFormat="1" ht="15.75">
      <c r="A223" s="189">
        <v>8</v>
      </c>
      <c r="B223" s="230" t="s">
        <v>136</v>
      </c>
      <c r="C223" s="231" t="s">
        <v>96</v>
      </c>
      <c r="D223" s="193">
        <v>67.47</v>
      </c>
      <c r="E223" s="331">
        <v>0.54</v>
      </c>
      <c r="F223" s="332"/>
      <c r="G223" s="232">
        <f>D223*E223</f>
        <v>36.433800000000005</v>
      </c>
      <c r="H223" s="188"/>
      <c r="I223" s="195"/>
    </row>
    <row r="224" spans="1:16" s="178" customFormat="1" ht="15.75">
      <c r="A224" s="189">
        <v>9</v>
      </c>
      <c r="B224" s="226" t="s">
        <v>133</v>
      </c>
      <c r="C224" s="231" t="s">
        <v>16</v>
      </c>
      <c r="D224" s="228">
        <v>1.2</v>
      </c>
      <c r="E224" s="331">
        <v>39.700000000000003</v>
      </c>
      <c r="F224" s="332"/>
      <c r="G224" s="232">
        <f>D224*E224</f>
        <v>47.64</v>
      </c>
      <c r="H224" s="188"/>
      <c r="I224" s="195"/>
    </row>
    <row r="225" spans="1:16" s="178" customFormat="1">
      <c r="A225" s="189">
        <v>10</v>
      </c>
      <c r="B225" s="210" t="s">
        <v>27</v>
      </c>
      <c r="C225" s="233"/>
      <c r="D225" s="234"/>
      <c r="E225" s="234"/>
      <c r="F225" s="235"/>
      <c r="G225" s="198">
        <f>SUM(G222:G224)+G218</f>
        <v>246.34504800000002</v>
      </c>
      <c r="H225" s="236"/>
      <c r="J225" s="237"/>
      <c r="K225" s="237"/>
      <c r="L225" s="237"/>
      <c r="M225" s="237"/>
      <c r="N225" s="237"/>
      <c r="O225" s="237"/>
      <c r="P225" s="236"/>
    </row>
    <row r="226" spans="1:16" s="178" customFormat="1" ht="16.5" thickBot="1">
      <c r="A226" s="189">
        <v>11</v>
      </c>
      <c r="B226" s="214" t="str">
        <f>"BDI  ( "&amp;TEXT($G$7,"0,00%")&amp;" )"</f>
        <v>BDI  ( 25,00% )</v>
      </c>
      <c r="C226" s="215"/>
      <c r="D226" s="215"/>
      <c r="E226" s="215"/>
      <c r="F226" s="238"/>
      <c r="G226" s="217">
        <f>$G$7*G225</f>
        <v>61.586262000000005</v>
      </c>
      <c r="H226" s="236"/>
      <c r="J226" s="237"/>
      <c r="K226" s="237"/>
      <c r="L226" s="237"/>
      <c r="M226" s="237"/>
      <c r="N226" s="237"/>
      <c r="O226" s="237"/>
      <c r="P226" s="236"/>
    </row>
    <row r="227" spans="1:16" s="178" customFormat="1" ht="15.75" thickBot="1">
      <c r="A227" s="239">
        <v>12</v>
      </c>
      <c r="B227" s="219" t="s">
        <v>110</v>
      </c>
      <c r="C227" s="220"/>
      <c r="D227" s="220"/>
      <c r="E227" s="220"/>
      <c r="F227" s="240"/>
      <c r="G227" s="222">
        <f>G226+G225</f>
        <v>307.93131000000005</v>
      </c>
      <c r="H227" s="236"/>
      <c r="J227" s="237"/>
      <c r="K227" s="241"/>
      <c r="L227" s="237"/>
      <c r="M227" s="241"/>
      <c r="N227" s="242"/>
      <c r="O227" s="241"/>
      <c r="P227" s="236"/>
    </row>
    <row r="229" spans="1:16" s="178" customFormat="1" ht="15.75">
      <c r="A229" s="328" t="s">
        <v>174</v>
      </c>
      <c r="B229" s="329"/>
      <c r="C229" s="329"/>
      <c r="D229" s="329"/>
      <c r="E229" s="329"/>
      <c r="F229" s="329"/>
      <c r="G229" s="330"/>
      <c r="H229" s="176"/>
      <c r="I229" s="177"/>
    </row>
    <row r="230" spans="1:16" s="178" customFormat="1" ht="16.5" thickBot="1">
      <c r="A230" s="225" t="s">
        <v>19</v>
      </c>
      <c r="B230" s="225" t="s">
        <v>20</v>
      </c>
      <c r="C230" s="225" t="s">
        <v>21</v>
      </c>
      <c r="D230" s="225" t="s">
        <v>22</v>
      </c>
      <c r="E230" s="225" t="s">
        <v>117</v>
      </c>
      <c r="F230" s="225" t="s">
        <v>23</v>
      </c>
      <c r="G230" s="225" t="s">
        <v>24</v>
      </c>
      <c r="H230" s="176"/>
      <c r="I230" s="177"/>
    </row>
    <row r="231" spans="1:16" s="178" customFormat="1" ht="16.5" thickBot="1">
      <c r="A231" s="243"/>
      <c r="B231" s="181" t="s">
        <v>82</v>
      </c>
      <c r="C231" s="244"/>
      <c r="D231" s="244"/>
      <c r="E231" s="244"/>
      <c r="F231" s="244"/>
      <c r="G231" s="245"/>
      <c r="H231" s="176"/>
      <c r="I231" s="177"/>
    </row>
    <row r="232" spans="1:16" s="178" customFormat="1" ht="15.75">
      <c r="A232" s="209">
        <v>1</v>
      </c>
      <c r="B232" s="246" t="s">
        <v>175</v>
      </c>
      <c r="C232" s="247" t="s">
        <v>28</v>
      </c>
      <c r="D232" s="193">
        <v>1</v>
      </c>
      <c r="E232" s="228"/>
      <c r="F232" s="248">
        <f>E214</f>
        <v>5.67</v>
      </c>
      <c r="G232" s="249">
        <f>ROUND(F232*D232,2)</f>
        <v>5.67</v>
      </c>
      <c r="H232" s="188"/>
    </row>
    <row r="233" spans="1:16" s="178" customFormat="1" ht="15.75">
      <c r="A233" s="189">
        <v>2</v>
      </c>
      <c r="B233" s="190" t="s">
        <v>87</v>
      </c>
      <c r="C233" s="191" t="s">
        <v>28</v>
      </c>
      <c r="D233" s="193">
        <v>10</v>
      </c>
      <c r="E233" s="193"/>
      <c r="F233" s="194">
        <f>E215</f>
        <v>3.42</v>
      </c>
      <c r="G233" s="192">
        <f>ROUND(F233*D233,2)</f>
        <v>34.200000000000003</v>
      </c>
      <c r="H233" s="188"/>
    </row>
    <row r="234" spans="1:16" s="178" customFormat="1" ht="15.75">
      <c r="A234" s="189">
        <v>3</v>
      </c>
      <c r="B234" s="190" t="s">
        <v>88</v>
      </c>
      <c r="C234" s="191"/>
      <c r="D234" s="191"/>
      <c r="E234" s="191"/>
      <c r="F234" s="194"/>
      <c r="G234" s="192">
        <f>SUM(G232:G233)</f>
        <v>39.870000000000005</v>
      </c>
      <c r="H234" s="188"/>
    </row>
    <row r="235" spans="1:16" s="178" customFormat="1" ht="15.75">
      <c r="A235" s="189">
        <v>4</v>
      </c>
      <c r="B235" s="190" t="str">
        <f>"Leis Sociais  ( "&amp;TEXT($H$7,"0,00%")&amp;")"</f>
        <v>Leis Sociais  ( 91,70%)</v>
      </c>
      <c r="C235" s="191"/>
      <c r="D235" s="191"/>
      <c r="E235" s="191"/>
      <c r="F235" s="194"/>
      <c r="G235" s="192">
        <f>$H$7*G234</f>
        <v>36.560790000000004</v>
      </c>
      <c r="H235" s="188"/>
    </row>
    <row r="236" spans="1:16" s="178" customFormat="1" ht="16.5" thickBot="1">
      <c r="A236" s="189">
        <v>5</v>
      </c>
      <c r="B236" s="250" t="s">
        <v>89</v>
      </c>
      <c r="C236" s="215"/>
      <c r="D236" s="215"/>
      <c r="E236" s="215"/>
      <c r="F236" s="251"/>
      <c r="G236" s="252">
        <f>G235+G234</f>
        <v>76.430790000000002</v>
      </c>
      <c r="H236" s="188"/>
    </row>
    <row r="237" spans="1:16" s="178" customFormat="1" ht="16.5" thickBot="1">
      <c r="A237" s="239"/>
      <c r="B237" s="181" t="s">
        <v>119</v>
      </c>
      <c r="C237" s="253"/>
      <c r="D237" s="253"/>
      <c r="E237" s="253"/>
      <c r="F237" s="254"/>
      <c r="G237" s="255"/>
      <c r="H237" s="188"/>
    </row>
    <row r="238" spans="1:16" s="178" customFormat="1" ht="25.5">
      <c r="A238" s="209">
        <v>6</v>
      </c>
      <c r="B238" s="256" t="s">
        <v>176</v>
      </c>
      <c r="C238" s="247" t="s">
        <v>121</v>
      </c>
      <c r="D238" s="193">
        <v>0.03</v>
      </c>
      <c r="E238" s="247">
        <v>1</v>
      </c>
      <c r="F238" s="247">
        <v>79.290000000000006</v>
      </c>
      <c r="G238" s="249">
        <f>ROUND(D238*F238*E238,2)</f>
        <v>2.38</v>
      </c>
      <c r="H238" s="188"/>
    </row>
    <row r="239" spans="1:16" s="178" customFormat="1" ht="26.25" thickBot="1">
      <c r="A239" s="189">
        <v>7</v>
      </c>
      <c r="B239" s="190" t="s">
        <v>176</v>
      </c>
      <c r="C239" s="191" t="s">
        <v>122</v>
      </c>
      <c r="D239" s="193">
        <v>0.03</v>
      </c>
      <c r="E239" s="191">
        <v>0</v>
      </c>
      <c r="F239" s="191">
        <v>12.23</v>
      </c>
      <c r="G239" s="249">
        <f t="shared" ref="G239:G241" si="7">ROUND(D239*F239*E239,2)</f>
        <v>0</v>
      </c>
      <c r="H239" s="188"/>
    </row>
    <row r="240" spans="1:16" s="178" customFormat="1" ht="16.5" thickBot="1">
      <c r="A240" s="239"/>
      <c r="B240" s="181" t="s">
        <v>178</v>
      </c>
      <c r="C240" s="253"/>
      <c r="D240" s="253"/>
      <c r="E240" s="253"/>
      <c r="F240" s="254"/>
      <c r="G240" s="255"/>
      <c r="H240" s="188"/>
    </row>
    <row r="241" spans="1:8" s="178" customFormat="1" ht="15.75">
      <c r="A241" s="189">
        <v>8</v>
      </c>
      <c r="B241" s="190" t="s">
        <v>177</v>
      </c>
      <c r="C241" s="191" t="s">
        <v>16</v>
      </c>
      <c r="D241" s="193">
        <v>1.2</v>
      </c>
      <c r="E241" s="193">
        <v>1</v>
      </c>
      <c r="F241" s="193">
        <v>41.96</v>
      </c>
      <c r="G241" s="249">
        <f t="shared" si="7"/>
        <v>50.35</v>
      </c>
      <c r="H241" s="188"/>
    </row>
    <row r="242" spans="1:8" s="178" customFormat="1" ht="15.75">
      <c r="A242" s="189">
        <v>9</v>
      </c>
      <c r="B242" s="190" t="s">
        <v>126</v>
      </c>
      <c r="C242" s="191" t="s">
        <v>43</v>
      </c>
      <c r="D242" s="193">
        <v>1</v>
      </c>
      <c r="E242" s="191">
        <v>0.2051</v>
      </c>
      <c r="F242" s="194">
        <f>G236</f>
        <v>76.430790000000002</v>
      </c>
      <c r="G242" s="249">
        <f t="shared" ref="G242" si="8">ROUND(D242*F242*E242,2)</f>
        <v>15.68</v>
      </c>
      <c r="H242" s="188"/>
    </row>
    <row r="243" spans="1:8" s="178" customFormat="1" ht="15.75">
      <c r="A243" s="209">
        <v>10</v>
      </c>
      <c r="B243" s="210" t="s">
        <v>127</v>
      </c>
      <c r="C243" s="191"/>
      <c r="D243" s="191"/>
      <c r="E243" s="191"/>
      <c r="F243" s="211"/>
      <c r="G243" s="198">
        <f>SUM(G238:G242)+G236</f>
        <v>144.84079</v>
      </c>
      <c r="H243" s="212"/>
    </row>
    <row r="244" spans="1:8" s="178" customFormat="1" ht="15.75">
      <c r="A244" s="209">
        <v>11</v>
      </c>
      <c r="B244" s="210" t="s">
        <v>128</v>
      </c>
      <c r="C244" s="257"/>
      <c r="D244" s="257"/>
      <c r="E244" s="257"/>
      <c r="F244" s="258"/>
      <c r="G244" s="259">
        <f>G243/2</f>
        <v>72.420394999999999</v>
      </c>
      <c r="H244" s="212"/>
    </row>
    <row r="245" spans="1:8" s="178" customFormat="1" ht="16.5" thickBot="1">
      <c r="A245" s="213">
        <v>12</v>
      </c>
      <c r="B245" s="214" t="str">
        <f>"BDI  ( "&amp;TEXT($G$7,"0,00%")&amp;" )"</f>
        <v>BDI  ( 25,00% )</v>
      </c>
      <c r="C245" s="215"/>
      <c r="D245" s="215"/>
      <c r="E245" s="215"/>
      <c r="F245" s="216"/>
      <c r="G245" s="217">
        <f>$G$7*G244</f>
        <v>18.10509875</v>
      </c>
      <c r="H245" s="188"/>
    </row>
    <row r="246" spans="1:8" s="178" customFormat="1" ht="16.5" thickBot="1">
      <c r="A246" s="218">
        <v>13</v>
      </c>
      <c r="B246" s="219" t="s">
        <v>110</v>
      </c>
      <c r="C246" s="220"/>
      <c r="D246" s="220"/>
      <c r="E246" s="220"/>
      <c r="F246" s="221"/>
      <c r="G246" s="222">
        <f>G245+G244</f>
        <v>90.525493749999995</v>
      </c>
      <c r="H246" s="188"/>
    </row>
  </sheetData>
  <sheetProtection selectLockedCells="1" selectUnlockedCells="1"/>
  <mergeCells count="79">
    <mergeCell ref="A15:E15"/>
    <mergeCell ref="A9:F9"/>
    <mergeCell ref="E54:F54"/>
    <mergeCell ref="E27:F27"/>
    <mergeCell ref="E33:F33"/>
    <mergeCell ref="E34:F34"/>
    <mergeCell ref="E35:F35"/>
    <mergeCell ref="A89:E89"/>
    <mergeCell ref="A78:E78"/>
    <mergeCell ref="B84:D84"/>
    <mergeCell ref="A17:F17"/>
    <mergeCell ref="A23:E23"/>
    <mergeCell ref="A59:F59"/>
    <mergeCell ref="A80:F80"/>
    <mergeCell ref="E46:F46"/>
    <mergeCell ref="E47:F47"/>
    <mergeCell ref="E48:F48"/>
    <mergeCell ref="E49:F49"/>
    <mergeCell ref="E50:F50"/>
    <mergeCell ref="E51:F51"/>
    <mergeCell ref="E52:F52"/>
    <mergeCell ref="E53:F53"/>
    <mergeCell ref="B64:D64"/>
    <mergeCell ref="A91:G91"/>
    <mergeCell ref="E108:F108"/>
    <mergeCell ref="E109:F109"/>
    <mergeCell ref="E97:F97"/>
    <mergeCell ref="E98:F98"/>
    <mergeCell ref="E92:F92"/>
    <mergeCell ref="E94:F94"/>
    <mergeCell ref="E95:F95"/>
    <mergeCell ref="E96:F96"/>
    <mergeCell ref="E101:F101"/>
    <mergeCell ref="E99:F99"/>
    <mergeCell ref="E103:F103"/>
    <mergeCell ref="E104:F104"/>
    <mergeCell ref="E105:F105"/>
    <mergeCell ref="E106:F106"/>
    <mergeCell ref="E107:F107"/>
    <mergeCell ref="E220:F220"/>
    <mergeCell ref="E222:F222"/>
    <mergeCell ref="E223:F223"/>
    <mergeCell ref="E203:F203"/>
    <mergeCell ref="E205:F205"/>
    <mergeCell ref="E206:F206"/>
    <mergeCell ref="A211:G211"/>
    <mergeCell ref="E212:F212"/>
    <mergeCell ref="E43:F43"/>
    <mergeCell ref="E44:F44"/>
    <mergeCell ref="E45:F45"/>
    <mergeCell ref="E214:F214"/>
    <mergeCell ref="E215:F215"/>
    <mergeCell ref="A169:G169"/>
    <mergeCell ref="A194:G194"/>
    <mergeCell ref="E195:F195"/>
    <mergeCell ref="E197:F197"/>
    <mergeCell ref="E198:F198"/>
    <mergeCell ref="E189:F189"/>
    <mergeCell ref="E190:F190"/>
    <mergeCell ref="E191:F191"/>
    <mergeCell ref="A146:G146"/>
    <mergeCell ref="A112:G112"/>
    <mergeCell ref="A129:G129"/>
    <mergeCell ref="A1:H1"/>
    <mergeCell ref="D5:F5"/>
    <mergeCell ref="A229:G229"/>
    <mergeCell ref="E224:F224"/>
    <mergeCell ref="A25:G25"/>
    <mergeCell ref="E26:F26"/>
    <mergeCell ref="E28:F28"/>
    <mergeCell ref="E29:F29"/>
    <mergeCell ref="E30:F30"/>
    <mergeCell ref="E31:F31"/>
    <mergeCell ref="E32:F32"/>
    <mergeCell ref="E37:F37"/>
    <mergeCell ref="E39:F39"/>
    <mergeCell ref="E40:F40"/>
    <mergeCell ref="E41:F41"/>
    <mergeCell ref="E42:F42"/>
  </mergeCells>
  <phoneticPr fontId="25" type="noConversion"/>
  <pageMargins left="0.78740157480314965" right="0.78740157480314965" top="0.6692913385826772" bottom="0.19685039370078741" header="0.51181102362204722" footer="0.51181102362204722"/>
  <pageSetup scale="70" firstPageNumber="0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Brush" shapeId="1025" r:id="rId4">
          <objectPr defaultSize="0" autoPict="0" r:id="rId5">
            <anchor moveWithCells="1" sizeWithCells="1">
              <from>
                <xdr:col>0</xdr:col>
                <xdr:colOff>171450</xdr:colOff>
                <xdr:row>1</xdr:row>
                <xdr:rowOff>47625</xdr:rowOff>
              </from>
              <to>
                <xdr:col>2</xdr:col>
                <xdr:colOff>390525</xdr:colOff>
                <xdr:row>5</xdr:row>
                <xdr:rowOff>38100</xdr:rowOff>
              </to>
            </anchor>
          </objectPr>
        </oleObject>
      </mc:Choice>
      <mc:Fallback>
        <oleObject progId="PBrush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Plan</vt:lpstr>
      <vt:lpstr>Cron</vt:lpstr>
      <vt:lpstr>Compô</vt:lpstr>
      <vt:lpstr>_1Excel_BuiltIn_Print_Area_18_1</vt:lpstr>
      <vt:lpstr>Compô!Area_de_impressao</vt:lpstr>
      <vt:lpstr>Cron!Area_de_impressao</vt:lpstr>
      <vt:lpstr>Plan!Area_de_impressao</vt:lpstr>
      <vt:lpstr>Excel_BuiltIn_Print_Area_18</vt:lpstr>
      <vt:lpstr>Plan!Titulos_de_impressao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claudio.silva</cp:lastModifiedBy>
  <cp:revision>6</cp:revision>
  <cp:lastPrinted>2014-07-12T13:18:54Z</cp:lastPrinted>
  <dcterms:created xsi:type="dcterms:W3CDTF">1998-01-22T12:19:54Z</dcterms:created>
  <dcterms:modified xsi:type="dcterms:W3CDTF">2014-07-12T13:19:05Z</dcterms:modified>
</cp:coreProperties>
</file>