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0730" windowHeight="11160"/>
  </bookViews>
  <sheets>
    <sheet name="Plan" sheetId="14" r:id="rId1"/>
    <sheet name="CPUs" sheetId="19" r:id="rId2"/>
    <sheet name="Crono" sheetId="21" r:id="rId3"/>
    <sheet name="Memo calc " sheetId="20" r:id="rId4"/>
    <sheet name="Mob. e Desmb." sheetId="22" r:id="rId5"/>
  </sheets>
  <externalReferences>
    <externalReference r:id="rId6"/>
  </externalReferences>
  <definedNames>
    <definedName name="_xlnm.Print_Area" localSheetId="1">CPUs!$B$2:$H$247</definedName>
    <definedName name="_xlnm.Print_Area" localSheetId="2">Crono!$B$2:$G$25</definedName>
    <definedName name="_xlnm.Print_Area" localSheetId="3">'Memo calc '!$B$1:$O$62</definedName>
    <definedName name="_xlnm.Print_Area" localSheetId="4">'Mob. e Desmb.'!$B$2:$O$27</definedName>
    <definedName name="_xlnm.Print_Area" localSheetId="0">Plan!$B$2:$H$51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  <definedName name="_xlnm.Print_Titles" localSheetId="1">CPUs!$2:$13</definedName>
    <definedName name="_xlnm.Print_Titles" localSheetId="3">'Memo calc '!$1:$8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61" i="20"/>
  <c r="I55" s="1"/>
  <c r="M24"/>
  <c r="M22"/>
  <c r="M20"/>
  <c r="D14" i="22"/>
  <c r="H80" i="19"/>
  <c r="H79"/>
  <c r="H78"/>
  <c r="H77"/>
  <c r="H76"/>
  <c r="I57" i="20" l="1"/>
  <c r="H104" i="19"/>
  <c r="H103"/>
  <c r="H102"/>
  <c r="H101"/>
  <c r="H100"/>
  <c r="H99"/>
  <c r="H98"/>
  <c r="H105" l="1"/>
  <c r="F48" i="14"/>
  <c r="F37"/>
  <c r="F36"/>
  <c r="F35"/>
  <c r="F34"/>
  <c r="F33"/>
  <c r="F27"/>
  <c r="F26"/>
  <c r="M57" i="20"/>
  <c r="G59" s="1"/>
  <c r="M59" s="1"/>
  <c r="F47" i="14" s="1"/>
  <c r="M55" i="20"/>
  <c r="F45" i="14" s="1"/>
  <c r="M53" i="20"/>
  <c r="F44" i="14" s="1"/>
  <c r="M51" i="20"/>
  <c r="F41" i="14" s="1"/>
  <c r="M49" i="20"/>
  <c r="M48"/>
  <c r="M46"/>
  <c r="M45"/>
  <c r="M43"/>
  <c r="F38" i="14" s="1"/>
  <c r="M31" i="20"/>
  <c r="M30"/>
  <c r="M28"/>
  <c r="F31" i="14" s="1"/>
  <c r="M26" i="20"/>
  <c r="F28" i="14" s="1"/>
  <c r="F25"/>
  <c r="M18" i="20"/>
  <c r="F22" i="14" s="1"/>
  <c r="M16" i="20"/>
  <c r="F21" i="14" s="1"/>
  <c r="M14" i="20"/>
  <c r="F18" i="14" s="1"/>
  <c r="M12" i="20"/>
  <c r="F17" i="14" s="1"/>
  <c r="M10" i="20"/>
  <c r="F16" i="14" s="1"/>
  <c r="N45" i="20" l="1"/>
  <c r="F39" i="14" s="1"/>
  <c r="N48" i="20"/>
  <c r="F40" i="14" s="1"/>
  <c r="F46"/>
  <c r="N30" i="20"/>
  <c r="F32" i="14" s="1"/>
  <c r="H81" i="19"/>
  <c r="B6" i="20"/>
  <c r="B7" i="22"/>
  <c r="C19" i="21"/>
  <c r="C17"/>
  <c r="C15"/>
  <c r="B9" i="19"/>
  <c r="C28" i="14" l="1"/>
  <c r="C32"/>
  <c r="C31"/>
  <c r="C36"/>
  <c r="H141" i="19"/>
  <c r="H142"/>
  <c r="H143"/>
  <c r="H144"/>
  <c r="H140"/>
  <c r="H145" l="1"/>
  <c r="C48" i="14" l="1"/>
  <c r="C47"/>
  <c r="C46"/>
  <c r="C45"/>
  <c r="C44"/>
  <c r="I25" i="22"/>
  <c r="L27" s="1"/>
  <c r="C41" i="14"/>
  <c r="C40"/>
  <c r="C39"/>
  <c r="H162" i="19"/>
  <c r="H161"/>
  <c r="H160"/>
  <c r="H159"/>
  <c r="C38" i="14"/>
  <c r="C37"/>
  <c r="C35"/>
  <c r="C34"/>
  <c r="C33"/>
  <c r="C27"/>
  <c r="H60" i="19"/>
  <c r="H59"/>
  <c r="H58"/>
  <c r="C26" i="14"/>
  <c r="C25"/>
  <c r="C13" i="21"/>
  <c r="C11"/>
  <c r="B6"/>
  <c r="B19"/>
  <c r="B17"/>
  <c r="B15"/>
  <c r="B13"/>
  <c r="B11"/>
  <c r="G36" i="19"/>
  <c r="B27" i="22" l="1"/>
  <c r="H163" i="19"/>
  <c r="H61"/>
  <c r="H62" s="1"/>
  <c r="H12"/>
  <c r="H11"/>
  <c r="F13"/>
  <c r="H201"/>
  <c r="H169"/>
  <c r="H170"/>
  <c r="H172"/>
  <c r="H173"/>
  <c r="H174"/>
  <c r="H168"/>
  <c r="H181"/>
  <c r="H183"/>
  <c r="H184"/>
  <c r="H180"/>
  <c r="H191"/>
  <c r="H192"/>
  <c r="H193"/>
  <c r="H194"/>
  <c r="H195"/>
  <c r="H190"/>
  <c r="E106" l="1"/>
  <c r="H106"/>
  <c r="H107" s="1"/>
  <c r="G32" i="14" s="1"/>
  <c r="E82" i="19"/>
  <c r="H82"/>
  <c r="H83" s="1"/>
  <c r="G28" i="14" s="1"/>
  <c r="H182" i="19"/>
  <c r="H185" s="1"/>
  <c r="E146"/>
  <c r="H146"/>
  <c r="H147" s="1"/>
  <c r="G36" i="14" s="1"/>
  <c r="H36" s="1"/>
  <c r="H202" i="19"/>
  <c r="H203" s="1"/>
  <c r="H171"/>
  <c r="H175" s="1"/>
  <c r="H176" s="1"/>
  <c r="H177" s="1"/>
  <c r="G39" i="14" s="1"/>
  <c r="H39" s="1"/>
  <c r="H164" i="19"/>
  <c r="H165" s="1"/>
  <c r="G38" i="14" s="1"/>
  <c r="H38" s="1"/>
  <c r="E197" i="19"/>
  <c r="H63"/>
  <c r="H64" s="1"/>
  <c r="E204"/>
  <c r="H196"/>
  <c r="H197" s="1"/>
  <c r="E186"/>
  <c r="E176"/>
  <c r="E164"/>
  <c r="H151"/>
  <c r="H152"/>
  <c r="H153"/>
  <c r="H150"/>
  <c r="H131"/>
  <c r="H132"/>
  <c r="H133"/>
  <c r="H134"/>
  <c r="H130"/>
  <c r="H121"/>
  <c r="H122"/>
  <c r="H123"/>
  <c r="H124"/>
  <c r="H120"/>
  <c r="H111"/>
  <c r="H112"/>
  <c r="H113"/>
  <c r="H114"/>
  <c r="H110"/>
  <c r="E155"/>
  <c r="E136"/>
  <c r="E126"/>
  <c r="E116"/>
  <c r="H115" l="1"/>
  <c r="H198"/>
  <c r="G41" i="14" s="1"/>
  <c r="H41" s="1"/>
  <c r="H204" i="19"/>
  <c r="H135"/>
  <c r="H125"/>
  <c r="H154"/>
  <c r="H186"/>
  <c r="H187" s="1"/>
  <c r="G40" i="14" s="1"/>
  <c r="H40" s="1"/>
  <c r="E94" i="19"/>
  <c r="H87"/>
  <c r="H88"/>
  <c r="H89"/>
  <c r="H90"/>
  <c r="H91"/>
  <c r="H92"/>
  <c r="H86"/>
  <c r="H68"/>
  <c r="H69"/>
  <c r="H70"/>
  <c r="H67"/>
  <c r="E72"/>
  <c r="E63"/>
  <c r="H52"/>
  <c r="H53" s="1"/>
  <c r="E54"/>
  <c r="E246"/>
  <c r="H244"/>
  <c r="H243"/>
  <c r="H242"/>
  <c r="H241"/>
  <c r="H240"/>
  <c r="H239"/>
  <c r="H238"/>
  <c r="H237"/>
  <c r="H236"/>
  <c r="H235"/>
  <c r="H234"/>
  <c r="H233"/>
  <c r="H232"/>
  <c r="E228"/>
  <c r="H226"/>
  <c r="H225"/>
  <c r="E221"/>
  <c r="H219"/>
  <c r="H218"/>
  <c r="H217"/>
  <c r="E213"/>
  <c r="H211"/>
  <c r="H210"/>
  <c r="H209"/>
  <c r="H208"/>
  <c r="H71" l="1"/>
  <c r="H72" s="1"/>
  <c r="H73" s="1"/>
  <c r="G27" i="14" s="1"/>
  <c r="H27" s="1"/>
  <c r="H93" i="19"/>
  <c r="H227"/>
  <c r="H228" s="1"/>
  <c r="H229" s="1"/>
  <c r="G47" i="14" s="1"/>
  <c r="H47" s="1"/>
  <c r="H245" i="19"/>
  <c r="H220"/>
  <c r="H205"/>
  <c r="G44" i="14" s="1"/>
  <c r="H44" s="1"/>
  <c r="H212" i="19"/>
  <c r="G26" i="14"/>
  <c r="H26" s="1"/>
  <c r="H54" i="19"/>
  <c r="H55" s="1"/>
  <c r="G25" i="14" s="1"/>
  <c r="H25" s="1"/>
  <c r="C18"/>
  <c r="C21"/>
  <c r="C22"/>
  <c r="C17"/>
  <c r="C16"/>
  <c r="E18"/>
  <c r="E48" i="19"/>
  <c r="H46"/>
  <c r="H47" s="1"/>
  <c r="E41"/>
  <c r="H38"/>
  <c r="H37"/>
  <c r="H36"/>
  <c r="H35"/>
  <c r="H34"/>
  <c r="E30"/>
  <c r="H28"/>
  <c r="H29" s="1"/>
  <c r="E24"/>
  <c r="H22"/>
  <c r="H21"/>
  <c r="H20"/>
  <c r="H19"/>
  <c r="H18"/>
  <c r="H17"/>
  <c r="H16"/>
  <c r="H39" l="1"/>
  <c r="H40" s="1"/>
  <c r="H23"/>
  <c r="H24" s="1"/>
  <c r="H25" s="1"/>
  <c r="G16" i="14" s="1"/>
  <c r="H16" s="1"/>
  <c r="H94" i="19"/>
  <c r="H95" s="1"/>
  <c r="H28" i="14"/>
  <c r="H29" s="1"/>
  <c r="D15" i="21" s="1"/>
  <c r="H116" i="19"/>
  <c r="H117" s="1"/>
  <c r="G33" i="14" s="1"/>
  <c r="H33" s="1"/>
  <c r="H246" i="19"/>
  <c r="H247" s="1"/>
  <c r="G48" i="14" s="1"/>
  <c r="H48" s="1"/>
  <c r="H221" i="19"/>
  <c r="H222" s="1"/>
  <c r="G46" i="14" s="1"/>
  <c r="H46" s="1"/>
  <c r="H213" i="19"/>
  <c r="H214" s="1"/>
  <c r="G45" i="14" s="1"/>
  <c r="H45" s="1"/>
  <c r="H30" i="19"/>
  <c r="H31" s="1"/>
  <c r="H48"/>
  <c r="H49" s="1"/>
  <c r="G22" i="14" s="1"/>
  <c r="H22" s="1"/>
  <c r="E15" i="21" l="1"/>
  <c r="F15"/>
  <c r="F16" s="1"/>
  <c r="H49" i="14"/>
  <c r="D19" i="21" s="1"/>
  <c r="G19" s="1"/>
  <c r="H32" i="14"/>
  <c r="G31"/>
  <c r="H31" s="1"/>
  <c r="H41" i="19"/>
  <c r="H42" s="1"/>
  <c r="G17" i="14"/>
  <c r="H17" s="1"/>
  <c r="G18"/>
  <c r="H18" s="1"/>
  <c r="H19" l="1"/>
  <c r="D11" i="21" s="1"/>
  <c r="E16"/>
  <c r="H16" s="1"/>
  <c r="J15"/>
  <c r="K15" s="1"/>
  <c r="G20"/>
  <c r="H20" s="1"/>
  <c r="J19"/>
  <c r="K19" s="1"/>
  <c r="H43" i="19"/>
  <c r="G21" i="14" s="1"/>
  <c r="H21" s="1"/>
  <c r="H126" i="19"/>
  <c r="H127" s="1"/>
  <c r="G34" i="14" s="1"/>
  <c r="H34" s="1"/>
  <c r="H23" l="1"/>
  <c r="D13" i="21" s="1"/>
  <c r="E13" s="1"/>
  <c r="E11"/>
  <c r="F11"/>
  <c r="G11"/>
  <c r="H136" i="19"/>
  <c r="H137" s="1"/>
  <c r="G35" i="14" s="1"/>
  <c r="H35" s="1"/>
  <c r="G13" i="21" l="1"/>
  <c r="G14" s="1"/>
  <c r="F13"/>
  <c r="F14" s="1"/>
  <c r="E14"/>
  <c r="F12"/>
  <c r="G12"/>
  <c r="E12"/>
  <c r="J11"/>
  <c r="K11" s="1"/>
  <c r="E22"/>
  <c r="H155" i="19"/>
  <c r="H156" s="1"/>
  <c r="G37" i="14" s="1"/>
  <c r="H14" i="21" l="1"/>
  <c r="J13"/>
  <c r="K13" s="1"/>
  <c r="E24"/>
  <c r="H12"/>
  <c r="H37" i="14"/>
  <c r="H42" s="1"/>
  <c r="H51" l="1"/>
  <c r="D17" i="21"/>
  <c r="F17" l="1"/>
  <c r="G17"/>
  <c r="D22"/>
  <c r="E23" s="1"/>
  <c r="E25" s="1"/>
  <c r="F18" l="1"/>
  <c r="J17"/>
  <c r="K17" s="1"/>
  <c r="F22"/>
  <c r="G18"/>
  <c r="G22"/>
  <c r="G23" s="1"/>
  <c r="F23" l="1"/>
  <c r="F25" s="1"/>
  <c r="G25" s="1"/>
  <c r="F24"/>
  <c r="G24" s="1"/>
  <c r="H18"/>
</calcChain>
</file>

<file path=xl/sharedStrings.xml><?xml version="1.0" encoding="utf-8"?>
<sst xmlns="http://schemas.openxmlformats.org/spreadsheetml/2006/main" count="996" uniqueCount="416">
  <si>
    <t>DISCRIMINAÇÃO DOS SERVIÇOS</t>
  </si>
  <si>
    <t>UND</t>
  </si>
  <si>
    <t>QUANT</t>
  </si>
  <si>
    <t>UNITÁRIO</t>
  </si>
  <si>
    <t>TOTAL</t>
  </si>
  <si>
    <t>SERVIÇOS INICIAIS</t>
  </si>
  <si>
    <t>1.1</t>
  </si>
  <si>
    <t>un</t>
  </si>
  <si>
    <t>1.2</t>
  </si>
  <si>
    <t>1.3</t>
  </si>
  <si>
    <t>%</t>
  </si>
  <si>
    <t>m²</t>
  </si>
  <si>
    <t>2.1</t>
  </si>
  <si>
    <r>
      <t>m</t>
    </r>
    <r>
      <rPr>
        <vertAlign val="superscript"/>
        <sz val="12"/>
        <rFont val="Arial"/>
        <family val="2"/>
      </rPr>
      <t>3</t>
    </r>
  </si>
  <si>
    <t>2.2</t>
  </si>
  <si>
    <t>Txkm</t>
  </si>
  <si>
    <t>INFRA-MESO ESTRUTURA</t>
  </si>
  <si>
    <t>3.1</t>
  </si>
  <si>
    <t>3.2</t>
  </si>
  <si>
    <t>3.3</t>
  </si>
  <si>
    <t>Embasamento c/ pedra argamassada utilizando argamassa cimento/areia, traço 1:4</t>
  </si>
  <si>
    <t>SUPERESTRUTURA</t>
  </si>
  <si>
    <t>4.1</t>
  </si>
  <si>
    <t>m</t>
  </si>
  <si>
    <t>4.2</t>
  </si>
  <si>
    <t>4.3</t>
  </si>
  <si>
    <t>Armação de estrutura convencional, utilizando aço CA-50 DE 8.0mm - montagem.</t>
  </si>
  <si>
    <t>kg</t>
  </si>
  <si>
    <t>Armação de estrutura convencional, utilizando aço CA-50 DE 10.0mm - montagem.</t>
  </si>
  <si>
    <t>Armação de estrutura convencional, utilizando aço CA-50 DE 12.5mm - montagem.</t>
  </si>
  <si>
    <t>Armação de estrutura convencional, utilizando aço CA-50 DE 25.0mm - montagem.</t>
  </si>
  <si>
    <t>Dreno de PVC - DN 75mm</t>
  </si>
  <si>
    <t>Concreto FCK = 25MPA, traço 1:2,3:2,7 (cimento/areia média/brita 1), preparo mecânico com betoneira 600 L</t>
  </si>
  <si>
    <t>Guarda-corpo em tubos de aço galvanizado</t>
  </si>
  <si>
    <t xml:space="preserve">PLANILHA COMPOSIÇÕES DE PREÇOS </t>
  </si>
  <si>
    <t>BDI (%):</t>
  </si>
  <si>
    <t>ENCARGOS SOCIAIS (%):</t>
  </si>
  <si>
    <t>M2</t>
  </si>
  <si>
    <t>QUANTITATIVO</t>
  </si>
  <si>
    <t>PRECO UNITÁRIO</t>
  </si>
  <si>
    <t>TOTAL (R$)</t>
  </si>
  <si>
    <t>INSUMO</t>
  </si>
  <si>
    <t>PECA DE MADEIRA NATIVA / REGIONAL 7,5 X 7,5CM (3X3) NAO APARELHADA (P/FORMA)</t>
  </si>
  <si>
    <t>M</t>
  </si>
  <si>
    <t>UN</t>
  </si>
  <si>
    <t>COMPOSICAO</t>
  </si>
  <si>
    <t>M3</t>
  </si>
  <si>
    <t>Sub total:</t>
  </si>
  <si>
    <t>PREÇO UNITÁRIO TOTAL:</t>
  </si>
  <si>
    <t>74209/1</t>
  </si>
  <si>
    <t>PLACA DE OBRA EM CHAPA DE ACO GALVANIZADO</t>
  </si>
  <si>
    <t>SARRAFO DE MADEIRA NAO APARELHADA *2,5 X 7* CM, MACARANDUBA, ANGELIM OU EQUIVALENTE DA REGIAO</t>
  </si>
  <si>
    <t>1,0000000</t>
  </si>
  <si>
    <t>4,0000000</t>
  </si>
  <si>
    <t>PLACA DE OBRA (PARA CONSTRUCAO CIVIL) EM CHAPA GALVANIZADA *N. 22*, DE *2,0 X 1,125* M</t>
  </si>
  <si>
    <t>PREGO DE ACO POLIDO COM CABECA 18 X 30 (2 3/4 X 10)</t>
  </si>
  <si>
    <t>KG</t>
  </si>
  <si>
    <t>0,1100000</t>
  </si>
  <si>
    <t>CARPINTEIRO DE FORMAS COM ENCARGOS COMPLEMENTARES</t>
  </si>
  <si>
    <t>H</t>
  </si>
  <si>
    <t>SERVENTE COM ENCARGOS COMPLEMENTARES</t>
  </si>
  <si>
    <t>2,0000000</t>
  </si>
  <si>
    <t>0,0100000</t>
  </si>
  <si>
    <t>74151/1</t>
  </si>
  <si>
    <t>ESCAVACAO E CARGA MATERIAL 1A CATEGORIA, UTILIZANDO TRATOR DE ESTEIRAS DE 110 A 160HP COM LAMINA, PESO OPERACIONAL * 13T  E PA CARREGADEIRA COM 170 HP.</t>
  </si>
  <si>
    <t>CHP</t>
  </si>
  <si>
    <t>0,0093458</t>
  </si>
  <si>
    <t>0,0054206</t>
  </si>
  <si>
    <t>CHI</t>
  </si>
  <si>
    <t>0,0039252</t>
  </si>
  <si>
    <t>0,0186916</t>
  </si>
  <si>
    <t>TXKM</t>
  </si>
  <si>
    <t>95467</t>
  </si>
  <si>
    <t>PEDRA DE MAO OU PEDRA RACHAO PARA ARRIMO/FUNDACAO (POSTO PEDREIRA/FORNECEDOR, SEM FRETE)</t>
  </si>
  <si>
    <t>1,1000000</t>
  </si>
  <si>
    <t>0,3000000</t>
  </si>
  <si>
    <t>PEDREIRO COM ENCARGOS COMPLEMENTARES</t>
  </si>
  <si>
    <t>6,0000000</t>
  </si>
  <si>
    <t>88316</t>
  </si>
  <si>
    <t>AJUDANTE DE CARPINTEIRO COM ENCARGOS COMPLEMENTARES</t>
  </si>
  <si>
    <t>337</t>
  </si>
  <si>
    <t>ARAME RECOZIDO 18 BWG, 1,25 MM (0,01 KG/M)</t>
  </si>
  <si>
    <t>0,0250000</t>
  </si>
  <si>
    <t>ESPACADOR / DISTANCIADOR CIRCULAR COM ENTRADA LATERAL, EM PLASTICO, PARA VERGALHAO *4,2 A 12,5* MM, COBRIMENTO 20 MM</t>
  </si>
  <si>
    <t>AJUDANTE DE ARMADOR COM ENCARGOS COMPLEMENTARES</t>
  </si>
  <si>
    <t>ARMADOR COM ENCARGOS COMPLEMENTARES</t>
  </si>
  <si>
    <t>39017</t>
  </si>
  <si>
    <t>0,0086000</t>
  </si>
  <si>
    <t>CORTE E DOBRA DE AÇO CA-50, DIÂMETRO DE 25,0 MM, UTILIZADO EM ESTRUTURAS DIVERSAS, EXCETO LAJES. AF_12/2015</t>
  </si>
  <si>
    <t>89451</t>
  </si>
  <si>
    <t>TUBO, PVC, SOLDÁVEL, DN 75MM, INSTALADO EM PRUMADA DE ÁGUA - FORNECIMENTO E INSTALAÇÃO. AF_12/2014</t>
  </si>
  <si>
    <t>TUBO PVC, SOLDAVEL, DN 75 MM, AGUA FRIA (NBR-5648)</t>
  </si>
  <si>
    <t>1,0610000</t>
  </si>
  <si>
    <t>LIXA D'AGUA EM FOLHA, GRAO 100</t>
  </si>
  <si>
    <t>0,0140000</t>
  </si>
  <si>
    <t>AUXILIAR DE ENCANADOR OU BOMBEIRO HIDRÁULICO COM ENCARGOS COMPLEMENTARES</t>
  </si>
  <si>
    <t>0,0420000</t>
  </si>
  <si>
    <t>ENCANADOR OU BOMBEIRO HIDRÁULICO COM ENCARGOS COMPLEMENTARES</t>
  </si>
  <si>
    <t>94965</t>
  </si>
  <si>
    <t>AREIA MEDIA - POSTO JAZIDA/FORNECEDOR (RETIRADO NA JAZIDA, SEM TRANSPORTE)</t>
  </si>
  <si>
    <t>CIMENTO PORTLAND COMPOSTO CP II-32</t>
  </si>
  <si>
    <t>362,6600000</t>
  </si>
  <si>
    <t>PEDRA BRITADA N. 1 (9,5 a 19 MM) POSTO PEDREIRA/FORNECEDOR, SEM FRETE</t>
  </si>
  <si>
    <t>0,5930000</t>
  </si>
  <si>
    <t>2,3100000</t>
  </si>
  <si>
    <t>OPERADOR DE BETONEIRA ESTACIONÁRIA/MISTURADOR COM ENCARGOS COMPLEMENTARES</t>
  </si>
  <si>
    <t>1,4600000</t>
  </si>
  <si>
    <t>0,7500000</t>
  </si>
  <si>
    <t>0,7100000</t>
  </si>
  <si>
    <t>SERRALHEIRO COM ENCARGOS COMPLEMENTARES</t>
  </si>
  <si>
    <t>mês</t>
  </si>
  <si>
    <t xml:space="preserve">  MINISTÉRIO DO DESENVOLVIMENTO REGIONAL - MDR</t>
  </si>
  <si>
    <t xml:space="preserve">                  COMPANHIA DE DESENVOLVIMENTO DOS VALES DO SÃO FRANCISCO E DO PARNAÍBA</t>
  </si>
  <si>
    <t>2ª SUPERINTENDÊNCIA REGIONAL - Bom Jesus da Lapa/Ba.</t>
  </si>
  <si>
    <t>GERÊNCIA REGIONAL DE INFRA-ESTRUTURA - 2ª GRD</t>
  </si>
  <si>
    <t>CPU-01</t>
  </si>
  <si>
    <t>CPU-02</t>
  </si>
  <si>
    <t>TRANSPORTE COMERCIAL COM CAMINHAO CARROCERIA 9 T, RODOVIA PAVIMENTADA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</si>
  <si>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</si>
  <si>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>0,0045000</t>
  </si>
  <si>
    <t>CPU-03</t>
  </si>
  <si>
    <t>SEM</t>
  </si>
  <si>
    <t>ADMINISTRAÇÃO LOCAL</t>
  </si>
  <si>
    <t>ENERGIA ELETRICA COMERCIAL, BAIXA TENSAO, RELATIVA AO CONSUMO DE ATE 100 KWH, INCLUINDO ICMS, PIS/PASEP E COFINS</t>
  </si>
  <si>
    <t>KW/H</t>
  </si>
  <si>
    <t>m³</t>
  </si>
  <si>
    <t>L</t>
  </si>
  <si>
    <t>MESTRE DE OBRAS COM ENCARGOS COMPLEMENTARES</t>
  </si>
  <si>
    <t>ENGENHEIRO CIVIL DE OBRA JUNIOR COM ENCARGOS COMPLEMENTARES</t>
  </si>
  <si>
    <t>Sub total (Mês):</t>
  </si>
  <si>
    <t>Total em porcentagem (%):</t>
  </si>
  <si>
    <t>VALOR UNITÁRIO DA PORCENTAGEM (POR MÊS):</t>
  </si>
  <si>
    <t>CPU-04</t>
  </si>
  <si>
    <t>LOCACAO DE CONTAINER 2,30 X 6,00 M, ALT. 2,50 M, COM 1 SANITARIO, PARA ESCRITORIO, COMPLETO, SEM DIVISORIAS INTERNAS</t>
  </si>
  <si>
    <t>MÊS</t>
  </si>
  <si>
    <t>Mês</t>
  </si>
  <si>
    <t>CPU-05</t>
  </si>
  <si>
    <t>0,0020000</t>
  </si>
  <si>
    <t>0,0010000</t>
  </si>
  <si>
    <t>ADMINISTRAÇÃO DA OBRA</t>
  </si>
  <si>
    <t>Placa de obra em chapa de aço galvanizada (3,00m x 2,00m).</t>
  </si>
  <si>
    <t>Transporte de equipamentos - Mobilização.</t>
  </si>
  <si>
    <t>Transporte de equipamentos - Desmobilização.</t>
  </si>
  <si>
    <t>Administração local e Manutenção do Canteiro</t>
  </si>
  <si>
    <t>Locação de container 2,30 x 6,00m, altura=2,50m, com um sanitário, para escritório, completo, sem divisórias internas.</t>
  </si>
  <si>
    <t>5.1</t>
  </si>
  <si>
    <t>5.2</t>
  </si>
  <si>
    <t>5.3</t>
  </si>
  <si>
    <t>5.4</t>
  </si>
  <si>
    <t>3</t>
  </si>
  <si>
    <t>4</t>
  </si>
  <si>
    <t>5</t>
  </si>
  <si>
    <t>TOTAL DO ITEM 5</t>
  </si>
  <si>
    <t>TOTAL DO ITEM 4</t>
  </si>
  <si>
    <t>TOTAL DO ITEM 2</t>
  </si>
  <si>
    <t>TOTAL DO ITEM 1</t>
  </si>
  <si>
    <t>1</t>
  </si>
  <si>
    <t>2</t>
  </si>
  <si>
    <t>ITEM</t>
  </si>
  <si>
    <t xml:space="preserve">             MINISTÉRIO DO DESENVOLVIMENTO REGIONAL - MDR</t>
  </si>
  <si>
    <t xml:space="preserve">                                   COMPANHIA DE DESENVOLVIMENTO DOS VALES DO SÃO FRANCISCO E DO PARNAÍBA</t>
  </si>
  <si>
    <t xml:space="preserve">                      2ª SUPERINTENDÊNCIA REGIONAL - Bom Jesus da Lapa/Ba.</t>
  </si>
  <si>
    <t xml:space="preserve">              GERÊNCIA REGIONAL DE INFRA-ESTRUTURA - 2ª GRD</t>
  </si>
  <si>
    <r>
      <t>Escavação mecânica mat. 1ª categoria (base ou sub base) -</t>
    </r>
    <r>
      <rPr>
        <b/>
        <sz val="10"/>
        <rFont val="Arial"/>
        <family val="2"/>
      </rPr>
      <t xml:space="preserve"> Jazida.</t>
    </r>
  </si>
  <si>
    <t>CPU-09</t>
  </si>
  <si>
    <r>
      <t xml:space="preserve">Carga e descarga - </t>
    </r>
    <r>
      <rPr>
        <b/>
        <sz val="10"/>
        <rFont val="Arial"/>
        <family val="2"/>
      </rPr>
      <t>Material escavado na jazida.</t>
    </r>
  </si>
  <si>
    <t>74010/1</t>
  </si>
  <si>
    <t>CARGA E DESCARGA MECANICA DE SOLO UTILIZANDO CAMINHAO BASCULANTE 6,0M3/16T E PA CARREGADEIRA SOBRE PNEUS 128 HP, CAPACIDADE DA CAÇAMBA 1,7 A 2,8 M3, PESO OPERACIONAL 11632 KG</t>
  </si>
  <si>
    <t>0,0030000</t>
  </si>
  <si>
    <t>0,0080000</t>
  </si>
  <si>
    <r>
      <t xml:space="preserve">Transporte de material - </t>
    </r>
    <r>
      <rPr>
        <b/>
        <sz val="10"/>
        <rFont val="Arial"/>
        <family val="2"/>
      </rPr>
      <t>Material para aterro.</t>
    </r>
  </si>
  <si>
    <t>0,0058000</t>
  </si>
  <si>
    <t>0,0014500</t>
  </si>
  <si>
    <t>Execução e compactação de base e ou sub base com solo estabilizado granulometricamente - exclusive escavação, carga e transporte e solo.</t>
  </si>
  <si>
    <t>0,0064000</t>
  </si>
  <si>
    <t>0,0095000</t>
  </si>
  <si>
    <t>0,0027000</t>
  </si>
  <si>
    <t>0,0133000</t>
  </si>
  <si>
    <t>0,0077000</t>
  </si>
  <si>
    <t>0,0083000</t>
  </si>
  <si>
    <t>0,0074000</t>
  </si>
  <si>
    <t>0,0558000</t>
  </si>
  <si>
    <t>0,0150000</t>
  </si>
  <si>
    <t>4.4</t>
  </si>
  <si>
    <t>73859/2</t>
  </si>
  <si>
    <t>CAPINA E LIMPEZA MANUAL DE TERRENO</t>
  </si>
  <si>
    <t>0,0800000</t>
  </si>
  <si>
    <t>CPU-06</t>
  </si>
  <si>
    <t>Capina e limpeza manual de terreno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</si>
  <si>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</si>
  <si>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0,2840000</t>
  </si>
  <si>
    <t>0,1160000</t>
  </si>
  <si>
    <t>88309</t>
  </si>
  <si>
    <t>1,2840000</t>
  </si>
  <si>
    <t>0,9170000</t>
  </si>
  <si>
    <t>CPU-07</t>
  </si>
  <si>
    <t>Escavação mecanizada para bloco de coramento ou sapata em alvenaria de pedra argamassada, sem previsão de fôrma, com retroescavadeira.</t>
  </si>
  <si>
    <t>EMBASAMENTO C/PEDRA ARGAMASSADA UTILIZANDO ARG.CIM/AREIA 1:4</t>
  </si>
  <si>
    <t>DESMOLDANTE PROTETOR PARA FORMAS DE MADEIRA, DE BASE OLEOSA EMULSIONADA EM AGUA</t>
  </si>
  <si>
    <t>0,0170000</t>
  </si>
  <si>
    <t>PREGO DE ACO POLIDO COM CABECA DUPLA 17 X 27 (2 1/2 X 11)</t>
  </si>
  <si>
    <t>88239</t>
  </si>
  <si>
    <t>88262</t>
  </si>
  <si>
    <t>TABUA DE MADEIRA NAO APARELHADA *2,5 X 20* CM, CEDRINHO OU EQUIVALENTE DA REGIAO</t>
  </si>
  <si>
    <t>0,8390000</t>
  </si>
  <si>
    <t>0,0650000</t>
  </si>
  <si>
    <t>0,4960000</t>
  </si>
  <si>
    <t>2,7020000</t>
  </si>
  <si>
    <t>FABRICAÇÃO DE FÔRMA PARA LAJES, EM MADEIRA SERRADA, E=25 MM. AF_12/2015</t>
  </si>
  <si>
    <t>0,3660000</t>
  </si>
  <si>
    <t>1,0900000</t>
  </si>
  <si>
    <t>88238</t>
  </si>
  <si>
    <t>88245</t>
  </si>
  <si>
    <t>ARMAÇÃO DE LAJE DE UMA ESTRUTURA CONVENCIONAL DE CONCRETO ARMADO EM UMA EDIFICAÇÃO TÉRREA OU SOBRADO UTILIZANDO AÇO CA-50 DE 8,0 MM - MONTAGEM. AF_12/2015</t>
  </si>
  <si>
    <t>0,7280000</t>
  </si>
  <si>
    <t>0,0859000</t>
  </si>
  <si>
    <t>CORTE E DOBRA DE AÇO CA-50, DIÂMETRO DE 8,0 MM, UTILIZADO EM LAJE. AF_12/2015</t>
  </si>
  <si>
    <t>ARMAÇÃO DE LAJE DE UMA ESTRUTURA CONVENCIONAL DE CONCRETO ARMADO EM UMA EDIFICAÇÃO TÉRREA OU SOBRADO UTILIZANDO AÇO CA-50 DE 10,0 MM - MONTAGEM. AF_12/2015</t>
  </si>
  <si>
    <t>0,3570000</t>
  </si>
  <si>
    <t>0,0103000</t>
  </si>
  <si>
    <t>0,0629000</t>
  </si>
  <si>
    <t>CORTE E DOBRA DE AÇO CA-50, DIÂMETRO DE 10,0 MM, UTILIZADO EM LAJE. AF_12/2015</t>
  </si>
  <si>
    <t>ARMAÇÃO DE LAJE DE UMA ESTRUTURA CONVENCIONAL DE CONCRETO ARMADO EM UMA EDIFICAÇÃO TÉRREA OU SOBRADO UTILIZANDO AÇO CA-50 DE 12,5 MM - MONTAGEM. AF_12/2015</t>
  </si>
  <si>
    <t>0,1470000</t>
  </si>
  <si>
    <t>0,0073000</t>
  </si>
  <si>
    <t>0,0446000</t>
  </si>
  <si>
    <t>CORTE E DOBRA DE AÇO CA-50, DIÂMETRO DE 12,5 MM, UTILIZADO EM LAJE. AF_12/2015</t>
  </si>
  <si>
    <t>ARMAÇÃO DE PILAR OU VIGA DE UMA ESTRUTURA CONVENCIONAL DE CONCRETO ARMADO EM UMA EDIFICAÇÃO TÉRREA OU SOBRADO UTILIZANDO AÇO CA-50 DE 25,0 MM - MONTAGEM. AF_12/2015</t>
  </si>
  <si>
    <t>0,0183000</t>
  </si>
  <si>
    <t>0,7230000</t>
  </si>
  <si>
    <t>92874</t>
  </si>
  <si>
    <t>0,1990000</t>
  </si>
  <si>
    <t>1,1920000</t>
  </si>
  <si>
    <t>0,0680000</t>
  </si>
  <si>
    <t>0,1310000</t>
  </si>
  <si>
    <t>CHAPA DE ACO GROSSA, ASTM A36, E = 3/8 " (9,53 MM) 74,69 KG/M2</t>
  </si>
  <si>
    <t>0,8960000</t>
  </si>
  <si>
    <t>ELETRODO REVESTIDO AWS - E6013, DIAMETRO IGUAL A 2,50 MM</t>
  </si>
  <si>
    <t>PARAFUSO DE ACO TIPO CHUMBADOR PARABOLT, DIAMETRO 3/8", COMPRIMENTO 75 MM</t>
  </si>
  <si>
    <t>3,3330000</t>
  </si>
  <si>
    <t>TUBO ACO GALVANIZADO COM COSTURA, CLASSE LEVE, DN 40 MM ( 1 1/2"),  E = 3,00 MM,  *3,48* KG/M (NBR 5580)</t>
  </si>
  <si>
    <t>AUXILIAR DE SERRALHEIRO COM ENCARGOS COMPLEMENTARES</t>
  </si>
  <si>
    <t>4,5260000</t>
  </si>
  <si>
    <t>5,5100000</t>
  </si>
  <si>
    <t>CODEVASF</t>
  </si>
  <si>
    <t xml:space="preserve">GUARDA-CORPO DE AÇO GALVANIZADO DE 0,50M, MONTANTES TUBULARES DE 1.1/2" ESPAÇADOS DE 1,20M A 1,50M, TRAVESSAS HORIZONTAIS DE 1.1/2",FIXADO COM CHUMBADOR MECÂNICO. </t>
  </si>
  <si>
    <t>5.5</t>
  </si>
  <si>
    <t>73672</t>
  </si>
  <si>
    <t>DESMATAMENTO E LIMPEZA MECANIZADA DE TERRENO COM ARVORES ATE Ø 15CM, UTILIZANDO TRATOR DE ESTEIRAS</t>
  </si>
  <si>
    <t>0,0017000</t>
  </si>
  <si>
    <t>PLANILHA ORÇAMENTÁRIA - SEM DESONERAÇÃO</t>
  </si>
  <si>
    <t>MINISTÉRIO DO DESENVOLVIMENTO REGIONAL - MDR</t>
  </si>
  <si>
    <t xml:space="preserve">        2ª SUPERINTENDÊNCIA REGIONAL- Bom Jesus da Lapa/Ba.</t>
  </si>
  <si>
    <t>GERÊNCIA REGIONAL DE INFRAESTRUTURA - 2ª/GRD</t>
  </si>
  <si>
    <t>MEMÓRIA DE CÁLCULO</t>
  </si>
  <si>
    <t>=</t>
  </si>
  <si>
    <t>Placa da obra</t>
  </si>
  <si>
    <t>x</t>
  </si>
  <si>
    <t>CRONOGRAMA FÍSICO - FINANCEIRO</t>
  </si>
  <si>
    <t xml:space="preserve">ITEM </t>
  </si>
  <si>
    <t>DISCRIMINAÇÃO</t>
  </si>
  <si>
    <t>VALOR (R$)</t>
  </si>
  <si>
    <t>1º MÊS</t>
  </si>
  <si>
    <t>2º MÊS</t>
  </si>
  <si>
    <t>3º MÊS</t>
  </si>
  <si>
    <t>TOTAIS</t>
  </si>
  <si>
    <t>% DO ITEM</t>
  </si>
  <si>
    <t>TOTAL ACUMULADO</t>
  </si>
  <si>
    <t>% ACUMULADA</t>
  </si>
  <si>
    <t>TARIFA "A" ENTRE 0 E 20M3 FORNECIMENTO D'AGUA</t>
  </si>
  <si>
    <t>CPU-10</t>
  </si>
  <si>
    <t>CPU-11</t>
  </si>
  <si>
    <t>CPU-12</t>
  </si>
  <si>
    <t>CPU-13</t>
  </si>
  <si>
    <t>CPU-14</t>
  </si>
  <si>
    <t>CPU-15</t>
  </si>
  <si>
    <t>CPU-16</t>
  </si>
  <si>
    <t>CPU-17</t>
  </si>
  <si>
    <t>CPU-18</t>
  </si>
  <si>
    <r>
      <t>m</t>
    </r>
    <r>
      <rPr>
        <vertAlign val="superscript"/>
        <sz val="12"/>
        <rFont val="Arial"/>
        <family val="2"/>
      </rPr>
      <t>³</t>
    </r>
  </si>
  <si>
    <t>Lançamento com uso de bomba, adensamento e acabamento de concreto em estruturas</t>
  </si>
  <si>
    <t>CPU-19</t>
  </si>
  <si>
    <t>CPU-20</t>
  </si>
  <si>
    <t>Limpeza mecânizada de terreno</t>
  </si>
  <si>
    <t>CPU-21</t>
  </si>
  <si>
    <t>CPU-22</t>
  </si>
  <si>
    <t>CPU-23</t>
  </si>
  <si>
    <t>CPU-24</t>
  </si>
  <si>
    <t>5901 AS</t>
  </si>
  <si>
    <t>5903 AS</t>
  </si>
  <si>
    <t>73436 AS</t>
  </si>
  <si>
    <t>93244 AS</t>
  </si>
  <si>
    <t>96463 AS</t>
  </si>
  <si>
    <t>96464 AS</t>
  </si>
  <si>
    <t>TOTAL GERAL (R$)</t>
  </si>
  <si>
    <t>TOTAL DO ITEM 3</t>
  </si>
  <si>
    <t>3.4</t>
  </si>
  <si>
    <t>COMPANHIA DE DESENVOLVIMENTO DOS VALES DO SÃO FRANCISCO E DO PARNAÍBA</t>
  </si>
  <si>
    <t>MEMÓRIA DE CÁLCULO DOS MOMENTOS DE TRANSPORTE PARA MOBILIZAÇÃO E DESMOBILIZAÇÃO</t>
  </si>
  <si>
    <t>Cidade de Origem:</t>
  </si>
  <si>
    <t>Destino:</t>
  </si>
  <si>
    <t xml:space="preserve"> km</t>
  </si>
  <si>
    <t>Peso das máquinas:</t>
  </si>
  <si>
    <t>Trator de esteiras (média)</t>
  </si>
  <si>
    <t xml:space="preserve"> ton</t>
  </si>
  <si>
    <t>Pá carregadeira (média)</t>
  </si>
  <si>
    <t>Motoniveladora (média)</t>
  </si>
  <si>
    <t>Trator de pneus (média)</t>
  </si>
  <si>
    <t>Grade de disco (média)</t>
  </si>
  <si>
    <t>Total</t>
  </si>
  <si>
    <t>TxKm</t>
  </si>
  <si>
    <t>4.5</t>
  </si>
  <si>
    <t>4.6</t>
  </si>
  <si>
    <t>4.7</t>
  </si>
  <si>
    <t>4.8</t>
  </si>
  <si>
    <t>4.9</t>
  </si>
  <si>
    <t>4.10</t>
  </si>
  <si>
    <t>4.11</t>
  </si>
  <si>
    <t xml:space="preserve">Rolo Compactador Pneu (média) </t>
  </si>
  <si>
    <t xml:space="preserve">Rolo Compactador Pé de Carneiro (média) </t>
  </si>
  <si>
    <t>Retroescavadeira (média)</t>
  </si>
  <si>
    <t>Dist.  Origem-Destino:</t>
  </si>
  <si>
    <t>CPU</t>
  </si>
  <si>
    <t>PREÇO TOTAL (3 MESES)</t>
  </si>
  <si>
    <t>ARMAÇÃO DE PILAR OU VIGA DE UMA ESTRUTURA CONVENCIONAL DE CONCRETO ARMADO EM UMA EDIFICAÇÃO TÉRREA OU SOBRADO UTILIZANDO AÇO CA-50 DE 20,0 MM - MONTAGEM. AF_12/2015</t>
  </si>
  <si>
    <t>0,1130000</t>
  </si>
  <si>
    <t>0,0051000</t>
  </si>
  <si>
    <t>0,0312000</t>
  </si>
  <si>
    <t>92797</t>
  </si>
  <si>
    <t>CORTE E DOBRA DE AÇO CA-50, DIÂMETRO DE 20,0 MM, UTILIZADO EM ESTRUTURAS DIVERSAS, EXCETO LAJES. AF_12/2015</t>
  </si>
  <si>
    <t>Armação de estrutura convencional, utilizando aço CA-50 DE 20.0mm - montagem.</t>
  </si>
  <si>
    <t>Montagem e desmontagem de fôrma para laje maciça.</t>
  </si>
  <si>
    <t>92273</t>
  </si>
  <si>
    <t>0,0660000</t>
  </si>
  <si>
    <t>CPU-08</t>
  </si>
  <si>
    <t>ITEM 02</t>
  </si>
  <si>
    <t>Mês de Referência: SINAPI - Outubro/2019.</t>
  </si>
  <si>
    <t>COMPLEMENTAÇÃO DA OBRA – CONFORMAÇÃO DE CABECEIRAS</t>
  </si>
  <si>
    <t>CONCRETO MAGRO PARA LASTRO, TRAÇO 1:4,5:4,5 (CIMENTO/ AREIA MÉDIA/ BRITA 1)  - PREPARO MECÂNICO COM BETONEIRA 400 L.</t>
  </si>
  <si>
    <t xml:space="preserve">RETROESCAVADEIRA SOBRE RODAS COM CARREGADEIRA, TRAÇÃO 4X4, POTÊNCIA LÍQ. 88 HP, CAÇAMBA CARREG. CAP. MÍN. 1 M3, CAÇAMBA RETRO CAP. 0,26 M3, PESO OPERACIONAL MÍN. 6.674 KG, PROFUNDIDADE ESCAVAÇÃO MÁX. 4,37 M - CHI DIURNO. </t>
  </si>
  <si>
    <t xml:space="preserve">ARGAMASSA TRAÇO 1:4 (EM VOLUME DE CIMENTO E AREIA GROSSA ÚMIDA) PARA CHAPISCO CONVENCIONAL, PREPARO MECÂNICO COM BETONEIRA 400 L. </t>
  </si>
  <si>
    <t xml:space="preserve">FABRICAÇÃO DE ESCORAS DO TIPO PONTALETE, EM MADEIRA. </t>
  </si>
  <si>
    <t xml:space="preserve">MONTAGEM E DESMONTAGEM DE FÔRMA DE LAJE MACIÇA COM ÁREA MÉDIA MAIOR QUE 20 M², PÉ-DIREITO SIMPLES, EM MADEIRA SERRADA, 4 UTILIZAÇÕES. </t>
  </si>
  <si>
    <t xml:space="preserve">ESCAVAÇÃO MECANIZADA PARA BLOCO DE COROAMENTO OU SAPATA, SEM PREVISÃO DE FÔRMA, COM RETROESCAVADEIRA. </t>
  </si>
  <si>
    <t xml:space="preserve">CONCRETO FCK = 25MPA, TRAÇO 1:2,3:2,7 (CIMENTO/ AREIA MÉDIA/ BRITA 1)  - PREPARO MECÂNICO COM BETONEIRA 400 L. </t>
  </si>
  <si>
    <t xml:space="preserve">BETONEIRA CAPACIDADE NOMINAL DE 400 L, CAPACIDADE DE MISTURA 280 L, MOTOR ELÉTRICO TRIFÁSICO POTÊNCIA DE 2 CV, SEM CARREGADOR - CHP DIURNO. </t>
  </si>
  <si>
    <t xml:space="preserve">BETONEIRA CAPACIDADE NOMINAL DE 400 L, CAPACIDADE DE MISTURA 280 L, MOTOR ELÉTRICO TRIFÁSICO POTÊNCIA DE 2 CV, SEM CARREGADOR - CHI DIURNO. </t>
  </si>
  <si>
    <t xml:space="preserve">LANÇAMENTO COM USO DE BOMBA, ADENSAMENTO E ACABAMENTO DE CONCRETO EM ESTRUTURAS. </t>
  </si>
  <si>
    <t xml:space="preserve">VIBRADOR DE IMERSÃO, DIÂMETRO DE PONTEIRA 45MM, MOTOR ELÉTRICO TRIFÁSICO POTÊNCIA DE 2 CV - CHP DIURNO. </t>
  </si>
  <si>
    <t xml:space="preserve">VIBRADOR DE IMERSÃO, DIÂMETRO DE PONTEIRA 45MM, MOTOR ELÉTRICO TRIFÁSICO POTÊNCIA DE 2 CV - CHI DIURNO. </t>
  </si>
  <si>
    <t xml:space="preserve">TRATOR DE ESTEIRAS, POTÊNCIA 150 HP, PESO OPERACIONAL 16,7 T, COM RODA MOTRIZ ELEVADA E LÂMINA 3,18 M3 - CHP DIURNO. </t>
  </si>
  <si>
    <t xml:space="preserve">PÁ CARREGADEIRA SOBRE RODAS, POTÊNCIA 197 HP, CAPACIDADE DA CAÇAMBA 2,5 A 3,5 M3, PESO OPERACIONAL 18338 KG - CHP DIURNO. </t>
  </si>
  <si>
    <t xml:space="preserve">PÁ CARREGADEIRA SOBRE RODAS, POTÊNCIA 197 HP, CAPACIDADE DA CAÇAMBA 2,5 A 3,5 M3, PESO OPERACIONAL 18338 KG - CHI DIURNO. </t>
  </si>
  <si>
    <t xml:space="preserve">CAMINHÃO BASCULANTE 6 M3, PESO BRUTO TOTAL 16.000 KG, CARGA ÚTIL MÁXIMA 13.071 KG, DISTÂNCIA ENTRE EIXOS 4,80 M, POTÊNCIA 230 CV INCLUSIVE CAÇAMBA METÁLICA - CHP DIURNO. </t>
  </si>
  <si>
    <t xml:space="preserve">PÁ CARREGADEIRA SOBRE RODAS, POTÊNCIA LÍQUIDA 128 HP, CAPACIDADE DA CAÇAMBA 1,7 A 2,8 M3, PESO OPERACIONAL 11632 KG - CHP DIURNO. </t>
  </si>
  <si>
    <t xml:space="preserve">TRANSPORTE COM CAMINHÃO BASCULANTE DE 10 M3, EM VIA URBANA EM LEITO NATURAL (UNIDADE: TXKM). </t>
  </si>
  <si>
    <t xml:space="preserve">CAMINHÃO BASCULANTE 10 M3, TRUCADO CABINE SIMPLES, PESO BRUTO TOTAL 23.000 KG, CARGA ÚTIL MÁXIMA 15.935 KG, DISTÂNCIA ENTRE EIXOS 4,80 M, POTÊNCIA 230 CV INCLUSIVE CAÇAMBA METÁLICA - CHP DIURNO. </t>
  </si>
  <si>
    <t xml:space="preserve">CAMINHÃO BASCULANTE 10 M3, TRUCADO CABINE SIMPLES, PESO BRUTO TOTAL 23.000 KG, CARGA ÚTIL MÁXIMA 15.935 KG, DISTÂNCIA ENTRE EIXOS 4,80 M, POTÊNCIA 230 CV INCLUSIVE CAÇAMBA METÁLICA - CHI DIURNO. </t>
  </si>
  <si>
    <t xml:space="preserve">EXECUÇÃO E COMPACTAÇÃO DE BASE E OU SUB BASE COM SOLO ESTABILIZADO GRANULOMETRICAMENTE - EXCLUSIVE ESCAVAÇÃO, CARGA E TRANSPORTE E SOLO. </t>
  </si>
  <si>
    <t xml:space="preserve">CAMINHÃO PIPA 10.000 L TRUCADO, PESO BRUTO TOTAL 23.000 KG, CARGA ÚTIL MÁXIMA 15.935 KG, DISTÂNCIA ENTRE EIXOS 4,8 M, POTÊNCIA 230 CV, INCLUSIVE TANQUE DE AÇO PARA TRANSPORTE DE ÁGUA - CHP DIURNO. </t>
  </si>
  <si>
    <t xml:space="preserve">CAMINHÃO PIPA 10.000 L TRUCADO, PESO BRUTO TOTAL 23.000 KG, CARGA ÚTIL MÁXIMA 15.935 KG, DISTÂNCIA ENTRE EIXOS 4,8 M, POTÊNCIA 230 CV, INCLUSIVE TANQUE DE AÇO PARA TRANSPORTE DE ÁGUA - CHI DIURNO. </t>
  </si>
  <si>
    <t xml:space="preserve">GRADE DE DISCO REBOCÁVEL COM 20 DISCOS 24" X 6 MM COM PNEUS PARA TRANSPORTE - CHP DIURNO. </t>
  </si>
  <si>
    <t xml:space="preserve">GRADE DE DISCO REBOCÁVEL COM 20 DISCOS 24" X 6 MM COM PNEUS PARA TRANSPORTE - CHI DIURNO. </t>
  </si>
  <si>
    <t xml:space="preserve">MOTONIVELADORA POTÊNCIA BÁSICA LÍQUIDA (PRIMEIRA MARCHA) 125 HP, PESO BRUTO 13032 KG, LARGURA DA LÂMINA DE 3,7 M - CHP DIURNO. </t>
  </si>
  <si>
    <t>MOTONIVELADORA POTÊNCIA BÁSICA LÍQUIDA (PRIMEIRA MARCHA) 125 HP, PESO BRUTO 13032 KG, LARGURA DA LÂMINA DE 3,7 M - CHI DIURNO.</t>
  </si>
  <si>
    <t xml:space="preserve">ROLO COMPACTADOR VIBRATÓRIO PÉ DE CARNEIRO PARA SOLOS, POTÊNCIA 80 HP, PESO OPERACIONAL SEM/COM LASTRO 7,4 / 8,8 T, LARGURA DE TRABALHO 1,68 M - CHP DIURNO. </t>
  </si>
  <si>
    <t xml:space="preserve">TRATOR DE PNEUS, POTÊNCIA 85 CV, TRAÇÃO 4X4, PESO COM LASTRO DE 4.675 KG - CHP DIURNO. </t>
  </si>
  <si>
    <t xml:space="preserve">TRATOR DE PNEUS, POTÊNCIA 85 CV, TRAÇÃO 4X4, PESO COM LASTRO DE 4.675 KG - CHI DIURNO. </t>
  </si>
  <si>
    <t xml:space="preserve">ROLO COMPACTADOR VIBRATÓRIO PÉ DE CARNEIRO PARA SOLOS, POTÊNCIA 80 HP, PESO OPERACIONAL SEM/COM LASTRO 7,4 / 8,8 T, LARGURA DE TRABALHO 1,68 M - CHI DIURNO. </t>
  </si>
  <si>
    <t>ROLO COMPACTADOR DE PNEUS, ESTATICO, PRESSAO VARIAVEL, POTENCIA 110 HP, PESO SEM/COM LASTRO 10,8/27 T, LARGURA DE ROLAGEM 2,30 M - CHP DIURNO.</t>
  </si>
  <si>
    <t xml:space="preserve">ROLO COMPACTADOR DE PNEUS, ESTATICO, PRESSAO VARIAVEL, POTENCIA 110 HP, PESO SEM/COM LASTRO 10,8/27 T, LARGURA DE ROLAGEM 2,30 M - CHI DIURNO. </t>
  </si>
  <si>
    <t xml:space="preserve">                    GERÊNCIA REGIONAL DE INFRA-ESTRUTURA - 2ª/SR - Bom Jesus da Lapa/BA</t>
  </si>
  <si>
    <t xml:space="preserve">                 COMPANHIA DE DESENVOLVIMENTO DOS VALES DO SÃO FRANCISCO E DO PARNAÍBA</t>
  </si>
  <si>
    <t>Locação de container 2,30 x 6,00m, altura=2,50m</t>
  </si>
  <si>
    <t>Escavação manual para bloco de coramento ou sapata</t>
  </si>
  <si>
    <t>Ver projeto</t>
  </si>
  <si>
    <t>Embasamento c/ pedra argamassada</t>
  </si>
  <si>
    <t>Montagem e desmontagem de fôrma para pilares</t>
  </si>
  <si>
    <t>Montagem e desmontagem de fôrma para laje</t>
  </si>
  <si>
    <t>Montagem e desmontagem de fôrma para viga</t>
  </si>
  <si>
    <t>Armação de estrutura convencional, utilizando aço CA-50 DE 8.0mm</t>
  </si>
  <si>
    <t>Kg</t>
  </si>
  <si>
    <t>Armação de estrutura convencional, utilizando aço CA-50 DE 10.0mm</t>
  </si>
  <si>
    <t>Armação de estrutura convencional, utilizando aço CA-50 DE 12.5mm</t>
  </si>
  <si>
    <t>Armação de estrutura convencional, utilizando aço CA-50 DE 20.0mm</t>
  </si>
  <si>
    <t>Armação de estrutura convencional, utilizando aço CA-50 DE 25.0mm</t>
  </si>
  <si>
    <t>Concreto FCK = 25MPA</t>
  </si>
  <si>
    <t>Lançamento de concreto</t>
  </si>
  <si>
    <t>Escavação mecânica</t>
  </si>
  <si>
    <t>Carga e descarga</t>
  </si>
  <si>
    <t>Transporte de material</t>
  </si>
  <si>
    <t>Execução e compactação de base e ou sub base</t>
  </si>
  <si>
    <t>MONTAGEM E DESMONTAGEM DE FÔRMA DE PILARES RETANGULARES E ESTRUTURAS SIMILARES COM ÁREA MÉDIA DAS SEÇÕES MAIOR QUE 0,25 M², PÉ-DIREITO SIMPLES, EM MADEIRA SERRADA, 2 UTILIZAÇÕES. AF_12/2015</t>
  </si>
  <si>
    <t>0,0270000</t>
  </si>
  <si>
    <t>0,4890000</t>
  </si>
  <si>
    <t>2,6680000</t>
  </si>
  <si>
    <t>FABRICAÇÃO DE FÔRMA PARA PILARES E ESTRUTURAS SIMILARES, EM MADEIRA SERRADA, E=25 MM. AF_12/2015</t>
  </si>
  <si>
    <t>0,5300000</t>
  </si>
  <si>
    <t>Montagem e desmontagem de fôrma para alvenaria de pedra argamassada.</t>
  </si>
  <si>
    <t>Montagem e desmontagem de fôrma para laje viga.</t>
  </si>
  <si>
    <t>MONTAGEM E DESMONTAGEM DE FÔRMA DE VIGA, ESCORAMENTO COM PONTALETE DE MADEIRA, PÉ-DIREITO SIMPLES, EM MADEIRA SERRADA, 1 UTILIZAÇÃO. AF_12/2015</t>
  </si>
  <si>
    <t>2692</t>
  </si>
  <si>
    <t>6193</t>
  </si>
  <si>
    <t>0,9130000</t>
  </si>
  <si>
    <t>40304</t>
  </si>
  <si>
    <t>0,4550000</t>
  </si>
  <si>
    <t>2,4820000</t>
  </si>
  <si>
    <t>92270</t>
  </si>
  <si>
    <t>FABRICAÇÃO DE FÔRMA PARA VIGAS, COM MADEIRA SERRADA, E = 25 MM. AF_12/2015</t>
  </si>
  <si>
    <t>1,0200000</t>
  </si>
  <si>
    <t>FABRICAÇÃO DE ESCORAS DO TIPO PONTALETE, EM MADEIRA. AF_12/2015</t>
  </si>
  <si>
    <t>1,6800000</t>
  </si>
  <si>
    <t>Macaúbas/BA</t>
  </si>
  <si>
    <t>Comunidade de Campo A Fimde Campo, município de Boquira/BA</t>
  </si>
  <si>
    <t>SAAE</t>
  </si>
  <si>
    <t>OBJETO: CONSTRUÇÃO DE 01 (uma) PONTE, NO POVOADO DE CAMPOS A FIM DE CAMPOS, NO MUNICÍPIO DE BOQUIRA, NO ESTADO DA BAHIA.</t>
  </si>
</sst>
</file>

<file path=xl/styles.xml><?xml version="1.0" encoding="utf-8"?>
<styleSheet xmlns="http://schemas.openxmlformats.org/spreadsheetml/2006/main">
  <numFmts count="8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0.0000"/>
    <numFmt numFmtId="166" formatCode="_(* #,##0.000000_);_(* \(#,##0.000000\);_(* &quot;-&quot;??_);_(@_)"/>
    <numFmt numFmtId="167" formatCode="#,##0.0000000"/>
    <numFmt numFmtId="168" formatCode="_(* #,##0.00_);_(* \(#,##0.00\);_(* \-??_);_(@_)"/>
    <numFmt numFmtId="169" formatCode="_-* #,##0_-;\-* #,##0_-;_-* &quot;-&quot;??_-;_-@_-"/>
    <numFmt numFmtId="170" formatCode="_-* #,##0.0_-;\-* #,##0.0_-;_-* &quot;-&quot;??_-;_-@_-"/>
  </numFmts>
  <fonts count="35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MonoMM1_ZeroNormal"/>
    </font>
    <font>
      <vertAlign val="superscript"/>
      <sz val="12"/>
      <name val="Arial"/>
      <family val="2"/>
    </font>
    <font>
      <b/>
      <sz val="14"/>
      <name val="MonoMM1_ZeroNormal"/>
    </font>
    <font>
      <sz val="10"/>
      <name val="Arial"/>
      <family val="2"/>
    </font>
    <font>
      <b/>
      <sz val="11"/>
      <name val="Arial"/>
      <family val="2"/>
    </font>
    <font>
      <sz val="11"/>
      <color rgb="FF000000"/>
      <name val="Calibri"/>
      <family val="2"/>
    </font>
    <font>
      <b/>
      <sz val="11"/>
      <color rgb="FFFF0000"/>
      <name val="Arial"/>
      <family val="2"/>
    </font>
    <font>
      <b/>
      <sz val="10"/>
      <color indexed="8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sz val="10"/>
      <color indexed="8"/>
      <name val="Arial Narrow"/>
      <family val="2"/>
    </font>
    <font>
      <b/>
      <sz val="12"/>
      <color indexed="8"/>
      <name val="Arial Narrow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2"/>
      <color indexed="8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indexed="8"/>
      <name val="Arial Narrow"/>
      <family val="2"/>
    </font>
    <font>
      <b/>
      <sz val="18"/>
      <name val="Arial"/>
      <family val="2"/>
    </font>
    <font>
      <sz val="9"/>
      <name val="Verdana"/>
      <family val="2"/>
    </font>
    <font>
      <b/>
      <sz val="9"/>
      <name val="Verdana"/>
      <family val="2"/>
    </font>
    <font>
      <sz val="8"/>
      <name val="Arial"/>
      <family val="2"/>
    </font>
    <font>
      <sz val="10"/>
      <color rgb="FFFF0000"/>
      <name val="Arial Narrow"/>
      <family val="2"/>
    </font>
    <font>
      <b/>
      <sz val="11"/>
      <name val="Arial Narrow"/>
      <family val="2"/>
    </font>
    <font>
      <sz val="8"/>
      <color indexed="8"/>
      <name val="Courier"/>
      <family val="3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8"/>
      </patternFill>
    </fill>
    <fill>
      <patternFill patternType="solid">
        <fgColor rgb="FF92D050"/>
        <bgColor indexed="8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auto="1"/>
      </right>
      <top style="thick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</borders>
  <cellStyleXfs count="13">
    <xf numFmtId="0" fontId="0" fillId="0" borderId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44" fontId="10" fillId="0" borderId="0" applyFont="0" applyFill="0" applyBorder="0" applyAlignment="0" applyProtection="0"/>
    <xf numFmtId="0" fontId="12" fillId="0" borderId="0"/>
    <xf numFmtId="0" fontId="2" fillId="0" borderId="0"/>
    <xf numFmtId="164" fontId="2" fillId="0" borderId="0" applyFont="0" applyFill="0" applyBorder="0" applyAlignment="0" applyProtection="0"/>
    <xf numFmtId="9" fontId="20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13">
    <xf numFmtId="0" fontId="0" fillId="0" borderId="0" xfId="0"/>
    <xf numFmtId="0" fontId="0" fillId="0" borderId="11" xfId="0" applyBorder="1"/>
    <xf numFmtId="0" fontId="0" fillId="0" borderId="0" xfId="0" applyBorder="1"/>
    <xf numFmtId="0" fontId="0" fillId="0" borderId="11" xfId="0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0" xfId="4" applyFont="1"/>
    <xf numFmtId="0" fontId="6" fillId="0" borderId="1" xfId="4" applyFont="1" applyBorder="1"/>
    <xf numFmtId="0" fontId="5" fillId="2" borderId="1" xfId="0" applyFont="1" applyFill="1" applyBorder="1" applyAlignment="1">
      <alignment horizontal="left" vertical="center" wrapText="1"/>
    </xf>
    <xf numFmtId="0" fontId="2" fillId="2" borderId="1" xfId="6" applyNumberFormat="1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/>
    </xf>
    <xf numFmtId="4" fontId="2" fillId="0" borderId="3" xfId="4" applyNumberFormat="1" applyFont="1" applyBorder="1" applyAlignment="1">
      <alignment horizontal="right" vertical="center"/>
    </xf>
    <xf numFmtId="0" fontId="2" fillId="2" borderId="12" xfId="6" applyFont="1" applyFill="1" applyBorder="1" applyAlignment="1">
      <alignment vertical="center" wrapText="1"/>
    </xf>
    <xf numFmtId="0" fontId="5" fillId="3" borderId="1" xfId="4" applyFont="1" applyFill="1" applyBorder="1" applyAlignment="1">
      <alignment horizontal="center" vertical="center"/>
    </xf>
    <xf numFmtId="4" fontId="5" fillId="3" borderId="1" xfId="4" applyNumberFormat="1" applyFont="1" applyFill="1" applyBorder="1" applyAlignment="1">
      <alignment horizontal="center" vertical="center"/>
    </xf>
    <xf numFmtId="0" fontId="2" fillId="2" borderId="1" xfId="9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wrapText="1"/>
    </xf>
    <xf numFmtId="0" fontId="11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0" fillId="0" borderId="20" xfId="0" applyBorder="1"/>
    <xf numFmtId="0" fontId="3" fillId="0" borderId="11" xfId="0" applyFont="1" applyFill="1" applyBorder="1" applyAlignment="1">
      <alignment horizontal="right" vertical="center" wrapText="1"/>
    </xf>
    <xf numFmtId="0" fontId="2" fillId="0" borderId="20" xfId="0" applyFont="1" applyBorder="1" applyAlignment="1">
      <alignment vertical="center"/>
    </xf>
    <xf numFmtId="0" fontId="5" fillId="3" borderId="2" xfId="4" applyFont="1" applyFill="1" applyBorder="1" applyAlignment="1">
      <alignment horizontal="center" vertical="center"/>
    </xf>
    <xf numFmtId="4" fontId="5" fillId="3" borderId="3" xfId="4" applyNumberFormat="1" applyFont="1" applyFill="1" applyBorder="1" applyAlignment="1">
      <alignment horizontal="center" vertical="center"/>
    </xf>
    <xf numFmtId="49" fontId="5" fillId="0" borderId="2" xfId="4" applyNumberFormat="1" applyFont="1" applyBorder="1" applyAlignment="1">
      <alignment horizontal="center" vertical="center"/>
    </xf>
    <xf numFmtId="49" fontId="6" fillId="0" borderId="2" xfId="4" applyNumberFormat="1" applyFont="1" applyBorder="1" applyAlignment="1">
      <alignment horizontal="center" vertical="center"/>
    </xf>
    <xf numFmtId="4" fontId="5" fillId="4" borderId="3" xfId="4" applyNumberFormat="1" applyFont="1" applyFill="1" applyBorder="1" applyAlignment="1">
      <alignment horizontal="right" vertical="center"/>
    </xf>
    <xf numFmtId="0" fontId="15" fillId="0" borderId="0" xfId="0" applyFont="1"/>
    <xf numFmtId="0" fontId="15" fillId="0" borderId="0" xfId="0" applyFont="1" applyBorder="1"/>
    <xf numFmtId="0" fontId="14" fillId="8" borderId="1" xfId="8" applyFont="1" applyFill="1" applyBorder="1" applyAlignment="1">
      <alignment horizontal="center" vertical="center" wrapText="1"/>
    </xf>
    <xf numFmtId="0" fontId="14" fillId="8" borderId="1" xfId="8" applyFont="1" applyFill="1" applyBorder="1" applyAlignment="1">
      <alignment horizontal="left" vertical="center" wrapText="1"/>
    </xf>
    <xf numFmtId="165" fontId="14" fillId="8" borderId="1" xfId="7" applyNumberFormat="1" applyFont="1" applyFill="1" applyBorder="1" applyAlignment="1">
      <alignment horizontal="center" vertical="center" wrapText="1"/>
    </xf>
    <xf numFmtId="0" fontId="18" fillId="5" borderId="1" xfId="8" applyFont="1" applyFill="1" applyBorder="1" applyAlignment="1">
      <alignment horizontal="center" vertical="center" wrapText="1"/>
    </xf>
    <xf numFmtId="0" fontId="18" fillId="5" borderId="1" xfId="8" applyFont="1" applyFill="1" applyBorder="1" applyAlignment="1">
      <alignment horizontal="left" vertical="center" wrapText="1"/>
    </xf>
    <xf numFmtId="4" fontId="18" fillId="5" borderId="1" xfId="8" applyNumberFormat="1" applyFont="1" applyFill="1" applyBorder="1" applyAlignment="1">
      <alignment horizontal="center" vertical="center" wrapText="1"/>
    </xf>
    <xf numFmtId="167" fontId="18" fillId="5" borderId="1" xfId="8" applyNumberFormat="1" applyFont="1" applyFill="1" applyBorder="1" applyAlignment="1">
      <alignment horizontal="center" vertical="center" wrapText="1"/>
    </xf>
    <xf numFmtId="164" fontId="0" fillId="0" borderId="0" xfId="1" applyFont="1"/>
    <xf numFmtId="0" fontId="23" fillId="0" borderId="0" xfId="0" applyFont="1"/>
    <xf numFmtId="0" fontId="24" fillId="0" borderId="0" xfId="0" applyFont="1" applyBorder="1"/>
    <xf numFmtId="0" fontId="6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64" fontId="23" fillId="0" borderId="0" xfId="0" applyNumberFormat="1" applyFont="1"/>
    <xf numFmtId="10" fontId="26" fillId="4" borderId="1" xfId="11" applyNumberFormat="1" applyFont="1" applyFill="1" applyBorder="1" applyAlignment="1">
      <alignment horizontal="center" vertical="center"/>
    </xf>
    <xf numFmtId="10" fontId="23" fillId="0" borderId="0" xfId="0" applyNumberFormat="1" applyFont="1"/>
    <xf numFmtId="164" fontId="25" fillId="0" borderId="1" xfId="1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0" fontId="3" fillId="4" borderId="1" xfId="11" applyNumberFormat="1" applyFont="1" applyFill="1" applyBorder="1" applyAlignment="1">
      <alignment horizontal="center" vertical="center"/>
    </xf>
    <xf numFmtId="10" fontId="3" fillId="4" borderId="3" xfId="11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0" fontId="3" fillId="4" borderId="18" xfId="11" applyNumberFormat="1" applyFont="1" applyFill="1" applyBorder="1" applyAlignment="1">
      <alignment horizontal="center" vertical="center"/>
    </xf>
    <xf numFmtId="10" fontId="3" fillId="4" borderId="19" xfId="11" applyNumberFormat="1" applyFont="1" applyFill="1" applyBorder="1" applyAlignment="1">
      <alignment horizontal="center" vertical="center"/>
    </xf>
    <xf numFmtId="0" fontId="16" fillId="0" borderId="0" xfId="9" applyFont="1" applyBorder="1" applyAlignment="1">
      <alignment horizontal="right" vertical="center"/>
    </xf>
    <xf numFmtId="4" fontId="5" fillId="4" borderId="38" xfId="4" applyNumberFormat="1" applyFont="1" applyFill="1" applyBorder="1" applyAlignment="1">
      <alignment horizontal="right" vertical="center"/>
    </xf>
    <xf numFmtId="0" fontId="2" fillId="0" borderId="11" xfId="9" applyBorder="1"/>
    <xf numFmtId="0" fontId="2" fillId="0" borderId="20" xfId="9" applyBorder="1"/>
    <xf numFmtId="0" fontId="3" fillId="0" borderId="11" xfId="0" applyFont="1" applyBorder="1" applyAlignment="1">
      <alignment horizontal="left" vertical="top"/>
    </xf>
    <xf numFmtId="0" fontId="28" fillId="0" borderId="11" xfId="9" applyFont="1" applyBorder="1" applyAlignment="1">
      <alignment horizontal="center" vertical="center"/>
    </xf>
    <xf numFmtId="0" fontId="29" fillId="0" borderId="11" xfId="9" applyFont="1" applyBorder="1" applyAlignment="1">
      <alignment vertical="center"/>
    </xf>
    <xf numFmtId="0" fontId="2" fillId="0" borderId="20" xfId="9" applyBorder="1" applyAlignment="1">
      <alignment vertical="center"/>
    </xf>
    <xf numFmtId="0" fontId="29" fillId="0" borderId="1" xfId="9" applyFont="1" applyBorder="1" applyAlignment="1">
      <alignment vertical="center"/>
    </xf>
    <xf numFmtId="0" fontId="2" fillId="0" borderId="11" xfId="9" applyBorder="1" applyAlignment="1">
      <alignment vertical="center"/>
    </xf>
    <xf numFmtId="2" fontId="30" fillId="0" borderId="39" xfId="9" applyNumberFormat="1" applyFont="1" applyBorder="1" applyAlignment="1">
      <alignment horizontal="center" vertical="center"/>
    </xf>
    <xf numFmtId="4" fontId="3" fillId="0" borderId="20" xfId="9" applyNumberFormat="1" applyFont="1" applyBorder="1" applyAlignment="1">
      <alignment vertical="center"/>
    </xf>
    <xf numFmtId="0" fontId="2" fillId="0" borderId="40" xfId="9" applyBorder="1" applyAlignment="1">
      <alignment vertical="center"/>
    </xf>
    <xf numFmtId="0" fontId="2" fillId="0" borderId="41" xfId="9" applyBorder="1" applyAlignment="1">
      <alignment vertical="center"/>
    </xf>
    <xf numFmtId="0" fontId="2" fillId="0" borderId="42" xfId="9" applyBorder="1" applyAlignment="1">
      <alignment vertical="center"/>
    </xf>
    <xf numFmtId="0" fontId="2" fillId="0" borderId="43" xfId="9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/>
    </xf>
    <xf numFmtId="0" fontId="2" fillId="0" borderId="4" xfId="4" applyFont="1" applyBorder="1" applyAlignment="1">
      <alignment vertical="center"/>
    </xf>
    <xf numFmtId="2" fontId="30" fillId="2" borderId="1" xfId="9" applyNumberFormat="1" applyFont="1" applyFill="1" applyBorder="1" applyAlignment="1">
      <alignment vertical="center"/>
    </xf>
    <xf numFmtId="4" fontId="2" fillId="7" borderId="1" xfId="4" applyNumberFormat="1" applyFont="1" applyFill="1" applyBorder="1" applyAlignment="1">
      <alignment horizontal="right" vertical="center"/>
    </xf>
    <xf numFmtId="164" fontId="15" fillId="0" borderId="0" xfId="1" applyFont="1"/>
    <xf numFmtId="164" fontId="15" fillId="0" borderId="0" xfId="0" applyNumberFormat="1" applyFont="1"/>
    <xf numFmtId="4" fontId="18" fillId="9" borderId="1" xfId="8" applyNumberFormat="1" applyFont="1" applyFill="1" applyBorder="1" applyAlignment="1">
      <alignment horizontal="center" vertical="center" wrapText="1"/>
    </xf>
    <xf numFmtId="2" fontId="18" fillId="7" borderId="1" xfId="7" applyNumberFormat="1" applyFont="1" applyFill="1" applyBorder="1" applyAlignment="1">
      <alignment horizontal="center" vertical="center" wrapText="1"/>
    </xf>
    <xf numFmtId="0" fontId="32" fillId="5" borderId="1" xfId="8" applyFont="1" applyFill="1" applyBorder="1" applyAlignment="1">
      <alignment horizontal="center" vertical="center" wrapText="1"/>
    </xf>
    <xf numFmtId="164" fontId="3" fillId="7" borderId="42" xfId="12" applyFont="1" applyFill="1" applyBorder="1" applyAlignment="1">
      <alignment vertical="center"/>
    </xf>
    <xf numFmtId="164" fontId="11" fillId="0" borderId="6" xfId="1" applyFont="1" applyBorder="1" applyAlignment="1">
      <alignment vertical="center"/>
    </xf>
    <xf numFmtId="0" fontId="11" fillId="2" borderId="3" xfId="0" applyFont="1" applyFill="1" applyBorder="1" applyAlignment="1">
      <alignment vertical="center"/>
    </xf>
    <xf numFmtId="10" fontId="26" fillId="4" borderId="3" xfId="11" applyNumberFormat="1" applyFont="1" applyFill="1" applyBorder="1" applyAlignment="1">
      <alignment horizontal="center" vertical="center"/>
    </xf>
    <xf numFmtId="164" fontId="25" fillId="0" borderId="3" xfId="1" applyNumberFormat="1" applyFont="1" applyBorder="1" applyAlignment="1">
      <alignment horizontal="center" vertical="center"/>
    </xf>
    <xf numFmtId="10" fontId="26" fillId="4" borderId="18" xfId="11" applyNumberFormat="1" applyFont="1" applyFill="1" applyBorder="1" applyAlignment="1">
      <alignment horizontal="center" vertical="center"/>
    </xf>
    <xf numFmtId="10" fontId="26" fillId="4" borderId="27" xfId="11" applyNumberFormat="1" applyFont="1" applyFill="1" applyBorder="1" applyAlignment="1">
      <alignment horizontal="center" vertical="center"/>
    </xf>
    <xf numFmtId="10" fontId="26" fillId="4" borderId="50" xfId="11" applyNumberFormat="1" applyFont="1" applyFill="1" applyBorder="1" applyAlignment="1">
      <alignment horizontal="center" vertical="center"/>
    </xf>
    <xf numFmtId="168" fontId="12" fillId="0" borderId="51" xfId="1" applyNumberFormat="1" applyFont="1" applyBorder="1"/>
    <xf numFmtId="164" fontId="25" fillId="0" borderId="52" xfId="1" applyNumberFormat="1" applyFont="1" applyBorder="1" applyAlignment="1">
      <alignment horizontal="center" vertical="center"/>
    </xf>
    <xf numFmtId="164" fontId="25" fillId="0" borderId="49" xfId="1" applyNumberFormat="1" applyFont="1" applyBorder="1" applyAlignment="1">
      <alignment horizontal="center" vertical="center"/>
    </xf>
    <xf numFmtId="164" fontId="25" fillId="0" borderId="54" xfId="1" applyNumberFormat="1" applyFont="1" applyBorder="1" applyAlignment="1">
      <alignment horizontal="center" vertical="center"/>
    </xf>
    <xf numFmtId="164" fontId="25" fillId="0" borderId="53" xfId="1" applyNumberFormat="1" applyFont="1" applyBorder="1" applyAlignment="1">
      <alignment horizontal="center" vertical="center"/>
    </xf>
    <xf numFmtId="10" fontId="26" fillId="4" borderId="55" xfId="11" applyNumberFormat="1" applyFont="1" applyFill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0" borderId="0" xfId="3" applyFont="1" applyBorder="1" applyAlignment="1">
      <alignment horizontal="center" vertical="center"/>
    </xf>
    <xf numFmtId="164" fontId="2" fillId="7" borderId="1" xfId="3" applyFont="1" applyFill="1" applyBorder="1" applyAlignment="1">
      <alignment horizontal="center" vertical="center"/>
    </xf>
    <xf numFmtId="164" fontId="21" fillId="0" borderId="0" xfId="3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0" fillId="0" borderId="0" xfId="3" applyFont="1" applyBorder="1"/>
    <xf numFmtId="164" fontId="2" fillId="0" borderId="0" xfId="3" applyFont="1" applyBorder="1" applyAlignment="1">
      <alignment horizontal="center" vertical="center"/>
    </xf>
    <xf numFmtId="169" fontId="2" fillId="0" borderId="0" xfId="3" applyNumberFormat="1" applyFont="1" applyBorder="1" applyAlignment="1">
      <alignment vertical="center"/>
    </xf>
    <xf numFmtId="164" fontId="2" fillId="0" borderId="0" xfId="3" applyFont="1" applyBorder="1"/>
    <xf numFmtId="0" fontId="3" fillId="0" borderId="56" xfId="0" applyFont="1" applyBorder="1" applyAlignment="1">
      <alignment horizontal="center" vertical="center"/>
    </xf>
    <xf numFmtId="170" fontId="2" fillId="0" borderId="0" xfId="3" applyNumberFormat="1" applyFont="1" applyBorder="1" applyAlignment="1">
      <alignment vertical="center"/>
    </xf>
    <xf numFmtId="0" fontId="3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vertical="center"/>
    </xf>
    <xf numFmtId="0" fontId="2" fillId="0" borderId="41" xfId="0" applyFont="1" applyBorder="1" applyAlignment="1">
      <alignment horizontal="center" vertical="center"/>
    </xf>
    <xf numFmtId="164" fontId="0" fillId="0" borderId="41" xfId="3" applyFont="1" applyBorder="1" applyAlignment="1">
      <alignment horizontal="center" vertical="center"/>
    </xf>
    <xf numFmtId="164" fontId="2" fillId="0" borderId="41" xfId="3" applyFont="1" applyBorder="1" applyAlignment="1">
      <alignment horizontal="center" vertical="center"/>
    </xf>
    <xf numFmtId="169" fontId="2" fillId="0" borderId="41" xfId="3" applyNumberFormat="1" applyFont="1" applyBorder="1" applyAlignment="1">
      <alignment vertical="center"/>
    </xf>
    <xf numFmtId="0" fontId="0" fillId="0" borderId="41" xfId="0" applyBorder="1" applyAlignment="1">
      <alignment horizontal="center" vertical="center"/>
    </xf>
    <xf numFmtId="0" fontId="0" fillId="0" borderId="41" xfId="0" applyBorder="1"/>
    <xf numFmtId="0" fontId="0" fillId="0" borderId="43" xfId="0" applyBorder="1"/>
    <xf numFmtId="0" fontId="3" fillId="0" borderId="11" xfId="0" applyFont="1" applyBorder="1" applyAlignment="1">
      <alignment horizontal="center"/>
    </xf>
    <xf numFmtId="164" fontId="0" fillId="0" borderId="0" xfId="1" applyFont="1" applyBorder="1"/>
    <xf numFmtId="164" fontId="0" fillId="0" borderId="20" xfId="1" applyFont="1" applyBorder="1"/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4" fillId="8" borderId="2" xfId="8" applyFont="1" applyFill="1" applyBorder="1" applyAlignment="1">
      <alignment horizontal="center" vertical="center" wrapText="1"/>
    </xf>
    <xf numFmtId="165" fontId="14" fillId="8" borderId="3" xfId="7" applyNumberFormat="1" applyFont="1" applyFill="1" applyBorder="1" applyAlignment="1">
      <alignment horizontal="center" vertical="center" wrapText="1"/>
    </xf>
    <xf numFmtId="0" fontId="34" fillId="5" borderId="2" xfId="8" applyFont="1" applyFill="1" applyBorder="1" applyAlignment="1">
      <alignment horizontal="center" vertical="center" wrapText="1"/>
    </xf>
    <xf numFmtId="0" fontId="34" fillId="5" borderId="1" xfId="8" applyFont="1" applyFill="1" applyBorder="1" applyAlignment="1">
      <alignment horizontal="center" vertical="center" wrapText="1"/>
    </xf>
    <xf numFmtId="0" fontId="34" fillId="5" borderId="1" xfId="8" applyFont="1" applyFill="1" applyBorder="1" applyAlignment="1">
      <alignment horizontal="left" vertical="center" wrapText="1"/>
    </xf>
    <xf numFmtId="4" fontId="34" fillId="5" borderId="1" xfId="8" applyNumberFormat="1" applyFont="1" applyFill="1" applyBorder="1" applyAlignment="1">
      <alignment horizontal="center" vertical="center" wrapText="1"/>
    </xf>
    <xf numFmtId="2" fontId="18" fillId="5" borderId="3" xfId="7" applyNumberFormat="1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5" fillId="0" borderId="11" xfId="0" applyFont="1" applyBorder="1"/>
    <xf numFmtId="164" fontId="16" fillId="0" borderId="57" xfId="1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5" fillId="0" borderId="20" xfId="0" applyFont="1" applyBorder="1"/>
    <xf numFmtId="0" fontId="18" fillId="5" borderId="2" xfId="8" applyFont="1" applyFill="1" applyBorder="1" applyAlignment="1">
      <alignment horizontal="center" vertical="center" wrapText="1"/>
    </xf>
    <xf numFmtId="0" fontId="15" fillId="0" borderId="59" xfId="0" applyFont="1" applyBorder="1"/>
    <xf numFmtId="4" fontId="16" fillId="6" borderId="3" xfId="9" applyNumberFormat="1" applyFont="1" applyFill="1" applyBorder="1" applyAlignment="1">
      <alignment horizontal="right" vertical="center"/>
    </xf>
    <xf numFmtId="4" fontId="16" fillId="0" borderId="3" xfId="9" applyNumberFormat="1" applyFont="1" applyFill="1" applyBorder="1" applyAlignment="1">
      <alignment horizontal="right" vertical="center"/>
    </xf>
    <xf numFmtId="4" fontId="16" fillId="7" borderId="3" xfId="9" applyNumberFormat="1" applyFont="1" applyFill="1" applyBorder="1" applyAlignment="1">
      <alignment horizontal="right" vertical="center"/>
    </xf>
    <xf numFmtId="164" fontId="18" fillId="5" borderId="3" xfId="1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166" fontId="15" fillId="0" borderId="0" xfId="1" applyNumberFormat="1" applyFont="1" applyBorder="1" applyAlignment="1">
      <alignment horizontal="center" vertical="center"/>
    </xf>
    <xf numFmtId="164" fontId="15" fillId="0" borderId="20" xfId="1" applyFont="1" applyBorder="1" applyAlignment="1">
      <alignment horizontal="center" vertical="center"/>
    </xf>
    <xf numFmtId="0" fontId="15" fillId="0" borderId="40" xfId="0" applyFont="1" applyBorder="1"/>
    <xf numFmtId="0" fontId="15" fillId="0" borderId="41" xfId="0" applyFont="1" applyBorder="1"/>
    <xf numFmtId="4" fontId="16" fillId="7" borderId="19" xfId="9" applyNumberFormat="1" applyFont="1" applyFill="1" applyBorder="1" applyAlignment="1">
      <alignment horizontal="right" vertical="center"/>
    </xf>
    <xf numFmtId="0" fontId="2" fillId="2" borderId="12" xfId="6" applyFill="1" applyBorder="1" applyAlignment="1">
      <alignment vertical="center" wrapText="1"/>
    </xf>
    <xf numFmtId="0" fontId="2" fillId="2" borderId="1" xfId="9" applyFill="1" applyBorder="1" applyAlignment="1">
      <alignment horizontal="left" vertical="center" wrapText="1"/>
    </xf>
    <xf numFmtId="49" fontId="22" fillId="0" borderId="9" xfId="0" applyNumberFormat="1" applyFont="1" applyBorder="1" applyAlignment="1">
      <alignment vertical="top" wrapText="1"/>
    </xf>
    <xf numFmtId="49" fontId="22" fillId="0" borderId="11" xfId="0" applyNumberFormat="1" applyFont="1" applyBorder="1" applyAlignment="1">
      <alignment vertical="top" wrapText="1"/>
    </xf>
    <xf numFmtId="0" fontId="24" fillId="0" borderId="11" xfId="0" applyFont="1" applyBorder="1"/>
    <xf numFmtId="0" fontId="24" fillId="0" borderId="20" xfId="0" applyFont="1" applyBorder="1"/>
    <xf numFmtId="0" fontId="23" fillId="0" borderId="11" xfId="0" applyFont="1" applyBorder="1"/>
    <xf numFmtId="0" fontId="23" fillId="0" borderId="0" xfId="0" applyFont="1" applyBorder="1"/>
    <xf numFmtId="0" fontId="23" fillId="0" borderId="20" xfId="0" applyFont="1" applyBorder="1"/>
    <xf numFmtId="0" fontId="2" fillId="0" borderId="0" xfId="9" applyBorder="1"/>
    <xf numFmtId="4" fontId="2" fillId="0" borderId="0" xfId="9" applyNumberFormat="1" applyBorder="1"/>
    <xf numFmtId="0" fontId="2" fillId="0" borderId="0" xfId="9" applyBorder="1" applyAlignment="1">
      <alignment vertical="center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28" fillId="0" borderId="0" xfId="9" applyFont="1" applyBorder="1" applyAlignment="1">
      <alignment horizontal="center" vertical="center"/>
    </xf>
    <xf numFmtId="0" fontId="30" fillId="0" borderId="0" xfId="9" applyFont="1" applyBorder="1" applyAlignment="1">
      <alignment vertical="center"/>
    </xf>
    <xf numFmtId="2" fontId="29" fillId="0" borderId="0" xfId="9" applyNumberFormat="1" applyFont="1" applyBorder="1" applyAlignment="1">
      <alignment horizontal="left" vertical="center"/>
    </xf>
    <xf numFmtId="0" fontId="29" fillId="0" borderId="0" xfId="9" applyFont="1" applyBorder="1" applyAlignment="1">
      <alignment vertical="center"/>
    </xf>
    <xf numFmtId="0" fontId="2" fillId="0" borderId="0" xfId="9" applyFont="1" applyBorder="1" applyAlignment="1">
      <alignment vertical="center"/>
    </xf>
    <xf numFmtId="2" fontId="29" fillId="0" borderId="0" xfId="9" applyNumberFormat="1" applyFont="1" applyBorder="1" applyAlignment="1">
      <alignment vertical="center"/>
    </xf>
    <xf numFmtId="0" fontId="17" fillId="0" borderId="11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20" xfId="0" applyFont="1" applyBorder="1" applyAlignment="1">
      <alignment horizontal="center" vertical="top"/>
    </xf>
    <xf numFmtId="4" fontId="6" fillId="0" borderId="1" xfId="4" applyNumberFormat="1" applyFont="1" applyBorder="1" applyAlignment="1">
      <alignment horizontal="center" vertical="center"/>
    </xf>
    <xf numFmtId="4" fontId="6" fillId="0" borderId="3" xfId="4" applyNumberFormat="1" applyFont="1" applyBorder="1" applyAlignment="1">
      <alignment horizontal="center" vertical="center"/>
    </xf>
    <xf numFmtId="49" fontId="5" fillId="2" borderId="21" xfId="4" applyNumberFormat="1" applyFont="1" applyFill="1" applyBorder="1" applyAlignment="1">
      <alignment horizontal="center" vertical="center"/>
    </xf>
    <xf numFmtId="49" fontId="5" fillId="2" borderId="22" xfId="4" applyNumberFormat="1" applyFont="1" applyFill="1" applyBorder="1" applyAlignment="1">
      <alignment horizontal="center" vertical="center"/>
    </xf>
    <xf numFmtId="49" fontId="5" fillId="2" borderId="23" xfId="4" applyNumberFormat="1" applyFont="1" applyFill="1" applyBorder="1" applyAlignment="1">
      <alignment horizontal="center" vertical="center"/>
    </xf>
    <xf numFmtId="4" fontId="9" fillId="4" borderId="35" xfId="4" applyNumberFormat="1" applyFont="1" applyFill="1" applyBorder="1" applyAlignment="1">
      <alignment horizontal="center" vertical="center"/>
    </xf>
    <xf numFmtId="4" fontId="9" fillId="4" borderId="36" xfId="4" applyNumberFormat="1" applyFont="1" applyFill="1" applyBorder="1" applyAlignment="1">
      <alignment horizontal="center" vertical="center"/>
    </xf>
    <xf numFmtId="4" fontId="9" fillId="4" borderId="37" xfId="4" applyNumberFormat="1" applyFont="1" applyFill="1" applyBorder="1" applyAlignment="1">
      <alignment horizontal="center" vertical="center"/>
    </xf>
    <xf numFmtId="0" fontId="6" fillId="0" borderId="31" xfId="4" applyFont="1" applyBorder="1" applyAlignment="1">
      <alignment horizontal="center"/>
    </xf>
    <xf numFmtId="0" fontId="6" fillId="0" borderId="8" xfId="4" applyFont="1" applyBorder="1" applyAlignment="1">
      <alignment horizontal="center"/>
    </xf>
    <xf numFmtId="0" fontId="6" fillId="0" borderId="12" xfId="4" applyFont="1" applyBorder="1" applyAlignment="1">
      <alignment horizontal="center"/>
    </xf>
    <xf numFmtId="4" fontId="7" fillId="4" borderId="7" xfId="4" applyNumberFormat="1" applyFont="1" applyFill="1" applyBorder="1" applyAlignment="1">
      <alignment horizontal="center" vertical="center"/>
    </xf>
    <xf numFmtId="4" fontId="7" fillId="4" borderId="8" xfId="4" applyNumberFormat="1" applyFont="1" applyFill="1" applyBorder="1" applyAlignment="1">
      <alignment horizontal="center" vertical="center"/>
    </xf>
    <xf numFmtId="4" fontId="7" fillId="4" borderId="12" xfId="4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5" xfId="4" applyFont="1" applyBorder="1" applyAlignment="1">
      <alignment horizontal="center" vertical="center"/>
    </xf>
    <xf numFmtId="0" fontId="5" fillId="0" borderId="6" xfId="4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11" fillId="0" borderId="4" xfId="0" applyFont="1" applyBorder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16" fillId="0" borderId="7" xfId="9" applyFont="1" applyBorder="1" applyAlignment="1">
      <alignment horizontal="right" vertical="center"/>
    </xf>
    <xf numFmtId="0" fontId="16" fillId="0" borderId="8" xfId="9" applyFont="1" applyBorder="1" applyAlignment="1">
      <alignment horizontal="right" vertical="center"/>
    </xf>
    <xf numFmtId="0" fontId="16" fillId="0" borderId="12" xfId="9" applyFont="1" applyBorder="1" applyAlignment="1">
      <alignment horizontal="right" vertical="center"/>
    </xf>
    <xf numFmtId="0" fontId="16" fillId="0" borderId="7" xfId="9" applyFont="1" applyBorder="1" applyAlignment="1">
      <alignment horizontal="center" vertical="center" wrapText="1"/>
    </xf>
    <xf numFmtId="0" fontId="16" fillId="0" borderId="8" xfId="9" applyFont="1" applyBorder="1" applyAlignment="1">
      <alignment horizontal="center" vertical="center" wrapText="1"/>
    </xf>
    <xf numFmtId="0" fontId="16" fillId="0" borderId="12" xfId="9" applyFont="1" applyBorder="1" applyAlignment="1">
      <alignment horizontal="center" vertical="center" wrapText="1"/>
    </xf>
    <xf numFmtId="0" fontId="16" fillId="0" borderId="60" xfId="9" applyFont="1" applyBorder="1" applyAlignment="1">
      <alignment horizontal="right" vertical="center"/>
    </xf>
    <xf numFmtId="0" fontId="16" fillId="0" borderId="22" xfId="9" applyFont="1" applyBorder="1" applyAlignment="1">
      <alignment horizontal="right" vertical="center"/>
    </xf>
    <xf numFmtId="0" fontId="16" fillId="0" borderId="33" xfId="9" applyFont="1" applyBorder="1" applyAlignment="1">
      <alignment horizontal="right" vertical="center"/>
    </xf>
    <xf numFmtId="0" fontId="33" fillId="0" borderId="35" xfId="0" applyFont="1" applyBorder="1" applyAlignment="1">
      <alignment horizontal="center" vertical="center" wrapText="1"/>
    </xf>
    <xf numFmtId="0" fontId="33" fillId="0" borderId="36" xfId="0" applyFont="1" applyBorder="1" applyAlignment="1">
      <alignment horizontal="center" vertical="center" wrapText="1"/>
    </xf>
    <xf numFmtId="0" fontId="33" fillId="0" borderId="44" xfId="0" applyFont="1" applyBorder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top" wrapText="1"/>
    </xf>
    <xf numFmtId="49" fontId="19" fillId="0" borderId="10" xfId="0" applyNumberFormat="1" applyFont="1" applyBorder="1" applyAlignment="1">
      <alignment horizontal="center" vertical="top" wrapText="1"/>
    </xf>
    <xf numFmtId="49" fontId="19" fillId="0" borderId="24" xfId="0" applyNumberFormat="1" applyFont="1" applyBorder="1" applyAlignment="1">
      <alignment horizontal="center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9" fillId="0" borderId="20" xfId="0" applyNumberFormat="1" applyFont="1" applyBorder="1" applyAlignment="1">
      <alignment horizontal="center" vertical="top" wrapText="1"/>
    </xf>
    <xf numFmtId="0" fontId="17" fillId="0" borderId="11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20" xfId="0" applyFont="1" applyBorder="1" applyAlignment="1">
      <alignment horizontal="center" vertical="top"/>
    </xf>
    <xf numFmtId="0" fontId="17" fillId="0" borderId="11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6" fillId="0" borderId="13" xfId="0" applyFont="1" applyBorder="1" applyAlignment="1">
      <alignment horizontal="right" vertical="center"/>
    </xf>
    <xf numFmtId="0" fontId="16" fillId="0" borderId="14" xfId="0" applyFont="1" applyBorder="1" applyAlignment="1">
      <alignment horizontal="right" vertical="center"/>
    </xf>
    <xf numFmtId="0" fontId="16" fillId="0" borderId="15" xfId="0" applyFont="1" applyBorder="1" applyAlignment="1">
      <alignment horizontal="right" vertical="center"/>
    </xf>
    <xf numFmtId="0" fontId="16" fillId="0" borderId="1" xfId="0" applyFont="1" applyBorder="1" applyAlignment="1">
      <alignment horizontal="right" vertical="center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5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3" fillId="0" borderId="29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168" fontId="3" fillId="0" borderId="26" xfId="1" applyNumberFormat="1" applyFont="1" applyBorder="1" applyAlignment="1">
      <alignment horizontal="center" vertical="center"/>
    </xf>
    <xf numFmtId="168" fontId="3" fillId="0" borderId="32" xfId="1" applyNumberFormat="1" applyFont="1" applyBorder="1" applyAlignment="1">
      <alignment horizontal="center" vertical="center"/>
    </xf>
    <xf numFmtId="168" fontId="3" fillId="0" borderId="34" xfId="1" applyNumberFormat="1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49" fontId="3" fillId="0" borderId="47" xfId="0" applyNumberFormat="1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168" fontId="3" fillId="0" borderId="28" xfId="1" applyNumberFormat="1" applyFont="1" applyBorder="1" applyAlignment="1">
      <alignment horizontal="center" vertical="center"/>
    </xf>
    <xf numFmtId="168" fontId="3" fillId="0" borderId="27" xfId="1" applyNumberFormat="1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4" xfId="0" applyFont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49" fontId="3" fillId="0" borderId="45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24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vertical="top" wrapText="1"/>
    </xf>
    <xf numFmtId="49" fontId="5" fillId="0" borderId="20" xfId="0" applyNumberFormat="1" applyFont="1" applyBorder="1" applyAlignment="1">
      <alignment horizontal="center" vertical="top" wrapText="1"/>
    </xf>
    <xf numFmtId="0" fontId="11" fillId="0" borderId="35" xfId="9" applyFont="1" applyBorder="1" applyAlignment="1">
      <alignment horizontal="center" vertical="center" wrapText="1"/>
    </xf>
    <xf numFmtId="0" fontId="11" fillId="0" borderId="36" xfId="9" applyFont="1" applyBorder="1" applyAlignment="1">
      <alignment horizontal="center" vertical="center" wrapText="1"/>
    </xf>
    <xf numFmtId="0" fontId="11" fillId="0" borderId="44" xfId="9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164" fontId="0" fillId="7" borderId="28" xfId="0" applyNumberFormat="1" applyFill="1" applyBorder="1" applyAlignment="1">
      <alignment horizontal="center" vertical="center"/>
    </xf>
    <xf numFmtId="0" fontId="0" fillId="7" borderId="27" xfId="0" applyFill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2" fillId="0" borderId="28" xfId="0" applyFont="1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164" fontId="2" fillId="0" borderId="0" xfId="3" applyFont="1" applyBorder="1" applyAlignment="1">
      <alignment horizontal="right" vertical="center"/>
    </xf>
    <xf numFmtId="164" fontId="0" fillId="0" borderId="0" xfId="3" applyFont="1" applyBorder="1" applyAlignment="1">
      <alignment horizontal="right" vertical="center"/>
    </xf>
    <xf numFmtId="0" fontId="5" fillId="0" borderId="1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11" fillId="0" borderId="3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30" fillId="2" borderId="1" xfId="9" applyFont="1" applyFill="1" applyBorder="1" applyAlignment="1">
      <alignment horizontal="left" vertical="center"/>
    </xf>
    <xf numFmtId="0" fontId="30" fillId="0" borderId="11" xfId="9" applyFont="1" applyBorder="1" applyAlignment="1">
      <alignment horizontal="right" vertical="center"/>
    </xf>
    <xf numFmtId="0" fontId="30" fillId="0" borderId="0" xfId="9" applyFont="1" applyBorder="1" applyAlignment="1">
      <alignment horizontal="right" vertical="center"/>
    </xf>
    <xf numFmtId="0" fontId="29" fillId="0" borderId="0" xfId="9" applyFont="1" applyBorder="1" applyAlignment="1">
      <alignment horizontal="left" vertical="center"/>
    </xf>
    <xf numFmtId="0" fontId="30" fillId="2" borderId="1" xfId="9" applyFont="1" applyFill="1" applyBorder="1" applyAlignment="1">
      <alignment horizontal="left" vertical="center" wrapText="1"/>
    </xf>
    <xf numFmtId="0" fontId="5" fillId="0" borderId="11" xfId="9" applyFont="1" applyBorder="1" applyAlignment="1">
      <alignment horizontal="center" vertical="center" wrapText="1"/>
    </xf>
    <xf numFmtId="0" fontId="5" fillId="0" borderId="0" xfId="9" applyFont="1" applyBorder="1" applyAlignment="1">
      <alignment horizontal="center" vertical="center" wrapText="1"/>
    </xf>
    <xf numFmtId="0" fontId="5" fillId="0" borderId="20" xfId="9" applyFont="1" applyBorder="1" applyAlignment="1">
      <alignment horizontal="center" vertical="center" wrapText="1"/>
    </xf>
    <xf numFmtId="49" fontId="27" fillId="0" borderId="9" xfId="0" applyNumberFormat="1" applyFont="1" applyBorder="1" applyAlignment="1">
      <alignment horizontal="center" vertical="top" wrapText="1"/>
    </xf>
    <xf numFmtId="49" fontId="27" fillId="0" borderId="10" xfId="0" applyNumberFormat="1" applyFont="1" applyBorder="1" applyAlignment="1">
      <alignment horizontal="center" vertical="top" wrapText="1"/>
    </xf>
    <xf numFmtId="49" fontId="27" fillId="0" borderId="24" xfId="0" applyNumberFormat="1" applyFont="1" applyBorder="1" applyAlignment="1">
      <alignment horizontal="center" vertical="top" wrapText="1"/>
    </xf>
    <xf numFmtId="49" fontId="27" fillId="0" borderId="11" xfId="0" applyNumberFormat="1" applyFont="1" applyBorder="1" applyAlignment="1">
      <alignment horizontal="center" vertical="top" wrapText="1"/>
    </xf>
    <xf numFmtId="49" fontId="27" fillId="0" borderId="0" xfId="0" applyNumberFormat="1" applyFont="1" applyBorder="1" applyAlignment="1">
      <alignment horizontal="center" vertical="top" wrapText="1"/>
    </xf>
    <xf numFmtId="49" fontId="27" fillId="0" borderId="20" xfId="0" applyNumberFormat="1" applyFont="1" applyBorder="1" applyAlignment="1">
      <alignment horizontal="center" vertical="top" wrapText="1"/>
    </xf>
    <xf numFmtId="0" fontId="3" fillId="0" borderId="35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3" fillId="0" borderId="44" xfId="0" applyFont="1" applyBorder="1" applyAlignment="1">
      <alignment horizontal="left" vertical="center" wrapText="1"/>
    </xf>
  </cellXfs>
  <cellStyles count="13">
    <cellStyle name="Moeda" xfId="7" builtinId="4"/>
    <cellStyle name="Normal" xfId="0" builtinId="0"/>
    <cellStyle name="Normal 2" xfId="4"/>
    <cellStyle name="Normal 2 2 2" xfId="9"/>
    <cellStyle name="Normal 3" xfId="6"/>
    <cellStyle name="Normal_Pesquisa no referencial 10 de maio de 2013" xfId="8"/>
    <cellStyle name="Porcentagem" xfId="11" builtinId="5"/>
    <cellStyle name="Separador de milhares" xfId="1" builtinId="3"/>
    <cellStyle name="Separador de milhares 2" xfId="2"/>
    <cellStyle name="Separador de milhares 2 2" xfId="10"/>
    <cellStyle name="Separador de milhares 3" xfId="5"/>
    <cellStyle name="Vírgula 2" xfId="3"/>
    <cellStyle name="Vírgula 3" xfId="12"/>
  </cellStyles>
  <dxfs count="174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19050</xdr:rowOff>
    </xdr:from>
    <xdr:to>
      <xdr:col>3</xdr:col>
      <xdr:colOff>295275</xdr:colOff>
      <xdr:row>3</xdr:row>
      <xdr:rowOff>9525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19075" y="180975"/>
          <a:ext cx="18478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19052</xdr:colOff>
      <xdr:row>1</xdr:row>
      <xdr:rowOff>9525</xdr:rowOff>
    </xdr:from>
    <xdr:to>
      <xdr:col>2</xdr:col>
      <xdr:colOff>914400</xdr:colOff>
      <xdr:row>3</xdr:row>
      <xdr:rowOff>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2" y="171450"/>
          <a:ext cx="1504948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47626</xdr:colOff>
      <xdr:row>0</xdr:row>
      <xdr:rowOff>47625</xdr:rowOff>
    </xdr:from>
    <xdr:to>
      <xdr:col>2</xdr:col>
      <xdr:colOff>1457326</xdr:colOff>
      <xdr:row>3</xdr:row>
      <xdr:rowOff>76199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1" y="47625"/>
          <a:ext cx="1714500" cy="5143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9525</xdr:rowOff>
    </xdr:from>
    <xdr:to>
      <xdr:col>3</xdr:col>
      <xdr:colOff>504824</xdr:colOff>
      <xdr:row>3</xdr:row>
      <xdr:rowOff>127000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68275" y="136525"/>
          <a:ext cx="1966382" cy="5408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&#170;_GRD\LICITA&#199;&#213;ES%202019\REFORMA%20DO%20COMPLEXO%20PREDIAL%20DA%202&#170;SR\CD\Planilha%20Or&#231;ament&#225;ri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ilha"/>
      <sheetName val="CPU"/>
      <sheetName val="Cronograma"/>
    </sheetNames>
    <sheetDataSet>
      <sheetData sheetId="0">
        <row r="15">
          <cell r="A15" t="str">
            <v>1</v>
          </cell>
        </row>
        <row r="20">
          <cell r="A20" t="str">
            <v>2</v>
          </cell>
        </row>
        <row r="29">
          <cell r="A29" t="str">
            <v>3</v>
          </cell>
        </row>
        <row r="52">
          <cell r="A52" t="str">
            <v>4</v>
          </cell>
        </row>
        <row r="60">
          <cell r="A60" t="str">
            <v>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51"/>
  <sheetViews>
    <sheetView tabSelected="1" zoomScaleSheetLayoutView="93" workbookViewId="0">
      <selection activeCell="D12" sqref="D12"/>
    </sheetView>
  </sheetViews>
  <sheetFormatPr defaultRowHeight="12.75"/>
  <cols>
    <col min="1" max="1" width="1.5703125" customWidth="1"/>
    <col min="2" max="2" width="7.42578125" customWidth="1"/>
    <col min="3" max="3" width="9.85546875" bestFit="1" customWidth="1"/>
    <col min="4" max="4" width="82.140625" customWidth="1"/>
    <col min="5" max="5" width="6.7109375" bestFit="1" customWidth="1"/>
    <col min="6" max="6" width="9.42578125" bestFit="1" customWidth="1"/>
    <col min="7" max="7" width="12.28515625" bestFit="1" customWidth="1"/>
    <col min="8" max="8" width="13.140625" customWidth="1"/>
    <col min="10" max="10" width="14.85546875" bestFit="1" customWidth="1"/>
    <col min="11" max="11" width="9.28515625" bestFit="1" customWidth="1"/>
    <col min="12" max="12" width="14.140625" bestFit="1" customWidth="1"/>
    <col min="14" max="14" width="14.85546875" bestFit="1" customWidth="1"/>
  </cols>
  <sheetData>
    <row r="1" spans="2:8" ht="9.75" customHeight="1" thickBot="1"/>
    <row r="2" spans="2:8" ht="18" customHeight="1">
      <c r="B2" s="193" t="s">
        <v>159</v>
      </c>
      <c r="C2" s="194"/>
      <c r="D2" s="194"/>
      <c r="E2" s="194"/>
      <c r="F2" s="194"/>
      <c r="G2" s="194"/>
      <c r="H2" s="195"/>
    </row>
    <row r="3" spans="2:8" ht="18" customHeight="1">
      <c r="B3" s="190" t="s">
        <v>160</v>
      </c>
      <c r="C3" s="191"/>
      <c r="D3" s="191"/>
      <c r="E3" s="191"/>
      <c r="F3" s="191"/>
      <c r="G3" s="191"/>
      <c r="H3" s="192"/>
    </row>
    <row r="4" spans="2:8" ht="18" customHeight="1">
      <c r="B4" s="190" t="s">
        <v>161</v>
      </c>
      <c r="C4" s="191"/>
      <c r="D4" s="191"/>
      <c r="E4" s="191"/>
      <c r="F4" s="191"/>
      <c r="G4" s="191"/>
      <c r="H4" s="192"/>
    </row>
    <row r="5" spans="2:8" ht="18" customHeight="1" thickBot="1">
      <c r="B5" s="198" t="s">
        <v>162</v>
      </c>
      <c r="C5" s="199"/>
      <c r="D5" s="199"/>
      <c r="E5" s="199"/>
      <c r="F5" s="199"/>
      <c r="G5" s="199"/>
      <c r="H5" s="200"/>
    </row>
    <row r="6" spans="2:8" ht="7.5" customHeight="1" thickBot="1">
      <c r="B6" s="1"/>
      <c r="C6" s="2"/>
      <c r="D6" s="2"/>
      <c r="E6" s="2"/>
      <c r="F6" s="2"/>
      <c r="G6" s="2"/>
      <c r="H6" s="20"/>
    </row>
    <row r="7" spans="2:8" ht="32.25" customHeight="1" thickBot="1">
      <c r="B7" s="310" t="s">
        <v>415</v>
      </c>
      <c r="C7" s="311"/>
      <c r="D7" s="311"/>
      <c r="E7" s="311"/>
      <c r="F7" s="311"/>
      <c r="G7" s="311"/>
      <c r="H7" s="312"/>
    </row>
    <row r="8" spans="2:8" ht="8.25" customHeight="1" thickBot="1">
      <c r="B8" s="70"/>
      <c r="C8" s="71"/>
      <c r="D8" s="71"/>
      <c r="E8" s="71"/>
      <c r="F8" s="71"/>
      <c r="G8" s="71"/>
      <c r="H8" s="72"/>
    </row>
    <row r="9" spans="2:8" ht="20.25" customHeight="1">
      <c r="B9" s="21"/>
      <c r="C9" s="15"/>
      <c r="D9" s="18"/>
      <c r="E9" s="201" t="s">
        <v>35</v>
      </c>
      <c r="F9" s="202"/>
      <c r="G9" s="202"/>
      <c r="H9" s="83">
        <v>22.1</v>
      </c>
    </row>
    <row r="10" spans="2:8" ht="20.25" customHeight="1">
      <c r="B10" s="21"/>
      <c r="C10" s="16"/>
      <c r="D10" s="73" t="s">
        <v>335</v>
      </c>
      <c r="E10" s="203" t="s">
        <v>36</v>
      </c>
      <c r="F10" s="204"/>
      <c r="G10" s="204"/>
      <c r="H10" s="84">
        <v>116.85</v>
      </c>
    </row>
    <row r="11" spans="2:8" ht="15.75" thickBot="1">
      <c r="B11" s="21"/>
      <c r="C11" s="17"/>
      <c r="D11" s="19"/>
      <c r="E11" s="205" t="s">
        <v>336</v>
      </c>
      <c r="F11" s="206"/>
      <c r="G11" s="206"/>
      <c r="H11" s="207"/>
    </row>
    <row r="12" spans="2:8" ht="7.5" customHeight="1" thickBot="1">
      <c r="B12" s="3"/>
      <c r="C12" s="4"/>
      <c r="D12" s="4"/>
      <c r="E12" s="4"/>
      <c r="F12" s="4"/>
      <c r="G12" s="4"/>
      <c r="H12" s="22"/>
    </row>
    <row r="13" spans="2:8" s="5" customFormat="1" ht="21.95" customHeight="1">
      <c r="B13" s="74"/>
      <c r="C13" s="196" t="s">
        <v>250</v>
      </c>
      <c r="D13" s="196"/>
      <c r="E13" s="196"/>
      <c r="F13" s="196"/>
      <c r="G13" s="196"/>
      <c r="H13" s="197"/>
    </row>
    <row r="14" spans="2:8" s="5" customFormat="1" ht="21.95" customHeight="1">
      <c r="B14" s="23" t="s">
        <v>158</v>
      </c>
      <c r="C14" s="12" t="s">
        <v>322</v>
      </c>
      <c r="D14" s="12" t="s">
        <v>0</v>
      </c>
      <c r="E14" s="12" t="s">
        <v>1</v>
      </c>
      <c r="F14" s="13" t="s">
        <v>2</v>
      </c>
      <c r="G14" s="13" t="s">
        <v>3</v>
      </c>
      <c r="H14" s="24" t="s">
        <v>4</v>
      </c>
    </row>
    <row r="15" spans="2:8" s="5" customFormat="1" ht="21.95" customHeight="1">
      <c r="B15" s="25" t="s">
        <v>156</v>
      </c>
      <c r="C15" s="6"/>
      <c r="D15" s="7" t="s">
        <v>5</v>
      </c>
      <c r="E15" s="176"/>
      <c r="F15" s="176"/>
      <c r="G15" s="176"/>
      <c r="H15" s="177"/>
    </row>
    <row r="16" spans="2:8" s="5" customFormat="1" ht="20.100000000000001" customHeight="1">
      <c r="B16" s="26" t="s">
        <v>6</v>
      </c>
      <c r="C16" s="8" t="str">
        <f>CPUs!B15</f>
        <v>CPU-01</v>
      </c>
      <c r="D16" s="14" t="s">
        <v>140</v>
      </c>
      <c r="E16" s="9" t="s">
        <v>11</v>
      </c>
      <c r="F16" s="76">
        <f>'Memo calc '!M10</f>
        <v>6</v>
      </c>
      <c r="G16" s="76">
        <f>CPUs!H25</f>
        <v>374.77</v>
      </c>
      <c r="H16" s="10">
        <f t="shared" ref="H16:H17" si="0">ROUND(F16*G16,2)</f>
        <v>2248.62</v>
      </c>
    </row>
    <row r="17" spans="2:8" s="5" customFormat="1" ht="20.100000000000001" customHeight="1">
      <c r="B17" s="26" t="s">
        <v>8</v>
      </c>
      <c r="C17" s="8" t="str">
        <f>CPUs!B27</f>
        <v>CPU-02</v>
      </c>
      <c r="D17" s="14" t="s">
        <v>141</v>
      </c>
      <c r="E17" s="9" t="s">
        <v>7</v>
      </c>
      <c r="F17" s="76">
        <f>'Memo calc '!M12</f>
        <v>3842.72</v>
      </c>
      <c r="G17" s="76">
        <f>CPUs!H31</f>
        <v>0.67</v>
      </c>
      <c r="H17" s="10">
        <f t="shared" si="0"/>
        <v>2574.62</v>
      </c>
    </row>
    <row r="18" spans="2:8" s="5" customFormat="1" ht="20.100000000000001" customHeight="1">
      <c r="B18" s="26" t="s">
        <v>9</v>
      </c>
      <c r="C18" s="8" t="str">
        <f>CPUs!B27</f>
        <v>CPU-02</v>
      </c>
      <c r="D18" s="14" t="s">
        <v>142</v>
      </c>
      <c r="E18" s="9" t="str">
        <f>E17</f>
        <v>un</v>
      </c>
      <c r="F18" s="76">
        <f>'Memo calc '!M14</f>
        <v>3842.72</v>
      </c>
      <c r="G18" s="76">
        <f>CPUs!H31</f>
        <v>0.67</v>
      </c>
      <c r="H18" s="10">
        <f>ROUND(F18*G18,2)</f>
        <v>2574.62</v>
      </c>
    </row>
    <row r="19" spans="2:8" s="5" customFormat="1" ht="21.95" customHeight="1">
      <c r="B19" s="184"/>
      <c r="C19" s="185"/>
      <c r="D19" s="186"/>
      <c r="E19" s="187" t="s">
        <v>155</v>
      </c>
      <c r="F19" s="188"/>
      <c r="G19" s="189"/>
      <c r="H19" s="27">
        <f>SUM(H16:H18)</f>
        <v>7397.86</v>
      </c>
    </row>
    <row r="20" spans="2:8" s="5" customFormat="1" ht="21.95" customHeight="1">
      <c r="B20" s="25" t="s">
        <v>157</v>
      </c>
      <c r="C20" s="6"/>
      <c r="D20" s="7" t="s">
        <v>139</v>
      </c>
      <c r="E20" s="176"/>
      <c r="F20" s="176"/>
      <c r="G20" s="176"/>
      <c r="H20" s="177"/>
    </row>
    <row r="21" spans="2:8" s="5" customFormat="1" ht="20.100000000000001" customHeight="1">
      <c r="B21" s="26" t="s">
        <v>12</v>
      </c>
      <c r="C21" s="8" t="str">
        <f>CPUs!B33</f>
        <v>CPU-03</v>
      </c>
      <c r="D21" s="14" t="s">
        <v>143</v>
      </c>
      <c r="E21" s="9" t="s">
        <v>10</v>
      </c>
      <c r="F21" s="76">
        <f>'Memo calc '!M16</f>
        <v>100</v>
      </c>
      <c r="G21" s="76">
        <f>CPUs!H43</f>
        <v>270.14999999999998</v>
      </c>
      <c r="H21" s="10">
        <f t="shared" ref="H21:H22" si="1">ROUND(F21*G21,2)</f>
        <v>27015</v>
      </c>
    </row>
    <row r="22" spans="2:8" s="5" customFormat="1" ht="27" customHeight="1">
      <c r="B22" s="26" t="s">
        <v>14</v>
      </c>
      <c r="C22" s="8" t="str">
        <f>CPUs!B45</f>
        <v>CPU-04</v>
      </c>
      <c r="D22" s="14" t="s">
        <v>144</v>
      </c>
      <c r="E22" s="9" t="s">
        <v>110</v>
      </c>
      <c r="F22" s="76">
        <f>'Memo calc '!M18</f>
        <v>6</v>
      </c>
      <c r="G22" s="76">
        <f>CPUs!H49</f>
        <v>818.07</v>
      </c>
      <c r="H22" s="10">
        <f t="shared" si="1"/>
        <v>4908.42</v>
      </c>
    </row>
    <row r="23" spans="2:8" s="5" customFormat="1" ht="21.95" customHeight="1">
      <c r="B23" s="184"/>
      <c r="C23" s="185"/>
      <c r="D23" s="186"/>
      <c r="E23" s="187" t="s">
        <v>154</v>
      </c>
      <c r="F23" s="188"/>
      <c r="G23" s="189"/>
      <c r="H23" s="27">
        <f>SUM(H21:H22)</f>
        <v>31923.42</v>
      </c>
    </row>
    <row r="24" spans="2:8" s="5" customFormat="1" ht="21.95" customHeight="1">
      <c r="B24" s="25" t="s">
        <v>149</v>
      </c>
      <c r="C24" s="6"/>
      <c r="D24" s="7" t="s">
        <v>16</v>
      </c>
      <c r="E24" s="176"/>
      <c r="F24" s="176"/>
      <c r="G24" s="176"/>
      <c r="H24" s="177"/>
    </row>
    <row r="25" spans="2:8" s="5" customFormat="1" ht="20.100000000000001" customHeight="1">
      <c r="B25" s="26" t="s">
        <v>17</v>
      </c>
      <c r="C25" s="8" t="str">
        <f>CPUs!B51</f>
        <v>CPU-05</v>
      </c>
      <c r="D25" s="11" t="s">
        <v>188</v>
      </c>
      <c r="E25" s="9" t="s">
        <v>11</v>
      </c>
      <c r="F25" s="76">
        <f>'Memo calc '!M20</f>
        <v>120</v>
      </c>
      <c r="G25" s="76">
        <f>CPUs!H55</f>
        <v>1.6</v>
      </c>
      <c r="H25" s="10">
        <f>ROUND(F25*G25,2)</f>
        <v>192</v>
      </c>
    </row>
    <row r="26" spans="2:8" s="5" customFormat="1" ht="27" customHeight="1">
      <c r="B26" s="26" t="s">
        <v>18</v>
      </c>
      <c r="C26" s="8" t="str">
        <f>CPUs!B57</f>
        <v>CPU-06</v>
      </c>
      <c r="D26" s="11" t="s">
        <v>196</v>
      </c>
      <c r="E26" s="9" t="s">
        <v>13</v>
      </c>
      <c r="F26" s="76">
        <f>'Memo calc '!M22</f>
        <v>121</v>
      </c>
      <c r="G26" s="76">
        <f>CPUs!H64</f>
        <v>95.73</v>
      </c>
      <c r="H26" s="10">
        <f>ROUND(F26*G26,2)</f>
        <v>11583.33</v>
      </c>
    </row>
    <row r="27" spans="2:8" s="5" customFormat="1" ht="20.100000000000001" customHeight="1">
      <c r="B27" s="26" t="s">
        <v>19</v>
      </c>
      <c r="C27" s="8" t="str">
        <f>CPUs!B66</f>
        <v>CPU-07</v>
      </c>
      <c r="D27" s="11" t="s">
        <v>20</v>
      </c>
      <c r="E27" s="9" t="s">
        <v>13</v>
      </c>
      <c r="F27" s="76">
        <f>'Memo calc '!M24</f>
        <v>66</v>
      </c>
      <c r="G27" s="76">
        <f>CPUs!H73</f>
        <v>506.61</v>
      </c>
      <c r="H27" s="10">
        <f>ROUND(F27*G27,2)</f>
        <v>33436.26</v>
      </c>
    </row>
    <row r="28" spans="2:8" s="5" customFormat="1" ht="20.100000000000001" customHeight="1">
      <c r="B28" s="26" t="s">
        <v>296</v>
      </c>
      <c r="C28" s="8" t="str">
        <f>CPUs!B75</f>
        <v>CPU-08</v>
      </c>
      <c r="D28" s="152" t="s">
        <v>398</v>
      </c>
      <c r="E28" s="9" t="s">
        <v>11</v>
      </c>
      <c r="F28" s="76">
        <f>'Memo calc '!M26</f>
        <v>20</v>
      </c>
      <c r="G28" s="76">
        <f>CPUs!H83</f>
        <v>145.94999999999999</v>
      </c>
      <c r="H28" s="10">
        <f>ROUND(F28*G28,2)</f>
        <v>2919</v>
      </c>
    </row>
    <row r="29" spans="2:8" s="5" customFormat="1" ht="21.95" customHeight="1">
      <c r="B29" s="184"/>
      <c r="C29" s="185"/>
      <c r="D29" s="186"/>
      <c r="E29" s="187" t="s">
        <v>295</v>
      </c>
      <c r="F29" s="188"/>
      <c r="G29" s="189"/>
      <c r="H29" s="27">
        <f>SUM(H25:H28)</f>
        <v>48130.590000000004</v>
      </c>
    </row>
    <row r="30" spans="2:8" s="5" customFormat="1" ht="21.95" customHeight="1">
      <c r="B30" s="25" t="s">
        <v>150</v>
      </c>
      <c r="C30" s="6"/>
      <c r="D30" s="7" t="s">
        <v>21</v>
      </c>
      <c r="E30" s="176"/>
      <c r="F30" s="176"/>
      <c r="G30" s="176"/>
      <c r="H30" s="177"/>
    </row>
    <row r="31" spans="2:8" s="5" customFormat="1" ht="21.95" customHeight="1">
      <c r="B31" s="26" t="s">
        <v>22</v>
      </c>
      <c r="C31" s="8" t="str">
        <f>CPUs!B85</f>
        <v>CPU-09</v>
      </c>
      <c r="D31" s="14" t="s">
        <v>331</v>
      </c>
      <c r="E31" s="9" t="s">
        <v>11</v>
      </c>
      <c r="F31" s="76">
        <f>'Memo calc '!M28</f>
        <v>45</v>
      </c>
      <c r="G31" s="76">
        <f>CPUs!H95</f>
        <v>133.82</v>
      </c>
      <c r="H31" s="10">
        <f t="shared" ref="H31:H41" si="2">ROUND(F31*G31,2)</f>
        <v>6021.9</v>
      </c>
    </row>
    <row r="32" spans="2:8" s="5" customFormat="1" ht="20.100000000000001" customHeight="1">
      <c r="B32" s="26" t="s">
        <v>24</v>
      </c>
      <c r="C32" s="8" t="str">
        <f>CPUs!B97</f>
        <v>CPU-10</v>
      </c>
      <c r="D32" s="153" t="s">
        <v>399</v>
      </c>
      <c r="E32" s="9" t="s">
        <v>11</v>
      </c>
      <c r="F32" s="76">
        <f>'Memo calc '!N30</f>
        <v>69.400000000000006</v>
      </c>
      <c r="G32" s="76">
        <f>CPUs!H107</f>
        <v>200.41</v>
      </c>
      <c r="H32" s="10">
        <f t="shared" si="2"/>
        <v>13908.45</v>
      </c>
    </row>
    <row r="33" spans="2:8" s="5" customFormat="1" ht="20.100000000000001" customHeight="1">
      <c r="B33" s="26" t="s">
        <v>25</v>
      </c>
      <c r="C33" s="8" t="str">
        <f>CPUs!B109</f>
        <v>CPU-11</v>
      </c>
      <c r="D33" s="14" t="s">
        <v>26</v>
      </c>
      <c r="E33" s="9" t="s">
        <v>27</v>
      </c>
      <c r="F33" s="76">
        <f>'Memo calc '!M33</f>
        <v>277</v>
      </c>
      <c r="G33" s="76">
        <f>CPUs!H117</f>
        <v>10.26</v>
      </c>
      <c r="H33" s="10">
        <f t="shared" si="2"/>
        <v>2842.02</v>
      </c>
    </row>
    <row r="34" spans="2:8" s="5" customFormat="1" ht="20.100000000000001" customHeight="1">
      <c r="B34" s="26" t="s">
        <v>183</v>
      </c>
      <c r="C34" s="8" t="str">
        <f>CPUs!B119</f>
        <v>CPU-12</v>
      </c>
      <c r="D34" s="14" t="s">
        <v>28</v>
      </c>
      <c r="E34" s="9" t="s">
        <v>27</v>
      </c>
      <c r="F34" s="76">
        <f>'Memo calc '!M35</f>
        <v>567</v>
      </c>
      <c r="G34" s="76">
        <f>CPUs!H127</f>
        <v>8.24</v>
      </c>
      <c r="H34" s="10">
        <f t="shared" si="2"/>
        <v>4672.08</v>
      </c>
    </row>
    <row r="35" spans="2:8" s="5" customFormat="1" ht="20.100000000000001" customHeight="1">
      <c r="B35" s="26" t="s">
        <v>311</v>
      </c>
      <c r="C35" s="8" t="str">
        <f>CPUs!B129</f>
        <v>CPU-13</v>
      </c>
      <c r="D35" s="14" t="s">
        <v>29</v>
      </c>
      <c r="E35" s="9" t="s">
        <v>27</v>
      </c>
      <c r="F35" s="76">
        <f>'Memo calc '!M37</f>
        <v>880</v>
      </c>
      <c r="G35" s="76">
        <f>CPUs!H137</f>
        <v>7.23</v>
      </c>
      <c r="H35" s="10">
        <f t="shared" si="2"/>
        <v>6362.4</v>
      </c>
    </row>
    <row r="36" spans="2:8" s="5" customFormat="1" ht="20.100000000000001" customHeight="1">
      <c r="B36" s="26" t="s">
        <v>312</v>
      </c>
      <c r="C36" s="8" t="str">
        <f>CPUs!B139</f>
        <v>CPU-14</v>
      </c>
      <c r="D36" s="14" t="s">
        <v>330</v>
      </c>
      <c r="E36" s="9" t="s">
        <v>27</v>
      </c>
      <c r="F36" s="76">
        <f>'Memo calc '!M39</f>
        <v>119</v>
      </c>
      <c r="G36" s="76">
        <f>CPUs!H147</f>
        <v>6.47</v>
      </c>
      <c r="H36" s="10">
        <f t="shared" si="2"/>
        <v>769.93</v>
      </c>
    </row>
    <row r="37" spans="2:8" s="5" customFormat="1" ht="20.100000000000001" customHeight="1">
      <c r="B37" s="26" t="s">
        <v>313</v>
      </c>
      <c r="C37" s="8" t="str">
        <f>CPUs!B149</f>
        <v>CPU-15</v>
      </c>
      <c r="D37" s="14" t="s">
        <v>30</v>
      </c>
      <c r="E37" s="9" t="s">
        <v>27</v>
      </c>
      <c r="F37" s="76">
        <f>'Memo calc '!M41</f>
        <v>676</v>
      </c>
      <c r="G37" s="76">
        <f>CPUs!H156</f>
        <v>6.8</v>
      </c>
      <c r="H37" s="10">
        <f t="shared" si="2"/>
        <v>4596.8</v>
      </c>
    </row>
    <row r="38" spans="2:8" s="5" customFormat="1" ht="20.100000000000001" customHeight="1">
      <c r="B38" s="26" t="s">
        <v>314</v>
      </c>
      <c r="C38" s="8" t="str">
        <f>CPUs!B158</f>
        <v>CPU-16</v>
      </c>
      <c r="D38" s="14" t="s">
        <v>31</v>
      </c>
      <c r="E38" s="9" t="s">
        <v>23</v>
      </c>
      <c r="F38" s="76">
        <f>'Memo calc '!M43</f>
        <v>4.5</v>
      </c>
      <c r="G38" s="76">
        <f>CPUs!H165</f>
        <v>36</v>
      </c>
      <c r="H38" s="10">
        <f t="shared" si="2"/>
        <v>162</v>
      </c>
    </row>
    <row r="39" spans="2:8" s="5" customFormat="1" ht="25.5">
      <c r="B39" s="26" t="s">
        <v>315</v>
      </c>
      <c r="C39" s="8" t="str">
        <f>CPUs!B167</f>
        <v>CPU-17</v>
      </c>
      <c r="D39" s="14" t="s">
        <v>32</v>
      </c>
      <c r="E39" s="9" t="s">
        <v>279</v>
      </c>
      <c r="F39" s="76">
        <f>'Memo calc '!N45</f>
        <v>20.95</v>
      </c>
      <c r="G39" s="76">
        <f>CPUs!H177</f>
        <v>431.51</v>
      </c>
      <c r="H39" s="10">
        <f t="shared" si="2"/>
        <v>9040.1299999999992</v>
      </c>
    </row>
    <row r="40" spans="2:8" s="5" customFormat="1" ht="20.100000000000001" customHeight="1">
      <c r="B40" s="26" t="s">
        <v>316</v>
      </c>
      <c r="C40" s="8" t="str">
        <f>CPUs!B179</f>
        <v>CPU-18</v>
      </c>
      <c r="D40" s="14" t="s">
        <v>280</v>
      </c>
      <c r="E40" s="9" t="s">
        <v>279</v>
      </c>
      <c r="F40" s="76">
        <f>'Memo calc '!N48</f>
        <v>20.95</v>
      </c>
      <c r="G40" s="76">
        <f>CPUs!H187</f>
        <v>35.520000000000003</v>
      </c>
      <c r="H40" s="10">
        <f t="shared" si="2"/>
        <v>744.14</v>
      </c>
    </row>
    <row r="41" spans="2:8" s="5" customFormat="1" ht="20.100000000000001" customHeight="1">
      <c r="B41" s="26" t="s">
        <v>317</v>
      </c>
      <c r="C41" s="8" t="str">
        <f>CPUs!B189</f>
        <v>CPU-19</v>
      </c>
      <c r="D41" s="14" t="s">
        <v>33</v>
      </c>
      <c r="E41" s="9" t="s">
        <v>23</v>
      </c>
      <c r="F41" s="76">
        <f>'Memo calc '!M51</f>
        <v>22</v>
      </c>
      <c r="G41" s="76">
        <f>CPUs!H198</f>
        <v>387.96</v>
      </c>
      <c r="H41" s="10">
        <f t="shared" si="2"/>
        <v>8535.1200000000008</v>
      </c>
    </row>
    <row r="42" spans="2:8" s="5" customFormat="1" ht="21.95" customHeight="1">
      <c r="B42" s="184"/>
      <c r="C42" s="185"/>
      <c r="D42" s="186"/>
      <c r="E42" s="187" t="s">
        <v>153</v>
      </c>
      <c r="F42" s="188"/>
      <c r="G42" s="189"/>
      <c r="H42" s="27">
        <f>SUM(H31:H41)</f>
        <v>57654.97</v>
      </c>
    </row>
    <row r="43" spans="2:8" s="5" customFormat="1" ht="21.95" customHeight="1">
      <c r="B43" s="25" t="s">
        <v>151</v>
      </c>
      <c r="C43" s="6"/>
      <c r="D43" s="7" t="s">
        <v>337</v>
      </c>
      <c r="E43" s="176"/>
      <c r="F43" s="176"/>
      <c r="G43" s="176"/>
      <c r="H43" s="177"/>
    </row>
    <row r="44" spans="2:8" s="5" customFormat="1" ht="21.95" customHeight="1">
      <c r="B44" s="26" t="s">
        <v>145</v>
      </c>
      <c r="C44" s="8" t="str">
        <f>CPUs!B200</f>
        <v>CPU-20</v>
      </c>
      <c r="D44" s="14" t="s">
        <v>283</v>
      </c>
      <c r="E44" s="9" t="s">
        <v>279</v>
      </c>
      <c r="F44" s="76">
        <f>'Memo calc '!M53</f>
        <v>2500</v>
      </c>
      <c r="G44" s="76">
        <f>CPUs!H205</f>
        <v>0.43</v>
      </c>
      <c r="H44" s="10">
        <f>ROUND(F44*G44,2)</f>
        <v>1075</v>
      </c>
    </row>
    <row r="45" spans="2:8" s="5" customFormat="1" ht="21.95" customHeight="1">
      <c r="B45" s="26" t="s">
        <v>146</v>
      </c>
      <c r="C45" s="8" t="str">
        <f>CPUs!B207</f>
        <v>CPU-21</v>
      </c>
      <c r="D45" s="14" t="s">
        <v>163</v>
      </c>
      <c r="E45" s="9" t="s">
        <v>279</v>
      </c>
      <c r="F45" s="76">
        <f>'Memo calc '!M55</f>
        <v>330</v>
      </c>
      <c r="G45" s="76">
        <f>CPUs!H214</f>
        <v>3.52</v>
      </c>
      <c r="H45" s="10">
        <f>ROUND(F45*G45,2)</f>
        <v>1161.5999999999999</v>
      </c>
    </row>
    <row r="46" spans="2:8" s="5" customFormat="1" ht="21.95" customHeight="1">
      <c r="B46" s="26" t="s">
        <v>147</v>
      </c>
      <c r="C46" s="8" t="str">
        <f>CPUs!B216</f>
        <v>CPU-22</v>
      </c>
      <c r="D46" s="14" t="s">
        <v>165</v>
      </c>
      <c r="E46" s="9" t="s">
        <v>279</v>
      </c>
      <c r="F46" s="76">
        <f>'Memo calc '!M57</f>
        <v>360</v>
      </c>
      <c r="G46" s="76">
        <f>CPUs!H222</f>
        <v>1.92</v>
      </c>
      <c r="H46" s="10">
        <f>ROUND(F46*G46,2)</f>
        <v>691.2</v>
      </c>
    </row>
    <row r="47" spans="2:8" s="5" customFormat="1" ht="21.95" customHeight="1">
      <c r="B47" s="26" t="s">
        <v>148</v>
      </c>
      <c r="C47" s="8" t="str">
        <f>CPUs!B224</f>
        <v>CPU-23</v>
      </c>
      <c r="D47" s="14" t="s">
        <v>170</v>
      </c>
      <c r="E47" s="9" t="s">
        <v>15</v>
      </c>
      <c r="F47" s="76">
        <f>'Memo calc '!M59</f>
        <v>27000</v>
      </c>
      <c r="G47" s="76">
        <f>CPUs!H229</f>
        <v>1.18</v>
      </c>
      <c r="H47" s="10">
        <f>ROUND(F47*G47,2)</f>
        <v>31860</v>
      </c>
    </row>
    <row r="48" spans="2:8" s="5" customFormat="1" ht="27" customHeight="1">
      <c r="B48" s="26" t="s">
        <v>246</v>
      </c>
      <c r="C48" s="8" t="str">
        <f>CPUs!B231</f>
        <v>CPU-24</v>
      </c>
      <c r="D48" s="14" t="s">
        <v>173</v>
      </c>
      <c r="E48" s="9" t="s">
        <v>279</v>
      </c>
      <c r="F48" s="76">
        <f>'Memo calc '!M61</f>
        <v>300</v>
      </c>
      <c r="G48" s="76">
        <f>CPUs!H247</f>
        <v>9.65</v>
      </c>
      <c r="H48" s="10">
        <f>ROUND(F48*G48,2)</f>
        <v>2895</v>
      </c>
    </row>
    <row r="49" spans="2:11" s="5" customFormat="1" ht="21.95" customHeight="1">
      <c r="B49" s="184"/>
      <c r="C49" s="185"/>
      <c r="D49" s="186"/>
      <c r="E49" s="187" t="s">
        <v>152</v>
      </c>
      <c r="F49" s="188"/>
      <c r="G49" s="189"/>
      <c r="H49" s="27">
        <f>SUM(H44:H48)</f>
        <v>37682.800000000003</v>
      </c>
    </row>
    <row r="50" spans="2:11" s="5" customFormat="1" ht="9.75" customHeight="1" thickBot="1">
      <c r="B50" s="178"/>
      <c r="C50" s="179"/>
      <c r="D50" s="179"/>
      <c r="E50" s="179"/>
      <c r="F50" s="179"/>
      <c r="G50" s="179"/>
      <c r="H50" s="180"/>
    </row>
    <row r="51" spans="2:11" s="5" customFormat="1" ht="32.25" customHeight="1" thickBot="1">
      <c r="B51" s="181" t="s">
        <v>294</v>
      </c>
      <c r="C51" s="182"/>
      <c r="D51" s="182"/>
      <c r="E51" s="182"/>
      <c r="F51" s="182"/>
      <c r="G51" s="183"/>
      <c r="H51" s="55">
        <f>SUM(H19,H23,H29,H42,H49)</f>
        <v>182789.64</v>
      </c>
      <c r="J51" s="96"/>
      <c r="K51" s="96"/>
    </row>
  </sheetData>
  <mergeCells count="26">
    <mergeCell ref="B3:H3"/>
    <mergeCell ref="B2:H2"/>
    <mergeCell ref="B4:H4"/>
    <mergeCell ref="B7:H7"/>
    <mergeCell ref="C13:H13"/>
    <mergeCell ref="B5:H5"/>
    <mergeCell ref="E9:G9"/>
    <mergeCell ref="E10:G10"/>
    <mergeCell ref="E11:H11"/>
    <mergeCell ref="E15:H15"/>
    <mergeCell ref="E20:H20"/>
    <mergeCell ref="B19:D19"/>
    <mergeCell ref="E19:G19"/>
    <mergeCell ref="B23:D23"/>
    <mergeCell ref="E23:G23"/>
    <mergeCell ref="E24:H24"/>
    <mergeCell ref="E43:H43"/>
    <mergeCell ref="B50:H50"/>
    <mergeCell ref="B51:G51"/>
    <mergeCell ref="E30:H30"/>
    <mergeCell ref="B29:D29"/>
    <mergeCell ref="E29:G29"/>
    <mergeCell ref="B42:D42"/>
    <mergeCell ref="E42:G42"/>
    <mergeCell ref="B49:D49"/>
    <mergeCell ref="E49:G49"/>
  </mergeCells>
  <phoneticPr fontId="31" type="noConversion"/>
  <conditionalFormatting sqref="B50 B15:B18 B20:B22 B24:B28 B30:B41">
    <cfRule type="expression" dxfId="173" priority="285" stopIfTrue="1">
      <formula>RIGHT(B15,2)="00"</formula>
    </cfRule>
  </conditionalFormatting>
  <conditionalFormatting sqref="D15 D33:D41">
    <cfRule type="expression" dxfId="172" priority="284" stopIfTrue="1">
      <formula>OR(RIGHT($B15,2)="00",$B15="")</formula>
    </cfRule>
  </conditionalFormatting>
  <conditionalFormatting sqref="D15:D16 D20:D22 D24:D27 D30:D31 D33:D41">
    <cfRule type="expression" dxfId="171" priority="283" stopIfTrue="1">
      <formula>OR(RIGHT(#REF!,2)="00",#REF!="")</formula>
    </cfRule>
  </conditionalFormatting>
  <conditionalFormatting sqref="H16:H18 H25:H28 H30:H41">
    <cfRule type="expression" dxfId="170" priority="282" stopIfTrue="1">
      <formula>OR(RIGHT(#REF!,2)="00",LEFT($D16,5)="Total")</formula>
    </cfRule>
  </conditionalFormatting>
  <conditionalFormatting sqref="D26">
    <cfRule type="expression" dxfId="169" priority="281" stopIfTrue="1">
      <formula>OR(RIGHT(#REF!,2)="00",#REF!="")</formula>
    </cfRule>
  </conditionalFormatting>
  <conditionalFormatting sqref="D15 D24:D26 D30:D31">
    <cfRule type="expression" dxfId="168" priority="280" stopIfTrue="1">
      <formula>OR(RIGHT(#REF!,2)="00",#REF!="")</formula>
    </cfRule>
  </conditionalFormatting>
  <conditionalFormatting sqref="D27">
    <cfRule type="expression" dxfId="167" priority="278" stopIfTrue="1">
      <formula>OR(RIGHT(#REF!,2)="00",#REF!="")</formula>
    </cfRule>
  </conditionalFormatting>
  <conditionalFormatting sqref="D30:D31">
    <cfRule type="expression" dxfId="166" priority="276" stopIfTrue="1">
      <formula>OR(RIGHT($B30,2)="00",$B30="")</formula>
    </cfRule>
  </conditionalFormatting>
  <conditionalFormatting sqref="D27">
    <cfRule type="expression" dxfId="165" priority="275" stopIfTrue="1">
      <formula>OR(RIGHT($B17,2)="00",$B17="")</formula>
    </cfRule>
  </conditionalFormatting>
  <conditionalFormatting sqref="H26">
    <cfRule type="expression" dxfId="164" priority="273" stopIfTrue="1">
      <formula>OR(RIGHT(#REF!,2)="00",LEFT($D26,5)="Total")</formula>
    </cfRule>
  </conditionalFormatting>
  <conditionalFormatting sqref="C16:C18 C32:C41">
    <cfRule type="expression" dxfId="163" priority="261" stopIfTrue="1">
      <formula>RIGHT($B16,2)="00"</formula>
    </cfRule>
  </conditionalFormatting>
  <conditionalFormatting sqref="C27">
    <cfRule type="expression" dxfId="162" priority="252" stopIfTrue="1">
      <formula>RIGHT($B27,2)="00"</formula>
    </cfRule>
  </conditionalFormatting>
  <conditionalFormatting sqref="C27">
    <cfRule type="expression" dxfId="161" priority="251" stopIfTrue="1">
      <formula>RIGHT($B27,2)="00"</formula>
    </cfRule>
  </conditionalFormatting>
  <conditionalFormatting sqref="C25">
    <cfRule type="expression" dxfId="160" priority="240" stopIfTrue="1">
      <formula>RIGHT($B25,2)="00"</formula>
    </cfRule>
  </conditionalFormatting>
  <conditionalFormatting sqref="C25">
    <cfRule type="expression" dxfId="159" priority="239" stopIfTrue="1">
      <formula>RIGHT($B25,2)="00"</formula>
    </cfRule>
  </conditionalFormatting>
  <conditionalFormatting sqref="C26">
    <cfRule type="expression" dxfId="158" priority="238" stopIfTrue="1">
      <formula>RIGHT($B26,2)="00"</formula>
    </cfRule>
  </conditionalFormatting>
  <conditionalFormatting sqref="C26">
    <cfRule type="expression" dxfId="157" priority="237" stopIfTrue="1">
      <formula>RIGHT($B26,2)="00"</formula>
    </cfRule>
  </conditionalFormatting>
  <conditionalFormatting sqref="D25:D26">
    <cfRule type="expression" dxfId="156" priority="236" stopIfTrue="1">
      <formula>OR(RIGHT($B16,2)="00",$B16="")</formula>
    </cfRule>
  </conditionalFormatting>
  <conditionalFormatting sqref="D25:D26">
    <cfRule type="expression" dxfId="155" priority="235" stopIfTrue="1">
      <formula>OR(RIGHT($B15,2)="00",$B15="")</formula>
    </cfRule>
  </conditionalFormatting>
  <conditionalFormatting sqref="H25:H28">
    <cfRule type="expression" dxfId="154" priority="231" stopIfTrue="1">
      <formula>OR(RIGHT(#REF!,2)="00",LEFT($D25,5)="Total")</formula>
    </cfRule>
  </conditionalFormatting>
  <conditionalFormatting sqref="H16:H18 H32:H41">
    <cfRule type="expression" dxfId="153" priority="210" stopIfTrue="1">
      <formula>OR(RIGHT($B16,2)="00",LEFT($D16,5)="Total")</formula>
    </cfRule>
  </conditionalFormatting>
  <conditionalFormatting sqref="H25:H28">
    <cfRule type="expression" dxfId="152" priority="228" stopIfTrue="1">
      <formula>OR(RIGHT($B25,2)="00",LEFT($D25,5)="Total")</formula>
    </cfRule>
  </conditionalFormatting>
  <conditionalFormatting sqref="C26">
    <cfRule type="expression" dxfId="151" priority="187" stopIfTrue="1">
      <formula>RIGHT($B26,2)="00"</formula>
    </cfRule>
  </conditionalFormatting>
  <conditionalFormatting sqref="C26">
    <cfRule type="expression" dxfId="150" priority="186" stopIfTrue="1">
      <formula>RIGHT($B26,2)="00"</formula>
    </cfRule>
  </conditionalFormatting>
  <conditionalFormatting sqref="C26">
    <cfRule type="expression" dxfId="149" priority="185" stopIfTrue="1">
      <formula>RIGHT($B26,2)="00"</formula>
    </cfRule>
  </conditionalFormatting>
  <conditionalFormatting sqref="C27">
    <cfRule type="expression" dxfId="148" priority="184" stopIfTrue="1">
      <formula>RIGHT($B27,2)="00"</formula>
    </cfRule>
  </conditionalFormatting>
  <conditionalFormatting sqref="C27">
    <cfRule type="expression" dxfId="147" priority="183" stopIfTrue="1">
      <formula>RIGHT($B27,2)="00"</formula>
    </cfRule>
  </conditionalFormatting>
  <conditionalFormatting sqref="C25">
    <cfRule type="expression" dxfId="146" priority="190" stopIfTrue="1">
      <formula>RIGHT($B25,2)="00"</formula>
    </cfRule>
  </conditionalFormatting>
  <conditionalFormatting sqref="C25">
    <cfRule type="expression" dxfId="145" priority="189" stopIfTrue="1">
      <formula>RIGHT($B25,2)="00"</formula>
    </cfRule>
  </conditionalFormatting>
  <conditionalFormatting sqref="C25">
    <cfRule type="expression" dxfId="144" priority="188" stopIfTrue="1">
      <formula>RIGHT($B25,2)="00"</formula>
    </cfRule>
  </conditionalFormatting>
  <conditionalFormatting sqref="C27">
    <cfRule type="expression" dxfId="143" priority="182" stopIfTrue="1">
      <formula>RIGHT($B27,2)="00"</formula>
    </cfRule>
  </conditionalFormatting>
  <conditionalFormatting sqref="D20">
    <cfRule type="expression" dxfId="142" priority="139" stopIfTrue="1">
      <formula>OR(RIGHT($B20,2)="00",$B20="")</formula>
    </cfRule>
  </conditionalFormatting>
  <conditionalFormatting sqref="D16">
    <cfRule type="expression" dxfId="141" priority="107" stopIfTrue="1">
      <formula>OR(RIGHT($B16,2)="00",$B16="")</formula>
    </cfRule>
  </conditionalFormatting>
  <conditionalFormatting sqref="D17:D18">
    <cfRule type="expression" dxfId="140" priority="105" stopIfTrue="1">
      <formula>OR(RIGHT($B17,2)="00",$B17="")</formula>
    </cfRule>
  </conditionalFormatting>
  <conditionalFormatting sqref="D17:D18">
    <cfRule type="expression" dxfId="139" priority="104" stopIfTrue="1">
      <formula>OR(RIGHT($B17,2)="00",$B17="")</formula>
    </cfRule>
  </conditionalFormatting>
  <conditionalFormatting sqref="D16:D18">
    <cfRule type="expression" dxfId="138" priority="103" stopIfTrue="1">
      <formula>OR(RIGHT($B16,2)="00",$B16="")</formula>
    </cfRule>
  </conditionalFormatting>
  <conditionalFormatting sqref="H21:H22">
    <cfRule type="expression" dxfId="137" priority="94" stopIfTrue="1">
      <formula>OR(RIGHT(#REF!,2)="00",LEFT($D21,5)="Total")</formula>
    </cfRule>
  </conditionalFormatting>
  <conditionalFormatting sqref="C21:C22">
    <cfRule type="expression" dxfId="136" priority="93" stopIfTrue="1">
      <formula>RIGHT($B21,2)="00"</formula>
    </cfRule>
  </conditionalFormatting>
  <conditionalFormatting sqref="H21:H22">
    <cfRule type="expression" dxfId="135" priority="92" stopIfTrue="1">
      <formula>OR(RIGHT($B21,2)="00",LEFT($D21,5)="Total")</formula>
    </cfRule>
  </conditionalFormatting>
  <conditionalFormatting sqref="D21:D22">
    <cfRule type="expression" dxfId="134" priority="90" stopIfTrue="1">
      <formula>OR(RIGHT($B21,2)="00",$B21="")</formula>
    </cfRule>
  </conditionalFormatting>
  <conditionalFormatting sqref="D21:D22">
    <cfRule type="expression" dxfId="133" priority="88" stopIfTrue="1">
      <formula>OR(RIGHT($B21,2)="00",$B21="")</formula>
    </cfRule>
  </conditionalFormatting>
  <conditionalFormatting sqref="H21:H22">
    <cfRule type="expression" dxfId="132" priority="87" stopIfTrue="1">
      <formula>OR(RIGHT(#REF!,2)="00",LEFT($D21,5)="Total")</formula>
    </cfRule>
  </conditionalFormatting>
  <conditionalFormatting sqref="H21:H22">
    <cfRule type="expression" dxfId="131" priority="86" stopIfTrue="1">
      <formula>OR(RIGHT($B21,2)="00",LEFT($D21,5)="Total")</formula>
    </cfRule>
  </conditionalFormatting>
  <conditionalFormatting sqref="C28">
    <cfRule type="expression" dxfId="130" priority="49" stopIfTrue="1">
      <formula>RIGHT($B28,2)="00"</formula>
    </cfRule>
  </conditionalFormatting>
  <conditionalFormatting sqref="C28">
    <cfRule type="expression" dxfId="129" priority="48" stopIfTrue="1">
      <formula>RIGHT($B28,2)="00"</formula>
    </cfRule>
  </conditionalFormatting>
  <conditionalFormatting sqref="H28">
    <cfRule type="expression" dxfId="128" priority="47" stopIfTrue="1">
      <formula>OR(RIGHT($B28,2)="00",LEFT($D28,5)="Total")</formula>
    </cfRule>
  </conditionalFormatting>
  <conditionalFormatting sqref="C28">
    <cfRule type="expression" dxfId="127" priority="46" stopIfTrue="1">
      <formula>RIGHT($B28,2)="00"</formula>
    </cfRule>
  </conditionalFormatting>
  <conditionalFormatting sqref="C28">
    <cfRule type="expression" dxfId="126" priority="45" stopIfTrue="1">
      <formula>RIGHT($B28,2)="00"</formula>
    </cfRule>
  </conditionalFormatting>
  <conditionalFormatting sqref="C28">
    <cfRule type="expression" dxfId="125" priority="44" stopIfTrue="1">
      <formula>RIGHT($B28,2)="00"</formula>
    </cfRule>
  </conditionalFormatting>
  <conditionalFormatting sqref="C25">
    <cfRule type="expression" dxfId="124" priority="34" stopIfTrue="1">
      <formula>RIGHT($B25,2)="00"</formula>
    </cfRule>
  </conditionalFormatting>
  <conditionalFormatting sqref="H26 H44:H47">
    <cfRule type="expression" dxfId="123" priority="657" stopIfTrue="1">
      <formula>OR(RIGHT($B9,2)="00",LEFT($D26,5)="Total")</formula>
    </cfRule>
  </conditionalFormatting>
  <conditionalFormatting sqref="B43:B48">
    <cfRule type="expression" dxfId="122" priority="28" stopIfTrue="1">
      <formula>RIGHT(B43,2)="00"</formula>
    </cfRule>
  </conditionalFormatting>
  <conditionalFormatting sqref="D43:D48">
    <cfRule type="expression" dxfId="121" priority="27" stopIfTrue="1">
      <formula>OR(RIGHT($B43,2)="00",$B43="")</formula>
    </cfRule>
  </conditionalFormatting>
  <conditionalFormatting sqref="D45:D48 D43">
    <cfRule type="expression" dxfId="120" priority="26" stopIfTrue="1">
      <formula>OR(RIGHT(#REF!,2)="00",#REF!="")</formula>
    </cfRule>
  </conditionalFormatting>
  <conditionalFormatting sqref="H44:H48">
    <cfRule type="expression" dxfId="119" priority="25" stopIfTrue="1">
      <formula>OR(RIGHT(#REF!,2)="00",LEFT($D44,5)="Total")</formula>
    </cfRule>
  </conditionalFormatting>
  <conditionalFormatting sqref="D44">
    <cfRule type="expression" dxfId="118" priority="24" stopIfTrue="1">
      <formula>OR(RIGHT(#REF!,2)="00",#REF!="")</formula>
    </cfRule>
  </conditionalFormatting>
  <conditionalFormatting sqref="C44:C48">
    <cfRule type="expression" dxfId="117" priority="23" stopIfTrue="1">
      <formula>RIGHT($B44,2)="00"</formula>
    </cfRule>
  </conditionalFormatting>
  <conditionalFormatting sqref="H44:H48">
    <cfRule type="expression" dxfId="116" priority="22" stopIfTrue="1">
      <formula>OR(RIGHT($B44,2)="00",LEFT($D44,5)="Total")</formula>
    </cfRule>
  </conditionalFormatting>
  <conditionalFormatting sqref="H45:H47">
    <cfRule type="expression" dxfId="115" priority="29" stopIfTrue="1">
      <formula>OR(RIGHT($B33,2)="00",LEFT($D45,5)="Total")</formula>
    </cfRule>
  </conditionalFormatting>
  <conditionalFormatting sqref="D24">
    <cfRule type="expression" dxfId="114" priority="17" stopIfTrue="1">
      <formula>OR(RIGHT($B24,2)="00",$B24="")</formula>
    </cfRule>
  </conditionalFormatting>
  <conditionalFormatting sqref="D30:D31">
    <cfRule type="expression" dxfId="113" priority="16" stopIfTrue="1">
      <formula>OR(RIGHT($B30,2)="00",$B30="")</formula>
    </cfRule>
  </conditionalFormatting>
  <conditionalFormatting sqref="C31">
    <cfRule type="expression" dxfId="112" priority="15" stopIfTrue="1">
      <formula>RIGHT($B31,2)="00"</formula>
    </cfRule>
  </conditionalFormatting>
  <conditionalFormatting sqref="H31">
    <cfRule type="expression" dxfId="111" priority="14" stopIfTrue="1">
      <formula>OR(RIGHT($B31,2)="00",LEFT($D31,5)="Total")</formula>
    </cfRule>
  </conditionalFormatting>
  <conditionalFormatting sqref="H31">
    <cfRule type="expression" dxfId="110" priority="13" stopIfTrue="1">
      <formula>OR(RIGHT(#REF!,2)="00",LEFT($D31,5)="Total")</formula>
    </cfRule>
  </conditionalFormatting>
  <conditionalFormatting sqref="D31">
    <cfRule type="expression" dxfId="109" priority="12" stopIfTrue="1">
      <formula>OR(RIGHT($B31,2)="00",$B31="")</formula>
    </cfRule>
  </conditionalFormatting>
  <conditionalFormatting sqref="H31">
    <cfRule type="expression" dxfId="108" priority="11" stopIfTrue="1">
      <formula>OR(RIGHT($B31,2)="00",LEFT($D31,5)="Total")</formula>
    </cfRule>
  </conditionalFormatting>
  <conditionalFormatting sqref="H31">
    <cfRule type="expression" dxfId="107" priority="10" stopIfTrue="1">
      <formula>OR(RIGHT(#REF!,2)="00",LEFT($D31,5)="Total")</formula>
    </cfRule>
  </conditionalFormatting>
  <conditionalFormatting sqref="H48">
    <cfRule type="expression" dxfId="106" priority="724" stopIfTrue="1">
      <formula>OR(RIGHT($B37,2)="00",LEFT($D48,5)="Total")</formula>
    </cfRule>
  </conditionalFormatting>
  <conditionalFormatting sqref="H48">
    <cfRule type="expression" dxfId="105" priority="752" stopIfTrue="1">
      <formula>OR(RIGHT($B32,2)="00",LEFT($D48,5)="Total")</formula>
    </cfRule>
  </conditionalFormatting>
  <conditionalFormatting sqref="H44">
    <cfRule type="expression" dxfId="104" priority="753" stopIfTrue="1">
      <formula>OR(RIGHT(#REF!,2)="00",LEFT($D44,5)="Total")</formula>
    </cfRule>
  </conditionalFormatting>
  <conditionalFormatting sqref="H16:H18 H21:H22">
    <cfRule type="expression" dxfId="103" priority="756" stopIfTrue="1">
      <formula>OR(RIGHT($B1048558,2)="00",LEFT($D16,5)="Total")</formula>
    </cfRule>
  </conditionalFormatting>
  <conditionalFormatting sqref="D28">
    <cfRule type="expression" dxfId="102" priority="9" stopIfTrue="1">
      <formula>OR(RIGHT(#REF!,2)="00",#REF!="")</formula>
    </cfRule>
  </conditionalFormatting>
  <conditionalFormatting sqref="D28">
    <cfRule type="expression" dxfId="101" priority="8" stopIfTrue="1">
      <formula>OR(RIGHT(#REF!,2)="00",#REF!="")</formula>
    </cfRule>
  </conditionalFormatting>
  <conditionalFormatting sqref="D28">
    <cfRule type="expression" dxfId="100" priority="7" stopIfTrue="1">
      <formula>OR(RIGHT($C18,2)="00",$C18="")</formula>
    </cfRule>
  </conditionalFormatting>
  <conditionalFormatting sqref="D32">
    <cfRule type="expression" dxfId="99" priority="6" stopIfTrue="1">
      <formula>OR(RIGHT($C32,2)="00",$C32="")</formula>
    </cfRule>
  </conditionalFormatting>
  <conditionalFormatting sqref="D32">
    <cfRule type="expression" dxfId="98" priority="5" stopIfTrue="1">
      <formula>OR(RIGHT(#REF!,2)="00",#REF!="")</formula>
    </cfRule>
  </conditionalFormatting>
  <conditionalFormatting sqref="D32">
    <cfRule type="expression" dxfId="97" priority="4" stopIfTrue="1">
      <formula>OR(RIGHT(#REF!,2)="00",#REF!="")</formula>
    </cfRule>
  </conditionalFormatting>
  <conditionalFormatting sqref="D32">
    <cfRule type="expression" dxfId="96" priority="3" stopIfTrue="1">
      <formula>OR(RIGHT($C32,2)="00",$C32="")</formula>
    </cfRule>
  </conditionalFormatting>
  <conditionalFormatting sqref="D32">
    <cfRule type="expression" dxfId="95" priority="2" stopIfTrue="1">
      <formula>OR(RIGHT($C32,2)="00",$C32="")</formula>
    </cfRule>
  </conditionalFormatting>
  <conditionalFormatting sqref="D32">
    <cfRule type="expression" dxfId="94" priority="1" stopIfTrue="1">
      <formula>OR(RIGHT($C32,2)="00",$C32="")</formula>
    </cfRule>
  </conditionalFormatting>
  <printOptions horizontalCentered="1"/>
  <pageMargins left="0.31496062992125984" right="0.31496062992125984" top="0.78740157480314965" bottom="0.39370078740157483" header="0.31496062992125984" footer="0.31496062992125984"/>
  <pageSetup scale="58" orientation="portrait" r:id="rId1"/>
  <legacyDrawing r:id="rId2"/>
  <oleObjects>
    <oleObject progId="Figura do Microsoft Photo Editor 3.0" shapeId="18433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B1:L247"/>
  <sheetViews>
    <sheetView zoomScaleSheetLayoutView="100" workbookViewId="0">
      <selection activeCell="D16" sqref="D16"/>
    </sheetView>
  </sheetViews>
  <sheetFormatPr defaultRowHeight="12.75"/>
  <cols>
    <col min="1" max="1" width="2" style="28" customWidth="1"/>
    <col min="2" max="2" width="14" style="28" customWidth="1"/>
    <col min="3" max="3" width="9.5703125" style="28" bestFit="1" customWidth="1"/>
    <col min="4" max="4" width="57.5703125" style="28" customWidth="1"/>
    <col min="5" max="5" width="8" style="28" bestFit="1" customWidth="1"/>
    <col min="6" max="6" width="12.28515625" style="28" bestFit="1" customWidth="1"/>
    <col min="7" max="7" width="11.28515625" style="28" customWidth="1"/>
    <col min="8" max="8" width="16.7109375" style="28" customWidth="1"/>
    <col min="9" max="16384" width="9.140625" style="28"/>
  </cols>
  <sheetData>
    <row r="1" spans="2:8" ht="8.25" customHeight="1" thickBot="1"/>
    <row r="2" spans="2:8" ht="15.75">
      <c r="B2" s="220" t="s">
        <v>111</v>
      </c>
      <c r="C2" s="221"/>
      <c r="D2" s="221"/>
      <c r="E2" s="221"/>
      <c r="F2" s="221"/>
      <c r="G2" s="221"/>
      <c r="H2" s="222"/>
    </row>
    <row r="3" spans="2:8" ht="15.75">
      <c r="B3" s="223" t="s">
        <v>112</v>
      </c>
      <c r="C3" s="224"/>
      <c r="D3" s="224"/>
      <c r="E3" s="224"/>
      <c r="F3" s="224"/>
      <c r="G3" s="224"/>
      <c r="H3" s="225"/>
    </row>
    <row r="4" spans="2:8" ht="15.75">
      <c r="B4" s="223" t="s">
        <v>113</v>
      </c>
      <c r="C4" s="224"/>
      <c r="D4" s="224"/>
      <c r="E4" s="224"/>
      <c r="F4" s="224"/>
      <c r="G4" s="224"/>
      <c r="H4" s="225"/>
    </row>
    <row r="5" spans="2:8" ht="15.75">
      <c r="B5" s="226" t="s">
        <v>114</v>
      </c>
      <c r="C5" s="227"/>
      <c r="D5" s="227"/>
      <c r="E5" s="227"/>
      <c r="F5" s="227"/>
      <c r="G5" s="227"/>
      <c r="H5" s="228"/>
    </row>
    <row r="6" spans="2:8" ht="7.5" customHeight="1">
      <c r="B6" s="173"/>
      <c r="C6" s="174"/>
      <c r="D6" s="174"/>
      <c r="E6" s="174"/>
      <c r="F6" s="174"/>
      <c r="G6" s="174"/>
      <c r="H6" s="175"/>
    </row>
    <row r="7" spans="2:8" ht="15.75">
      <c r="B7" s="229" t="s">
        <v>34</v>
      </c>
      <c r="C7" s="230"/>
      <c r="D7" s="230"/>
      <c r="E7" s="230"/>
      <c r="F7" s="230"/>
      <c r="G7" s="230"/>
      <c r="H7" s="231"/>
    </row>
    <row r="8" spans="2:8" ht="9" customHeight="1" thickBot="1">
      <c r="B8" s="131"/>
      <c r="C8" s="132"/>
      <c r="D8" s="132"/>
      <c r="E8" s="132"/>
      <c r="F8" s="132"/>
      <c r="G8" s="132"/>
      <c r="H8" s="133"/>
    </row>
    <row r="9" spans="2:8" ht="36" customHeight="1" thickBot="1">
      <c r="B9" s="217" t="str">
        <f>Plan!B7</f>
        <v>OBJETO: CONSTRUÇÃO DE 01 (uma) PONTE, NO POVOADO DE CAMPOS A FIM DE CAMPOS, NO MUNICÍPIO DE BOQUIRA, NO ESTADO DA BAHIA.</v>
      </c>
      <c r="C9" s="218"/>
      <c r="D9" s="218"/>
      <c r="E9" s="218"/>
      <c r="F9" s="218"/>
      <c r="G9" s="218"/>
      <c r="H9" s="219"/>
    </row>
    <row r="10" spans="2:8" ht="13.5" thickBot="1">
      <c r="B10" s="131"/>
      <c r="C10" s="132"/>
      <c r="D10" s="132"/>
      <c r="E10" s="132"/>
      <c r="F10" s="132"/>
      <c r="G10" s="132"/>
      <c r="H10" s="133"/>
    </row>
    <row r="11" spans="2:8" ht="20.100000000000001" customHeight="1" thickTop="1">
      <c r="B11" s="134"/>
      <c r="C11" s="29"/>
      <c r="D11" s="29"/>
      <c r="E11" s="29"/>
      <c r="F11" s="232" t="s">
        <v>35</v>
      </c>
      <c r="G11" s="233"/>
      <c r="H11" s="135">
        <f>Plan!H9</f>
        <v>22.1</v>
      </c>
    </row>
    <row r="12" spans="2:8" ht="20.100000000000001" customHeight="1">
      <c r="B12" s="134"/>
      <c r="C12" s="29"/>
      <c r="D12" s="29"/>
      <c r="E12" s="29"/>
      <c r="F12" s="234" t="s">
        <v>36</v>
      </c>
      <c r="G12" s="235"/>
      <c r="H12" s="136">
        <f>Plan!H10</f>
        <v>116.85</v>
      </c>
    </row>
    <row r="13" spans="2:8" ht="20.100000000000001" customHeight="1" thickBot="1">
      <c r="B13" s="134"/>
      <c r="C13" s="29"/>
      <c r="D13" s="29"/>
      <c r="E13" s="29"/>
      <c r="F13" s="236" t="str">
        <f>Plan!E11</f>
        <v>Mês de Referência: SINAPI - Outubro/2019.</v>
      </c>
      <c r="G13" s="237"/>
      <c r="H13" s="238"/>
    </row>
    <row r="14" spans="2:8" ht="8.25" customHeight="1" thickTop="1">
      <c r="B14" s="134"/>
      <c r="C14" s="29"/>
      <c r="D14" s="29"/>
      <c r="E14" s="29"/>
      <c r="F14" s="29"/>
      <c r="G14" s="29"/>
      <c r="H14" s="137"/>
    </row>
    <row r="15" spans="2:8" ht="34.5" customHeight="1">
      <c r="B15" s="124" t="s">
        <v>115</v>
      </c>
      <c r="C15" s="30" t="s">
        <v>49</v>
      </c>
      <c r="D15" s="31" t="s">
        <v>50</v>
      </c>
      <c r="E15" s="30" t="s">
        <v>37</v>
      </c>
      <c r="F15" s="32" t="s">
        <v>38</v>
      </c>
      <c r="G15" s="32" t="s">
        <v>39</v>
      </c>
      <c r="H15" s="125" t="s">
        <v>40</v>
      </c>
    </row>
    <row r="16" spans="2:8" ht="27" customHeight="1">
      <c r="B16" s="138" t="s">
        <v>41</v>
      </c>
      <c r="C16" s="33">
        <v>4417</v>
      </c>
      <c r="D16" s="34" t="s">
        <v>51</v>
      </c>
      <c r="E16" s="33" t="s">
        <v>43</v>
      </c>
      <c r="F16" s="35" t="s">
        <v>52</v>
      </c>
      <c r="G16" s="80">
        <v>4.71</v>
      </c>
      <c r="H16" s="130">
        <f t="shared" ref="H16:H22" si="0">ROUND(F16*G16,2)</f>
        <v>4.71</v>
      </c>
    </row>
    <row r="17" spans="2:8" ht="27" customHeight="1">
      <c r="B17" s="138" t="s">
        <v>41</v>
      </c>
      <c r="C17" s="33">
        <v>4491</v>
      </c>
      <c r="D17" s="34" t="s">
        <v>42</v>
      </c>
      <c r="E17" s="33" t="s">
        <v>43</v>
      </c>
      <c r="F17" s="35" t="s">
        <v>53</v>
      </c>
      <c r="G17" s="80">
        <v>4.2699999999999996</v>
      </c>
      <c r="H17" s="130">
        <f t="shared" si="0"/>
        <v>17.079999999999998</v>
      </c>
    </row>
    <row r="18" spans="2:8" ht="27" customHeight="1">
      <c r="B18" s="138" t="s">
        <v>41</v>
      </c>
      <c r="C18" s="33">
        <v>4813</v>
      </c>
      <c r="D18" s="34" t="s">
        <v>54</v>
      </c>
      <c r="E18" s="33" t="s">
        <v>37</v>
      </c>
      <c r="F18" s="35" t="s">
        <v>52</v>
      </c>
      <c r="G18" s="80">
        <v>225</v>
      </c>
      <c r="H18" s="130">
        <f t="shared" si="0"/>
        <v>225</v>
      </c>
    </row>
    <row r="19" spans="2:8" ht="27" customHeight="1">
      <c r="B19" s="138" t="s">
        <v>41</v>
      </c>
      <c r="C19" s="33">
        <v>5075</v>
      </c>
      <c r="D19" s="34" t="s">
        <v>55</v>
      </c>
      <c r="E19" s="33" t="s">
        <v>56</v>
      </c>
      <c r="F19" s="35" t="s">
        <v>57</v>
      </c>
      <c r="G19" s="80">
        <v>10.199999999999999</v>
      </c>
      <c r="H19" s="130">
        <f t="shared" si="0"/>
        <v>1.1200000000000001</v>
      </c>
    </row>
    <row r="20" spans="2:8" ht="20.100000000000001" customHeight="1">
      <c r="B20" s="138" t="s">
        <v>45</v>
      </c>
      <c r="C20" s="33">
        <v>88262</v>
      </c>
      <c r="D20" s="34" t="s">
        <v>58</v>
      </c>
      <c r="E20" s="33" t="s">
        <v>59</v>
      </c>
      <c r="F20" s="35" t="s">
        <v>52</v>
      </c>
      <c r="G20" s="80">
        <v>23.4</v>
      </c>
      <c r="H20" s="130">
        <f t="shared" si="0"/>
        <v>23.4</v>
      </c>
    </row>
    <row r="21" spans="2:8" ht="20.100000000000001" customHeight="1">
      <c r="B21" s="138" t="s">
        <v>45</v>
      </c>
      <c r="C21" s="33">
        <v>88316</v>
      </c>
      <c r="D21" s="34" t="s">
        <v>60</v>
      </c>
      <c r="E21" s="33" t="s">
        <v>59</v>
      </c>
      <c r="F21" s="35" t="s">
        <v>61</v>
      </c>
      <c r="G21" s="80">
        <v>16.41</v>
      </c>
      <c r="H21" s="130">
        <f t="shared" si="0"/>
        <v>32.82</v>
      </c>
    </row>
    <row r="22" spans="2:8" ht="36" customHeight="1">
      <c r="B22" s="138" t="s">
        <v>45</v>
      </c>
      <c r="C22" s="33">
        <v>94962</v>
      </c>
      <c r="D22" s="34" t="s">
        <v>338</v>
      </c>
      <c r="E22" s="33" t="s">
        <v>46</v>
      </c>
      <c r="F22" s="35" t="s">
        <v>62</v>
      </c>
      <c r="G22" s="80">
        <v>281.22000000000003</v>
      </c>
      <c r="H22" s="130">
        <f t="shared" si="0"/>
        <v>2.81</v>
      </c>
    </row>
    <row r="23" spans="2:8" ht="21.95" customHeight="1">
      <c r="B23" s="139"/>
      <c r="C23" s="29"/>
      <c r="D23" s="29"/>
      <c r="E23" s="208" t="s">
        <v>47</v>
      </c>
      <c r="F23" s="209"/>
      <c r="G23" s="210"/>
      <c r="H23" s="140">
        <f>SUM(H16:H22)</f>
        <v>306.94</v>
      </c>
    </row>
    <row r="24" spans="2:8" ht="21.95" customHeight="1">
      <c r="B24" s="134"/>
      <c r="C24" s="29"/>
      <c r="D24" s="29"/>
      <c r="E24" s="208" t="str">
        <f>"BDI ( " &amp;TEXT($H$11,"0,00") &amp;" ) %:"</f>
        <v>BDI ( 22,10 ) %:</v>
      </c>
      <c r="F24" s="209"/>
      <c r="G24" s="210"/>
      <c r="H24" s="141">
        <f>ROUND(H23*($H$11/100),2)</f>
        <v>67.83</v>
      </c>
    </row>
    <row r="25" spans="2:8" ht="21.95" customHeight="1">
      <c r="B25" s="134"/>
      <c r="C25" s="29"/>
      <c r="D25" s="29"/>
      <c r="E25" s="208" t="s">
        <v>48</v>
      </c>
      <c r="F25" s="209"/>
      <c r="G25" s="210"/>
      <c r="H25" s="142">
        <f>ROUND(SUM(H23:H24),2)</f>
        <v>374.77</v>
      </c>
    </row>
    <row r="26" spans="2:8" ht="7.5" customHeight="1">
      <c r="B26" s="134"/>
      <c r="C26" s="29"/>
      <c r="D26" s="29"/>
      <c r="E26" s="29"/>
      <c r="F26" s="29"/>
      <c r="G26" s="29"/>
      <c r="H26" s="137"/>
    </row>
    <row r="27" spans="2:8" ht="39.75" customHeight="1">
      <c r="B27" s="124" t="s">
        <v>116</v>
      </c>
      <c r="C27" s="30">
        <v>72840</v>
      </c>
      <c r="D27" s="31" t="s">
        <v>117</v>
      </c>
      <c r="E27" s="30" t="s">
        <v>71</v>
      </c>
      <c r="F27" s="32" t="s">
        <v>38</v>
      </c>
      <c r="G27" s="32" t="s">
        <v>39</v>
      </c>
      <c r="H27" s="125" t="s">
        <v>40</v>
      </c>
    </row>
    <row r="28" spans="2:8" ht="58.5" customHeight="1">
      <c r="B28" s="138" t="s">
        <v>45</v>
      </c>
      <c r="C28" s="33">
        <v>5824</v>
      </c>
      <c r="D28" s="34" t="s">
        <v>118</v>
      </c>
      <c r="E28" s="33" t="s">
        <v>65</v>
      </c>
      <c r="F28" s="35" t="s">
        <v>119</v>
      </c>
      <c r="G28" s="80">
        <v>122.69</v>
      </c>
      <c r="H28" s="130">
        <f>ROUND(F28*G28,2)</f>
        <v>0.55000000000000004</v>
      </c>
    </row>
    <row r="29" spans="2:8" ht="21.95" customHeight="1">
      <c r="B29" s="134"/>
      <c r="C29" s="29"/>
      <c r="D29" s="29"/>
      <c r="E29" s="208" t="s">
        <v>47</v>
      </c>
      <c r="F29" s="209"/>
      <c r="G29" s="210"/>
      <c r="H29" s="140">
        <f>SUM(H28)</f>
        <v>0.55000000000000004</v>
      </c>
    </row>
    <row r="30" spans="2:8" ht="21.95" customHeight="1">
      <c r="B30" s="134"/>
      <c r="C30" s="29"/>
      <c r="D30" s="29"/>
      <c r="E30" s="208" t="str">
        <f>"BDI ( " &amp;TEXT($H$11,"0,00") &amp;" ) %:"</f>
        <v>BDI ( 22,10 ) %:</v>
      </c>
      <c r="F30" s="209"/>
      <c r="G30" s="210"/>
      <c r="H30" s="141">
        <f>ROUND(H29*($H$11/100),2)</f>
        <v>0.12</v>
      </c>
    </row>
    <row r="31" spans="2:8" ht="21.95" customHeight="1">
      <c r="B31" s="134"/>
      <c r="C31" s="29"/>
      <c r="D31" s="29"/>
      <c r="E31" s="208" t="s">
        <v>48</v>
      </c>
      <c r="F31" s="209"/>
      <c r="G31" s="210"/>
      <c r="H31" s="142">
        <f>ROUND(SUM(H29:H30),2)</f>
        <v>0.67</v>
      </c>
    </row>
    <row r="32" spans="2:8" ht="9.75" customHeight="1">
      <c r="B32" s="134"/>
      <c r="C32" s="29"/>
      <c r="D32" s="29"/>
      <c r="E32" s="29"/>
      <c r="F32" s="29"/>
      <c r="G32" s="29"/>
      <c r="H32" s="137"/>
    </row>
    <row r="33" spans="2:12" ht="39.75" customHeight="1">
      <c r="B33" s="124" t="s">
        <v>120</v>
      </c>
      <c r="C33" s="30" t="s">
        <v>121</v>
      </c>
      <c r="D33" s="31" t="s">
        <v>122</v>
      </c>
      <c r="E33" s="30" t="s">
        <v>10</v>
      </c>
      <c r="F33" s="32" t="s">
        <v>38</v>
      </c>
      <c r="G33" s="32" t="s">
        <v>39</v>
      </c>
      <c r="H33" s="125" t="s">
        <v>40</v>
      </c>
    </row>
    <row r="34" spans="2:12" ht="27" customHeight="1">
      <c r="B34" s="138" t="s">
        <v>41</v>
      </c>
      <c r="C34" s="33">
        <v>14250</v>
      </c>
      <c r="D34" s="34" t="s">
        <v>123</v>
      </c>
      <c r="E34" s="33" t="s">
        <v>124</v>
      </c>
      <c r="F34" s="35">
        <v>100</v>
      </c>
      <c r="G34" s="80">
        <v>0.85</v>
      </c>
      <c r="H34" s="130">
        <f>ROUND(F34*G34,2)</f>
        <v>85</v>
      </c>
    </row>
    <row r="35" spans="2:12" ht="20.100000000000001" customHeight="1">
      <c r="B35" s="138" t="s">
        <v>41</v>
      </c>
      <c r="C35" s="33" t="s">
        <v>414</v>
      </c>
      <c r="D35" s="34" t="s">
        <v>269</v>
      </c>
      <c r="E35" s="33" t="s">
        <v>125</v>
      </c>
      <c r="F35" s="35">
        <v>10</v>
      </c>
      <c r="G35" s="80">
        <v>15.32</v>
      </c>
      <c r="H35" s="130">
        <f t="shared" ref="H35:H36" si="1">ROUND(F35*G35,2)</f>
        <v>153.19999999999999</v>
      </c>
    </row>
    <row r="36" spans="2:12" ht="20.100000000000001" customHeight="1">
      <c r="B36" s="138" t="s">
        <v>45</v>
      </c>
      <c r="C36" s="33">
        <v>88316</v>
      </c>
      <c r="D36" s="34" t="s">
        <v>60</v>
      </c>
      <c r="E36" s="33" t="s">
        <v>59</v>
      </c>
      <c r="F36" s="35">
        <v>40</v>
      </c>
      <c r="G36" s="80">
        <f>G21</f>
        <v>16.41</v>
      </c>
      <c r="H36" s="130">
        <f t="shared" si="1"/>
        <v>656.4</v>
      </c>
    </row>
    <row r="37" spans="2:12" ht="20.100000000000001" customHeight="1">
      <c r="B37" s="138" t="s">
        <v>45</v>
      </c>
      <c r="C37" s="33">
        <v>90780</v>
      </c>
      <c r="D37" s="34" t="s">
        <v>127</v>
      </c>
      <c r="E37" s="33" t="s">
        <v>59</v>
      </c>
      <c r="F37" s="35">
        <v>120</v>
      </c>
      <c r="G37" s="80">
        <v>41.95</v>
      </c>
      <c r="H37" s="130">
        <f>ROUND(F37*G37,2)</f>
        <v>5034</v>
      </c>
    </row>
    <row r="38" spans="2:12" ht="20.100000000000001" customHeight="1">
      <c r="B38" s="138" t="s">
        <v>45</v>
      </c>
      <c r="C38" s="33">
        <v>90777</v>
      </c>
      <c r="D38" s="34" t="s">
        <v>128</v>
      </c>
      <c r="E38" s="33" t="s">
        <v>59</v>
      </c>
      <c r="F38" s="35">
        <v>16</v>
      </c>
      <c r="G38" s="80">
        <v>90.43</v>
      </c>
      <c r="H38" s="130">
        <f>ROUND(F38*G38,2)</f>
        <v>1446.88</v>
      </c>
    </row>
    <row r="39" spans="2:12" ht="21.95" customHeight="1">
      <c r="B39" s="134"/>
      <c r="C39" s="29"/>
      <c r="D39" s="29"/>
      <c r="E39" s="208" t="s">
        <v>129</v>
      </c>
      <c r="F39" s="209"/>
      <c r="G39" s="210"/>
      <c r="H39" s="140">
        <f>SUM(H34:H38)</f>
        <v>7375.4800000000005</v>
      </c>
    </row>
    <row r="40" spans="2:12" ht="21.95" customHeight="1">
      <c r="B40" s="134"/>
      <c r="C40" s="29"/>
      <c r="D40" s="29"/>
      <c r="E40" s="208" t="s">
        <v>130</v>
      </c>
      <c r="F40" s="209"/>
      <c r="G40" s="210"/>
      <c r="H40" s="141">
        <f>ROUND(H39/100,2)</f>
        <v>73.75</v>
      </c>
    </row>
    <row r="41" spans="2:12" ht="21.95" customHeight="1">
      <c r="B41" s="134"/>
      <c r="C41" s="29"/>
      <c r="D41" s="29"/>
      <c r="E41" s="208" t="str">
        <f>"BDI ( " &amp;TEXT($H$11,"0,00") &amp;" ) %:"</f>
        <v>BDI ( 22,10 ) %:</v>
      </c>
      <c r="F41" s="209"/>
      <c r="G41" s="210"/>
      <c r="H41" s="141">
        <f>ROUND(H40*($H$11/100),2)</f>
        <v>16.3</v>
      </c>
    </row>
    <row r="42" spans="2:12" ht="27.75" customHeight="1">
      <c r="B42" s="134"/>
      <c r="C42" s="29"/>
      <c r="D42" s="54"/>
      <c r="E42" s="211" t="s">
        <v>131</v>
      </c>
      <c r="F42" s="212"/>
      <c r="G42" s="213"/>
      <c r="H42" s="142">
        <f>ROUND(SUM(H40:H41),2)</f>
        <v>90.05</v>
      </c>
    </row>
    <row r="43" spans="2:12" ht="21.95" customHeight="1">
      <c r="B43" s="134"/>
      <c r="C43" s="29"/>
      <c r="D43" s="29"/>
      <c r="E43" s="208" t="s">
        <v>323</v>
      </c>
      <c r="F43" s="209"/>
      <c r="G43" s="210"/>
      <c r="H43" s="142">
        <f>ROUND(H42*3,2)</f>
        <v>270.14999999999998</v>
      </c>
      <c r="J43" s="77"/>
      <c r="L43" s="78"/>
    </row>
    <row r="44" spans="2:12" ht="9" customHeight="1">
      <c r="B44" s="134"/>
      <c r="C44" s="29"/>
      <c r="D44" s="29"/>
      <c r="E44" s="29"/>
      <c r="F44" s="29"/>
      <c r="G44" s="29"/>
      <c r="H44" s="137"/>
    </row>
    <row r="45" spans="2:12" ht="46.5" customHeight="1">
      <c r="B45" s="124" t="s">
        <v>132</v>
      </c>
      <c r="C45" s="30">
        <v>10775</v>
      </c>
      <c r="D45" s="31" t="s">
        <v>133</v>
      </c>
      <c r="E45" s="30" t="s">
        <v>134</v>
      </c>
      <c r="F45" s="32" t="s">
        <v>38</v>
      </c>
      <c r="G45" s="32" t="s">
        <v>39</v>
      </c>
      <c r="H45" s="125" t="s">
        <v>40</v>
      </c>
    </row>
    <row r="46" spans="2:12" ht="30" customHeight="1">
      <c r="B46" s="138" t="s">
        <v>41</v>
      </c>
      <c r="C46" s="33">
        <v>10775</v>
      </c>
      <c r="D46" s="34" t="s">
        <v>133</v>
      </c>
      <c r="E46" s="33" t="s">
        <v>135</v>
      </c>
      <c r="F46" s="35">
        <v>1</v>
      </c>
      <c r="G46" s="80">
        <v>670</v>
      </c>
      <c r="H46" s="143">
        <f>ROUND(F46*G46,2)</f>
        <v>670</v>
      </c>
    </row>
    <row r="47" spans="2:12" ht="21.95" customHeight="1">
      <c r="B47" s="134"/>
      <c r="C47" s="29"/>
      <c r="D47" s="29"/>
      <c r="E47" s="208" t="s">
        <v>47</v>
      </c>
      <c r="F47" s="209"/>
      <c r="G47" s="210"/>
      <c r="H47" s="140">
        <f>SUM(H46)</f>
        <v>670</v>
      </c>
    </row>
    <row r="48" spans="2:12" ht="21.95" customHeight="1">
      <c r="B48" s="134"/>
      <c r="C48" s="29"/>
      <c r="D48" s="29"/>
      <c r="E48" s="208" t="str">
        <f>"BDI ( " &amp;TEXT($H$11,"0,00") &amp;" ) %:"</f>
        <v>BDI ( 22,10 ) %:</v>
      </c>
      <c r="F48" s="209"/>
      <c r="G48" s="210"/>
      <c r="H48" s="141">
        <f>ROUND(H47*($H$11/100),2)</f>
        <v>148.07</v>
      </c>
    </row>
    <row r="49" spans="2:8" ht="21.95" customHeight="1">
      <c r="B49" s="134"/>
      <c r="C49" s="29"/>
      <c r="D49" s="29"/>
      <c r="E49" s="208" t="s">
        <v>48</v>
      </c>
      <c r="F49" s="209"/>
      <c r="G49" s="210"/>
      <c r="H49" s="142">
        <f>ROUND(SUM(H47:H48),2)</f>
        <v>818.07</v>
      </c>
    </row>
    <row r="50" spans="2:8" ht="9" customHeight="1">
      <c r="B50" s="144"/>
      <c r="C50" s="145"/>
      <c r="D50" s="145"/>
      <c r="E50" s="146"/>
      <c r="F50" s="145"/>
      <c r="G50" s="147"/>
      <c r="H50" s="148"/>
    </row>
    <row r="51" spans="2:8" ht="36.75" customHeight="1">
      <c r="B51" s="124" t="s">
        <v>136</v>
      </c>
      <c r="C51" s="30" t="s">
        <v>184</v>
      </c>
      <c r="D51" s="31" t="s">
        <v>185</v>
      </c>
      <c r="E51" s="30" t="s">
        <v>37</v>
      </c>
      <c r="F51" s="32" t="s">
        <v>38</v>
      </c>
      <c r="G51" s="32" t="s">
        <v>39</v>
      </c>
      <c r="H51" s="125" t="s">
        <v>40</v>
      </c>
    </row>
    <row r="52" spans="2:8" ht="20.100000000000001" customHeight="1">
      <c r="B52" s="138" t="s">
        <v>45</v>
      </c>
      <c r="C52" s="33" t="s">
        <v>78</v>
      </c>
      <c r="D52" s="34" t="s">
        <v>60</v>
      </c>
      <c r="E52" s="33" t="s">
        <v>59</v>
      </c>
      <c r="F52" s="35" t="s">
        <v>186</v>
      </c>
      <c r="G52" s="79">
        <v>16.41</v>
      </c>
      <c r="H52" s="130">
        <f t="shared" ref="H52" si="2">ROUND(F52*G52,2)</f>
        <v>1.31</v>
      </c>
    </row>
    <row r="53" spans="2:8" ht="21.95" customHeight="1">
      <c r="B53" s="134"/>
      <c r="C53" s="29"/>
      <c r="D53" s="29"/>
      <c r="E53" s="208" t="s">
        <v>47</v>
      </c>
      <c r="F53" s="209"/>
      <c r="G53" s="210"/>
      <c r="H53" s="140">
        <f>SUM(H52)</f>
        <v>1.31</v>
      </c>
    </row>
    <row r="54" spans="2:8" ht="21.95" customHeight="1">
      <c r="B54" s="134"/>
      <c r="C54" s="29"/>
      <c r="D54" s="29"/>
      <c r="E54" s="208" t="str">
        <f>"BDI ( " &amp;TEXT($H$11,"0,00") &amp;" ) %:"</f>
        <v>BDI ( 22,10 ) %:</v>
      </c>
      <c r="F54" s="209"/>
      <c r="G54" s="210"/>
      <c r="H54" s="141">
        <f>ROUND(H53*($H$11/100),2)</f>
        <v>0.28999999999999998</v>
      </c>
    </row>
    <row r="55" spans="2:8" ht="21.95" customHeight="1">
      <c r="B55" s="134"/>
      <c r="C55" s="29"/>
      <c r="D55" s="29"/>
      <c r="E55" s="208" t="s">
        <v>48</v>
      </c>
      <c r="F55" s="209"/>
      <c r="G55" s="210"/>
      <c r="H55" s="142">
        <f>ROUND(SUM(H53:H54),2)</f>
        <v>1.6</v>
      </c>
    </row>
    <row r="56" spans="2:8">
      <c r="B56" s="134"/>
      <c r="C56" s="29"/>
      <c r="D56" s="29"/>
      <c r="E56" s="29"/>
      <c r="F56" s="29"/>
      <c r="G56" s="29"/>
      <c r="H56" s="137"/>
    </row>
    <row r="57" spans="2:8" ht="46.5" customHeight="1">
      <c r="B57" s="124" t="s">
        <v>187</v>
      </c>
      <c r="C57" s="30">
        <v>96520</v>
      </c>
      <c r="D57" s="31" t="s">
        <v>343</v>
      </c>
      <c r="E57" s="30" t="s">
        <v>46</v>
      </c>
      <c r="F57" s="32" t="s">
        <v>38</v>
      </c>
      <c r="G57" s="32" t="s">
        <v>39</v>
      </c>
      <c r="H57" s="125" t="s">
        <v>40</v>
      </c>
    </row>
    <row r="58" spans="2:8" ht="51">
      <c r="B58" s="138" t="s">
        <v>45</v>
      </c>
      <c r="C58" s="33">
        <v>5678</v>
      </c>
      <c r="D58" s="34" t="s">
        <v>189</v>
      </c>
      <c r="E58" s="33" t="s">
        <v>65</v>
      </c>
      <c r="F58" s="35" t="s">
        <v>190</v>
      </c>
      <c r="G58" s="79">
        <v>97.2</v>
      </c>
      <c r="H58" s="130">
        <f>ROUND(F58*G58,2)</f>
        <v>27.6</v>
      </c>
    </row>
    <row r="59" spans="2:8" ht="51">
      <c r="B59" s="138" t="s">
        <v>45</v>
      </c>
      <c r="C59" s="33">
        <v>5679</v>
      </c>
      <c r="D59" s="34" t="s">
        <v>339</v>
      </c>
      <c r="E59" s="33" t="s">
        <v>68</v>
      </c>
      <c r="F59" s="35" t="s">
        <v>191</v>
      </c>
      <c r="G59" s="79">
        <v>47.46</v>
      </c>
      <c r="H59" s="130">
        <f>ROUND(F59*G59,2)</f>
        <v>5.51</v>
      </c>
    </row>
    <row r="60" spans="2:8" ht="20.100000000000001" customHeight="1">
      <c r="B60" s="138" t="s">
        <v>45</v>
      </c>
      <c r="C60" s="33">
        <v>88309</v>
      </c>
      <c r="D60" s="34" t="s">
        <v>76</v>
      </c>
      <c r="E60" s="33" t="s">
        <v>59</v>
      </c>
      <c r="F60" s="35" t="s">
        <v>193</v>
      </c>
      <c r="G60" s="79">
        <v>23.55</v>
      </c>
      <c r="H60" s="130">
        <f>ROUND(F60*G60,2)</f>
        <v>30.24</v>
      </c>
    </row>
    <row r="61" spans="2:8" ht="20.100000000000001" customHeight="1">
      <c r="B61" s="138" t="s">
        <v>45</v>
      </c>
      <c r="C61" s="33" t="s">
        <v>78</v>
      </c>
      <c r="D61" s="34" t="s">
        <v>60</v>
      </c>
      <c r="E61" s="33" t="s">
        <v>59</v>
      </c>
      <c r="F61" s="35" t="s">
        <v>194</v>
      </c>
      <c r="G61" s="79">
        <v>16.41</v>
      </c>
      <c r="H61" s="130">
        <f>ROUND(F61*G61,2)</f>
        <v>15.05</v>
      </c>
    </row>
    <row r="62" spans="2:8" ht="21.95" customHeight="1">
      <c r="B62" s="134"/>
      <c r="C62" s="29"/>
      <c r="D62" s="29"/>
      <c r="E62" s="208" t="s">
        <v>47</v>
      </c>
      <c r="F62" s="209"/>
      <c r="G62" s="210"/>
      <c r="H62" s="140">
        <f>SUM(H58:H61)</f>
        <v>78.399999999999991</v>
      </c>
    </row>
    <row r="63" spans="2:8" ht="21.95" customHeight="1">
      <c r="B63" s="134"/>
      <c r="C63" s="29"/>
      <c r="D63" s="29"/>
      <c r="E63" s="208" t="str">
        <f>"BDI ( " &amp;TEXT($H$11,"0,00") &amp;" ) %:"</f>
        <v>BDI ( 22,10 ) %:</v>
      </c>
      <c r="F63" s="209"/>
      <c r="G63" s="210"/>
      <c r="H63" s="141">
        <f>ROUND(H62*($H$11/100),2)</f>
        <v>17.329999999999998</v>
      </c>
    </row>
    <row r="64" spans="2:8" ht="21.95" customHeight="1">
      <c r="B64" s="134"/>
      <c r="C64" s="29"/>
      <c r="D64" s="29"/>
      <c r="E64" s="208" t="s">
        <v>48</v>
      </c>
      <c r="F64" s="209"/>
      <c r="G64" s="210"/>
      <c r="H64" s="142">
        <f>ROUND(SUM(H62:H63),2)</f>
        <v>95.73</v>
      </c>
    </row>
    <row r="65" spans="2:8">
      <c r="B65" s="134"/>
      <c r="C65" s="29"/>
      <c r="D65" s="29"/>
      <c r="E65" s="29"/>
      <c r="F65" s="29"/>
      <c r="G65" s="29"/>
      <c r="H65" s="137"/>
    </row>
    <row r="66" spans="2:8" ht="33" customHeight="1">
      <c r="B66" s="124" t="s">
        <v>195</v>
      </c>
      <c r="C66" s="30" t="s">
        <v>72</v>
      </c>
      <c r="D66" s="31" t="s">
        <v>197</v>
      </c>
      <c r="E66" s="30" t="s">
        <v>46</v>
      </c>
      <c r="F66" s="32" t="s">
        <v>38</v>
      </c>
      <c r="G66" s="32" t="s">
        <v>39</v>
      </c>
      <c r="H66" s="125" t="s">
        <v>40</v>
      </c>
    </row>
    <row r="67" spans="2:8" ht="27" customHeight="1">
      <c r="B67" s="138" t="s">
        <v>41</v>
      </c>
      <c r="C67" s="33">
        <v>4730</v>
      </c>
      <c r="D67" s="34" t="s">
        <v>73</v>
      </c>
      <c r="E67" s="33" t="s">
        <v>46</v>
      </c>
      <c r="F67" s="35" t="s">
        <v>74</v>
      </c>
      <c r="G67" s="79">
        <v>61.82</v>
      </c>
      <c r="H67" s="130">
        <f t="shared" ref="H67:H70" si="3">ROUND(F67*G67,2)</f>
        <v>68</v>
      </c>
    </row>
    <row r="68" spans="2:8" ht="42.95" customHeight="1">
      <c r="B68" s="138" t="s">
        <v>45</v>
      </c>
      <c r="C68" s="33">
        <v>87316</v>
      </c>
      <c r="D68" s="34" t="s">
        <v>340</v>
      </c>
      <c r="E68" s="33" t="s">
        <v>46</v>
      </c>
      <c r="F68" s="35" t="s">
        <v>75</v>
      </c>
      <c r="G68" s="79">
        <v>357.18</v>
      </c>
      <c r="H68" s="130">
        <f t="shared" si="3"/>
        <v>107.15</v>
      </c>
    </row>
    <row r="69" spans="2:8" ht="20.100000000000001" customHeight="1">
      <c r="B69" s="138" t="s">
        <v>45</v>
      </c>
      <c r="C69" s="33" t="s">
        <v>192</v>
      </c>
      <c r="D69" s="34" t="s">
        <v>76</v>
      </c>
      <c r="E69" s="33" t="s">
        <v>59</v>
      </c>
      <c r="F69" s="35" t="s">
        <v>77</v>
      </c>
      <c r="G69" s="79">
        <v>23.55</v>
      </c>
      <c r="H69" s="130">
        <f t="shared" si="3"/>
        <v>141.30000000000001</v>
      </c>
    </row>
    <row r="70" spans="2:8" ht="20.100000000000001" customHeight="1">
      <c r="B70" s="138" t="s">
        <v>45</v>
      </c>
      <c r="C70" s="33" t="s">
        <v>78</v>
      </c>
      <c r="D70" s="34" t="s">
        <v>60</v>
      </c>
      <c r="E70" s="33" t="s">
        <v>59</v>
      </c>
      <c r="F70" s="35" t="s">
        <v>77</v>
      </c>
      <c r="G70" s="79">
        <v>16.41</v>
      </c>
      <c r="H70" s="130">
        <f t="shared" si="3"/>
        <v>98.46</v>
      </c>
    </row>
    <row r="71" spans="2:8" ht="21.95" customHeight="1">
      <c r="B71" s="134"/>
      <c r="C71" s="29"/>
      <c r="D71" s="29"/>
      <c r="E71" s="208" t="s">
        <v>47</v>
      </c>
      <c r="F71" s="209"/>
      <c r="G71" s="210"/>
      <c r="H71" s="140">
        <f>SUM(H67:H70)</f>
        <v>414.91</v>
      </c>
    </row>
    <row r="72" spans="2:8" ht="21.95" customHeight="1">
      <c r="B72" s="134"/>
      <c r="C72" s="29"/>
      <c r="D72" s="29"/>
      <c r="E72" s="208" t="str">
        <f>"BDI ( " &amp;TEXT($H$11,"0,00") &amp;" ) %:"</f>
        <v>BDI ( 22,10 ) %:</v>
      </c>
      <c r="F72" s="209"/>
      <c r="G72" s="210"/>
      <c r="H72" s="141">
        <f>ROUND(H71*($H$11/100),2)</f>
        <v>91.7</v>
      </c>
    </row>
    <row r="73" spans="2:8" ht="21.95" customHeight="1">
      <c r="B73" s="134"/>
      <c r="C73" s="29"/>
      <c r="D73" s="29"/>
      <c r="E73" s="208" t="s">
        <v>48</v>
      </c>
      <c r="F73" s="209"/>
      <c r="G73" s="210"/>
      <c r="H73" s="142">
        <f>ROUND(SUM(H71:H72),2)</f>
        <v>506.61</v>
      </c>
    </row>
    <row r="74" spans="2:8">
      <c r="B74" s="134"/>
      <c r="C74" s="29"/>
      <c r="D74" s="29"/>
      <c r="E74" s="29"/>
      <c r="F74" s="29"/>
      <c r="G74" s="29"/>
      <c r="H74" s="137"/>
    </row>
    <row r="75" spans="2:8" ht="51">
      <c r="B75" s="124" t="s">
        <v>334</v>
      </c>
      <c r="C75" s="30">
        <v>92411</v>
      </c>
      <c r="D75" s="31" t="s">
        <v>392</v>
      </c>
      <c r="E75" s="30" t="s">
        <v>37</v>
      </c>
      <c r="F75" s="32" t="s">
        <v>38</v>
      </c>
      <c r="G75" s="32" t="s">
        <v>39</v>
      </c>
      <c r="H75" s="125" t="s">
        <v>40</v>
      </c>
    </row>
    <row r="76" spans="2:8" ht="24">
      <c r="B76" s="126" t="s">
        <v>41</v>
      </c>
      <c r="C76" s="127">
        <v>2692</v>
      </c>
      <c r="D76" s="128" t="s">
        <v>198</v>
      </c>
      <c r="E76" s="127" t="s">
        <v>126</v>
      </c>
      <c r="F76" s="129" t="s">
        <v>199</v>
      </c>
      <c r="G76" s="79">
        <v>6.25</v>
      </c>
      <c r="H76" s="130">
        <f t="shared" ref="H76:H80" si="4">ROUND(F76*G76,2)</f>
        <v>0.11</v>
      </c>
    </row>
    <row r="77" spans="2:8" ht="24">
      <c r="B77" s="126" t="s">
        <v>41</v>
      </c>
      <c r="C77" s="127">
        <v>40304</v>
      </c>
      <c r="D77" s="128" t="s">
        <v>200</v>
      </c>
      <c r="E77" s="127" t="s">
        <v>56</v>
      </c>
      <c r="F77" s="129" t="s">
        <v>393</v>
      </c>
      <c r="G77" s="79">
        <v>12.59</v>
      </c>
      <c r="H77" s="130">
        <f t="shared" si="4"/>
        <v>0.34</v>
      </c>
    </row>
    <row r="78" spans="2:8" ht="24">
      <c r="B78" s="126" t="s">
        <v>45</v>
      </c>
      <c r="C78" s="127">
        <v>88239</v>
      </c>
      <c r="D78" s="128" t="s">
        <v>79</v>
      </c>
      <c r="E78" s="127" t="s">
        <v>59</v>
      </c>
      <c r="F78" s="129" t="s">
        <v>394</v>
      </c>
      <c r="G78" s="79">
        <v>19.760000000000002</v>
      </c>
      <c r="H78" s="130">
        <f t="shared" si="4"/>
        <v>9.66</v>
      </c>
    </row>
    <row r="79" spans="2:8" ht="20.100000000000001" customHeight="1">
      <c r="B79" s="126" t="s">
        <v>45</v>
      </c>
      <c r="C79" s="127">
        <v>88262</v>
      </c>
      <c r="D79" s="128" t="s">
        <v>58</v>
      </c>
      <c r="E79" s="127" t="s">
        <v>59</v>
      </c>
      <c r="F79" s="129" t="s">
        <v>395</v>
      </c>
      <c r="G79" s="79">
        <v>23.4</v>
      </c>
      <c r="H79" s="130">
        <f t="shared" si="4"/>
        <v>62.43</v>
      </c>
    </row>
    <row r="80" spans="2:8" ht="36">
      <c r="B80" s="126" t="s">
        <v>45</v>
      </c>
      <c r="C80" s="127">
        <v>92269</v>
      </c>
      <c r="D80" s="128" t="s">
        <v>396</v>
      </c>
      <c r="E80" s="127" t="s">
        <v>37</v>
      </c>
      <c r="F80" s="129" t="s">
        <v>397</v>
      </c>
      <c r="G80" s="79">
        <v>88.66</v>
      </c>
      <c r="H80" s="130">
        <f t="shared" si="4"/>
        <v>46.99</v>
      </c>
    </row>
    <row r="81" spans="2:8" ht="21.95" customHeight="1">
      <c r="B81" s="134"/>
      <c r="C81" s="29"/>
      <c r="D81" s="29"/>
      <c r="E81" s="208" t="s">
        <v>47</v>
      </c>
      <c r="F81" s="209"/>
      <c r="G81" s="210"/>
      <c r="H81" s="140">
        <f>SUM(H76:H80)</f>
        <v>119.53</v>
      </c>
    </row>
    <row r="82" spans="2:8" ht="21.95" customHeight="1">
      <c r="B82" s="134"/>
      <c r="C82" s="29"/>
      <c r="D82" s="29"/>
      <c r="E82" s="208" t="str">
        <f>"BDI ( " &amp;TEXT($H$11,"0,00") &amp;" ) %:"</f>
        <v>BDI ( 22,10 ) %:</v>
      </c>
      <c r="F82" s="209"/>
      <c r="G82" s="210"/>
      <c r="H82" s="141">
        <f>ROUND(H81*($H$11/100),2)</f>
        <v>26.42</v>
      </c>
    </row>
    <row r="83" spans="2:8" ht="21.95" customHeight="1">
      <c r="B83" s="134"/>
      <c r="C83" s="29"/>
      <c r="D83" s="29"/>
      <c r="E83" s="208" t="s">
        <v>48</v>
      </c>
      <c r="F83" s="209"/>
      <c r="G83" s="210"/>
      <c r="H83" s="142">
        <f>ROUND(SUM(H81:H82),2)</f>
        <v>145.94999999999999</v>
      </c>
    </row>
    <row r="84" spans="2:8">
      <c r="B84" s="134"/>
      <c r="C84" s="29"/>
      <c r="D84" s="29"/>
      <c r="E84" s="29"/>
      <c r="F84" s="29"/>
      <c r="G84" s="29"/>
      <c r="H84" s="137"/>
    </row>
    <row r="85" spans="2:8" ht="38.25">
      <c r="B85" s="124" t="s">
        <v>164</v>
      </c>
      <c r="C85" s="30">
        <v>92486</v>
      </c>
      <c r="D85" s="31" t="s">
        <v>342</v>
      </c>
      <c r="E85" s="30" t="s">
        <v>37</v>
      </c>
      <c r="F85" s="32" t="s">
        <v>38</v>
      </c>
      <c r="G85" s="32" t="s">
        <v>39</v>
      </c>
      <c r="H85" s="125" t="s">
        <v>40</v>
      </c>
    </row>
    <row r="86" spans="2:8" ht="27" customHeight="1">
      <c r="B86" s="138" t="s">
        <v>41</v>
      </c>
      <c r="C86" s="33">
        <v>2692</v>
      </c>
      <c r="D86" s="34" t="s">
        <v>198</v>
      </c>
      <c r="E86" s="33" t="s">
        <v>126</v>
      </c>
      <c r="F86" s="35" t="s">
        <v>199</v>
      </c>
      <c r="G86" s="79">
        <v>6.25</v>
      </c>
      <c r="H86" s="130">
        <f t="shared" ref="H86:H92" si="5">ROUND(F86*G86,2)</f>
        <v>0.11</v>
      </c>
    </row>
    <row r="87" spans="2:8" ht="27" customHeight="1">
      <c r="B87" s="138" t="s">
        <v>41</v>
      </c>
      <c r="C87" s="33">
        <v>6193</v>
      </c>
      <c r="D87" s="34" t="s">
        <v>203</v>
      </c>
      <c r="E87" s="33" t="s">
        <v>43</v>
      </c>
      <c r="F87" s="35" t="s">
        <v>204</v>
      </c>
      <c r="G87" s="79">
        <v>9.32</v>
      </c>
      <c r="H87" s="130">
        <f t="shared" si="5"/>
        <v>7.82</v>
      </c>
    </row>
    <row r="88" spans="2:8" ht="20.100000000000001" customHeight="1">
      <c r="B88" s="138" t="s">
        <v>41</v>
      </c>
      <c r="C88" s="33">
        <v>40304</v>
      </c>
      <c r="D88" s="34" t="s">
        <v>200</v>
      </c>
      <c r="E88" s="33" t="s">
        <v>56</v>
      </c>
      <c r="F88" s="35" t="s">
        <v>205</v>
      </c>
      <c r="G88" s="79">
        <v>12.59</v>
      </c>
      <c r="H88" s="130">
        <f t="shared" si="5"/>
        <v>0.82</v>
      </c>
    </row>
    <row r="89" spans="2:8" ht="20.100000000000001" customHeight="1">
      <c r="B89" s="138" t="s">
        <v>45</v>
      </c>
      <c r="C89" s="33" t="s">
        <v>201</v>
      </c>
      <c r="D89" s="34" t="s">
        <v>79</v>
      </c>
      <c r="E89" s="33" t="s">
        <v>59</v>
      </c>
      <c r="F89" s="35" t="s">
        <v>206</v>
      </c>
      <c r="G89" s="79">
        <v>19.760000000000002</v>
      </c>
      <c r="H89" s="130">
        <f t="shared" si="5"/>
        <v>9.8000000000000007</v>
      </c>
    </row>
    <row r="90" spans="2:8" ht="20.100000000000001" customHeight="1">
      <c r="B90" s="138" t="s">
        <v>45</v>
      </c>
      <c r="C90" s="33" t="s">
        <v>202</v>
      </c>
      <c r="D90" s="34" t="s">
        <v>58</v>
      </c>
      <c r="E90" s="33" t="s">
        <v>59</v>
      </c>
      <c r="F90" s="35" t="s">
        <v>207</v>
      </c>
      <c r="G90" s="79">
        <v>23.4</v>
      </c>
      <c r="H90" s="130">
        <f t="shared" si="5"/>
        <v>63.23</v>
      </c>
    </row>
    <row r="91" spans="2:8" ht="27" customHeight="1">
      <c r="B91" s="138" t="s">
        <v>45</v>
      </c>
      <c r="C91" s="33">
        <v>92271</v>
      </c>
      <c r="D91" s="34" t="s">
        <v>208</v>
      </c>
      <c r="E91" s="33" t="s">
        <v>37</v>
      </c>
      <c r="F91" s="35" t="s">
        <v>209</v>
      </c>
      <c r="G91" s="79">
        <v>50.42</v>
      </c>
      <c r="H91" s="130">
        <f t="shared" si="5"/>
        <v>18.45</v>
      </c>
    </row>
    <row r="92" spans="2:8" ht="20.100000000000001" customHeight="1">
      <c r="B92" s="138" t="s">
        <v>45</v>
      </c>
      <c r="C92" s="33">
        <v>92273</v>
      </c>
      <c r="D92" s="34" t="s">
        <v>341</v>
      </c>
      <c r="E92" s="33" t="s">
        <v>43</v>
      </c>
      <c r="F92" s="35" t="s">
        <v>210</v>
      </c>
      <c r="G92" s="79">
        <v>8.6</v>
      </c>
      <c r="H92" s="130">
        <f t="shared" si="5"/>
        <v>9.3699999999999992</v>
      </c>
    </row>
    <row r="93" spans="2:8" ht="21.95" customHeight="1">
      <c r="B93" s="134"/>
      <c r="C93" s="29"/>
      <c r="D93" s="29"/>
      <c r="E93" s="208" t="s">
        <v>47</v>
      </c>
      <c r="F93" s="209"/>
      <c r="G93" s="210"/>
      <c r="H93" s="140">
        <f>SUM(H86:H92)</f>
        <v>109.60000000000001</v>
      </c>
    </row>
    <row r="94" spans="2:8" ht="21.95" customHeight="1">
      <c r="B94" s="134"/>
      <c r="C94" s="29"/>
      <c r="D94" s="29"/>
      <c r="E94" s="208" t="str">
        <f>"BDI ( " &amp;TEXT($H$11,"0,00") &amp;" ) %:"</f>
        <v>BDI ( 22,10 ) %:</v>
      </c>
      <c r="F94" s="209"/>
      <c r="G94" s="210"/>
      <c r="H94" s="141">
        <f>ROUND(H93*($H$11/100),2)</f>
        <v>24.22</v>
      </c>
    </row>
    <row r="95" spans="2:8" ht="21.95" customHeight="1">
      <c r="B95" s="134"/>
      <c r="C95" s="29"/>
      <c r="D95" s="29"/>
      <c r="E95" s="208" t="s">
        <v>48</v>
      </c>
      <c r="F95" s="209"/>
      <c r="G95" s="210"/>
      <c r="H95" s="142">
        <f>ROUND(SUM(H93:H94),2)</f>
        <v>133.82</v>
      </c>
    </row>
    <row r="96" spans="2:8">
      <c r="B96" s="134"/>
      <c r="C96" s="29"/>
      <c r="D96" s="29"/>
      <c r="E96" s="29"/>
      <c r="F96" s="29"/>
      <c r="G96" s="29"/>
      <c r="H96" s="137"/>
    </row>
    <row r="97" spans="2:8" ht="42" customHeight="1">
      <c r="B97" s="124" t="s">
        <v>270</v>
      </c>
      <c r="C97" s="30">
        <v>92446</v>
      </c>
      <c r="D97" s="31" t="s">
        <v>400</v>
      </c>
      <c r="E97" s="30" t="s">
        <v>37</v>
      </c>
      <c r="F97" s="32" t="s">
        <v>38</v>
      </c>
      <c r="G97" s="32" t="s">
        <v>39</v>
      </c>
      <c r="H97" s="125" t="s">
        <v>40</v>
      </c>
    </row>
    <row r="98" spans="2:8" ht="27" customHeight="1">
      <c r="B98" s="126" t="s">
        <v>41</v>
      </c>
      <c r="C98" s="127" t="s">
        <v>401</v>
      </c>
      <c r="D98" s="128" t="s">
        <v>198</v>
      </c>
      <c r="E98" s="127" t="s">
        <v>126</v>
      </c>
      <c r="F98" s="129" t="s">
        <v>199</v>
      </c>
      <c r="G98" s="79">
        <v>6.25</v>
      </c>
      <c r="H98" s="130">
        <f t="shared" ref="H98:H104" si="6">ROUND(F98*G98,2)</f>
        <v>0.11</v>
      </c>
    </row>
    <row r="99" spans="2:8" ht="27" customHeight="1">
      <c r="B99" s="126" t="s">
        <v>41</v>
      </c>
      <c r="C99" s="127" t="s">
        <v>402</v>
      </c>
      <c r="D99" s="128" t="s">
        <v>203</v>
      </c>
      <c r="E99" s="127" t="s">
        <v>43</v>
      </c>
      <c r="F99" s="129" t="s">
        <v>403</v>
      </c>
      <c r="G99" s="79">
        <v>9.32</v>
      </c>
      <c r="H99" s="130">
        <f t="shared" si="6"/>
        <v>8.51</v>
      </c>
    </row>
    <row r="100" spans="2:8" ht="27" customHeight="1">
      <c r="B100" s="126" t="s">
        <v>41</v>
      </c>
      <c r="C100" s="127" t="s">
        <v>404</v>
      </c>
      <c r="D100" s="128" t="s">
        <v>200</v>
      </c>
      <c r="E100" s="127" t="s">
        <v>56</v>
      </c>
      <c r="F100" s="129" t="s">
        <v>333</v>
      </c>
      <c r="G100" s="79">
        <v>12.59</v>
      </c>
      <c r="H100" s="130">
        <f t="shared" si="6"/>
        <v>0.83</v>
      </c>
    </row>
    <row r="101" spans="2:8" ht="27" customHeight="1">
      <c r="B101" s="126" t="s">
        <v>45</v>
      </c>
      <c r="C101" s="127" t="s">
        <v>201</v>
      </c>
      <c r="D101" s="128" t="s">
        <v>79</v>
      </c>
      <c r="E101" s="127" t="s">
        <v>59</v>
      </c>
      <c r="F101" s="129" t="s">
        <v>405</v>
      </c>
      <c r="G101" s="79">
        <v>19.760000000000002</v>
      </c>
      <c r="H101" s="130">
        <f t="shared" si="6"/>
        <v>8.99</v>
      </c>
    </row>
    <row r="102" spans="2:8" ht="20.100000000000001" customHeight="1">
      <c r="B102" s="126" t="s">
        <v>45</v>
      </c>
      <c r="C102" s="127" t="s">
        <v>202</v>
      </c>
      <c r="D102" s="128" t="s">
        <v>58</v>
      </c>
      <c r="E102" s="127" t="s">
        <v>59</v>
      </c>
      <c r="F102" s="129" t="s">
        <v>406</v>
      </c>
      <c r="G102" s="79">
        <v>23.4</v>
      </c>
      <c r="H102" s="130">
        <f t="shared" si="6"/>
        <v>58.08</v>
      </c>
    </row>
    <row r="103" spans="2:8" ht="27" customHeight="1">
      <c r="B103" s="126" t="s">
        <v>45</v>
      </c>
      <c r="C103" s="127" t="s">
        <v>407</v>
      </c>
      <c r="D103" s="128" t="s">
        <v>408</v>
      </c>
      <c r="E103" s="127" t="s">
        <v>37</v>
      </c>
      <c r="F103" s="129" t="s">
        <v>409</v>
      </c>
      <c r="G103" s="79">
        <v>71.739999999999995</v>
      </c>
      <c r="H103" s="130">
        <f t="shared" si="6"/>
        <v>73.17</v>
      </c>
    </row>
    <row r="104" spans="2:8" ht="27" customHeight="1">
      <c r="B104" s="126" t="s">
        <v>45</v>
      </c>
      <c r="C104" s="127" t="s">
        <v>332</v>
      </c>
      <c r="D104" s="128" t="s">
        <v>410</v>
      </c>
      <c r="E104" s="127" t="s">
        <v>43</v>
      </c>
      <c r="F104" s="129" t="s">
        <v>411</v>
      </c>
      <c r="G104" s="79">
        <v>8.6</v>
      </c>
      <c r="H104" s="130">
        <f t="shared" si="6"/>
        <v>14.45</v>
      </c>
    </row>
    <row r="105" spans="2:8" ht="21.95" customHeight="1">
      <c r="B105" s="134"/>
      <c r="C105" s="29"/>
      <c r="D105" s="29"/>
      <c r="E105" s="208" t="s">
        <v>47</v>
      </c>
      <c r="F105" s="209"/>
      <c r="G105" s="210"/>
      <c r="H105" s="140">
        <f>SUM(H98:H104)</f>
        <v>164.14</v>
      </c>
    </row>
    <row r="106" spans="2:8" ht="21.95" customHeight="1">
      <c r="B106" s="134"/>
      <c r="C106" s="29"/>
      <c r="D106" s="29"/>
      <c r="E106" s="208" t="str">
        <f>"BDI ( " &amp;TEXT($H$11,"0,00") &amp;" ) %:"</f>
        <v>BDI ( 22,10 ) %:</v>
      </c>
      <c r="F106" s="209"/>
      <c r="G106" s="210"/>
      <c r="H106" s="141">
        <f>ROUND(H105*($H$11/100),2)</f>
        <v>36.270000000000003</v>
      </c>
    </row>
    <row r="107" spans="2:8" ht="21.95" customHeight="1">
      <c r="B107" s="134"/>
      <c r="C107" s="29"/>
      <c r="D107" s="29"/>
      <c r="E107" s="208" t="s">
        <v>48</v>
      </c>
      <c r="F107" s="209"/>
      <c r="G107" s="210"/>
      <c r="H107" s="142">
        <f>ROUND(SUM(H105:H106),2)</f>
        <v>200.41</v>
      </c>
    </row>
    <row r="108" spans="2:8">
      <c r="B108" s="134"/>
      <c r="C108" s="29"/>
      <c r="D108" s="29"/>
      <c r="E108" s="29"/>
      <c r="F108" s="29"/>
      <c r="G108" s="29"/>
      <c r="H108" s="137"/>
    </row>
    <row r="109" spans="2:8" ht="38.25">
      <c r="B109" s="124" t="s">
        <v>271</v>
      </c>
      <c r="C109" s="30">
        <v>92786</v>
      </c>
      <c r="D109" s="31" t="s">
        <v>213</v>
      </c>
      <c r="E109" s="30" t="s">
        <v>56</v>
      </c>
      <c r="F109" s="32" t="s">
        <v>38</v>
      </c>
      <c r="G109" s="32" t="s">
        <v>39</v>
      </c>
      <c r="H109" s="125" t="s">
        <v>40</v>
      </c>
    </row>
    <row r="110" spans="2:8" ht="20.100000000000001" customHeight="1">
      <c r="B110" s="138" t="s">
        <v>41</v>
      </c>
      <c r="C110" s="33" t="s">
        <v>80</v>
      </c>
      <c r="D110" s="34" t="s">
        <v>81</v>
      </c>
      <c r="E110" s="33" t="s">
        <v>56</v>
      </c>
      <c r="F110" s="35" t="s">
        <v>82</v>
      </c>
      <c r="G110" s="79">
        <v>12</v>
      </c>
      <c r="H110" s="130">
        <f t="shared" ref="H110:H114" si="7">ROUND(F110*G110,2)</f>
        <v>0.3</v>
      </c>
    </row>
    <row r="111" spans="2:8" ht="25.5">
      <c r="B111" s="138" t="s">
        <v>41</v>
      </c>
      <c r="C111" s="33" t="s">
        <v>86</v>
      </c>
      <c r="D111" s="34" t="s">
        <v>83</v>
      </c>
      <c r="E111" s="33" t="s">
        <v>44</v>
      </c>
      <c r="F111" s="35" t="s">
        <v>214</v>
      </c>
      <c r="G111" s="79">
        <v>0.15</v>
      </c>
      <c r="H111" s="130">
        <f t="shared" si="7"/>
        <v>0.11</v>
      </c>
    </row>
    <row r="112" spans="2:8" ht="20.100000000000001" customHeight="1">
      <c r="B112" s="138" t="s">
        <v>45</v>
      </c>
      <c r="C112" s="33" t="s">
        <v>211</v>
      </c>
      <c r="D112" s="34" t="s">
        <v>84</v>
      </c>
      <c r="E112" s="33" t="s">
        <v>59</v>
      </c>
      <c r="F112" s="35" t="s">
        <v>94</v>
      </c>
      <c r="G112" s="79">
        <v>18.22</v>
      </c>
      <c r="H112" s="130">
        <f t="shared" si="7"/>
        <v>0.26</v>
      </c>
    </row>
    <row r="113" spans="2:8" ht="20.100000000000001" customHeight="1">
      <c r="B113" s="138" t="s">
        <v>45</v>
      </c>
      <c r="C113" s="33" t="s">
        <v>212</v>
      </c>
      <c r="D113" s="34" t="s">
        <v>85</v>
      </c>
      <c r="E113" s="33" t="s">
        <v>59</v>
      </c>
      <c r="F113" s="35" t="s">
        <v>215</v>
      </c>
      <c r="G113" s="79">
        <v>23.44</v>
      </c>
      <c r="H113" s="130">
        <f t="shared" si="7"/>
        <v>2.0099999999999998</v>
      </c>
    </row>
    <row r="114" spans="2:8" ht="25.5">
      <c r="B114" s="138" t="s">
        <v>45</v>
      </c>
      <c r="C114" s="33">
        <v>92802</v>
      </c>
      <c r="D114" s="34" t="s">
        <v>216</v>
      </c>
      <c r="E114" s="33" t="s">
        <v>56</v>
      </c>
      <c r="F114" s="35" t="s">
        <v>52</v>
      </c>
      <c r="G114" s="79">
        <v>5.72</v>
      </c>
      <c r="H114" s="130">
        <f t="shared" si="7"/>
        <v>5.72</v>
      </c>
    </row>
    <row r="115" spans="2:8" ht="21.95" customHeight="1">
      <c r="B115" s="134"/>
      <c r="C115" s="29"/>
      <c r="D115" s="29"/>
      <c r="E115" s="208" t="s">
        <v>47</v>
      </c>
      <c r="F115" s="209"/>
      <c r="G115" s="210"/>
      <c r="H115" s="140">
        <f>SUM(H110:H114)</f>
        <v>8.3999999999999986</v>
      </c>
    </row>
    <row r="116" spans="2:8" ht="21.95" customHeight="1">
      <c r="B116" s="134"/>
      <c r="C116" s="29"/>
      <c r="D116" s="29"/>
      <c r="E116" s="208" t="str">
        <f>"BDI ( " &amp;TEXT($H$11,"0,00") &amp;" ) %:"</f>
        <v>BDI ( 22,10 ) %:</v>
      </c>
      <c r="F116" s="209"/>
      <c r="G116" s="210"/>
      <c r="H116" s="141">
        <f>ROUND(H115*($H$11/100),2)</f>
        <v>1.86</v>
      </c>
    </row>
    <row r="117" spans="2:8" ht="21.95" customHeight="1">
      <c r="B117" s="134"/>
      <c r="C117" s="29"/>
      <c r="D117" s="29"/>
      <c r="E117" s="208" t="s">
        <v>48</v>
      </c>
      <c r="F117" s="209"/>
      <c r="G117" s="210"/>
      <c r="H117" s="142">
        <f>ROUND(SUM(H115:H116),2)</f>
        <v>10.26</v>
      </c>
    </row>
    <row r="118" spans="2:8">
      <c r="B118" s="134"/>
      <c r="C118" s="29"/>
      <c r="D118" s="29"/>
      <c r="E118" s="29"/>
      <c r="F118" s="29"/>
      <c r="G118" s="29"/>
      <c r="H118" s="137"/>
    </row>
    <row r="119" spans="2:8" ht="38.25">
      <c r="B119" s="124" t="s">
        <v>272</v>
      </c>
      <c r="C119" s="30">
        <v>92787</v>
      </c>
      <c r="D119" s="31" t="s">
        <v>217</v>
      </c>
      <c r="E119" s="30" t="s">
        <v>56</v>
      </c>
      <c r="F119" s="32" t="s">
        <v>38</v>
      </c>
      <c r="G119" s="32" t="s">
        <v>39</v>
      </c>
      <c r="H119" s="125" t="s">
        <v>40</v>
      </c>
    </row>
    <row r="120" spans="2:8" ht="20.100000000000001" customHeight="1">
      <c r="B120" s="138" t="s">
        <v>41</v>
      </c>
      <c r="C120" s="33" t="s">
        <v>80</v>
      </c>
      <c r="D120" s="34" t="s">
        <v>81</v>
      </c>
      <c r="E120" s="33" t="s">
        <v>56</v>
      </c>
      <c r="F120" s="35" t="s">
        <v>82</v>
      </c>
      <c r="G120" s="79">
        <v>12</v>
      </c>
      <c r="H120" s="130">
        <f t="shared" ref="H120:H124" si="8">ROUND(F120*G120,2)</f>
        <v>0.3</v>
      </c>
    </row>
    <row r="121" spans="2:8" ht="25.5">
      <c r="B121" s="138" t="s">
        <v>41</v>
      </c>
      <c r="C121" s="33" t="s">
        <v>86</v>
      </c>
      <c r="D121" s="34" t="s">
        <v>83</v>
      </c>
      <c r="E121" s="33" t="s">
        <v>44</v>
      </c>
      <c r="F121" s="35" t="s">
        <v>218</v>
      </c>
      <c r="G121" s="79">
        <v>0.15</v>
      </c>
      <c r="H121" s="130">
        <f t="shared" si="8"/>
        <v>0.05</v>
      </c>
    </row>
    <row r="122" spans="2:8" ht="20.100000000000001" customHeight="1">
      <c r="B122" s="138" t="s">
        <v>45</v>
      </c>
      <c r="C122" s="33" t="s">
        <v>211</v>
      </c>
      <c r="D122" s="34" t="s">
        <v>84</v>
      </c>
      <c r="E122" s="33" t="s">
        <v>59</v>
      </c>
      <c r="F122" s="35" t="s">
        <v>219</v>
      </c>
      <c r="G122" s="79">
        <v>18.22</v>
      </c>
      <c r="H122" s="130">
        <f t="shared" si="8"/>
        <v>0.19</v>
      </c>
    </row>
    <row r="123" spans="2:8" ht="20.100000000000001" customHeight="1">
      <c r="B123" s="138" t="s">
        <v>45</v>
      </c>
      <c r="C123" s="33" t="s">
        <v>212</v>
      </c>
      <c r="D123" s="34" t="s">
        <v>85</v>
      </c>
      <c r="E123" s="33" t="s">
        <v>59</v>
      </c>
      <c r="F123" s="35" t="s">
        <v>220</v>
      </c>
      <c r="G123" s="79">
        <v>23.44</v>
      </c>
      <c r="H123" s="130">
        <f t="shared" si="8"/>
        <v>1.47</v>
      </c>
    </row>
    <row r="124" spans="2:8" ht="25.5">
      <c r="B124" s="138" t="s">
        <v>45</v>
      </c>
      <c r="C124" s="33">
        <v>92803</v>
      </c>
      <c r="D124" s="34" t="s">
        <v>221</v>
      </c>
      <c r="E124" s="33" t="s">
        <v>56</v>
      </c>
      <c r="F124" s="35" t="s">
        <v>52</v>
      </c>
      <c r="G124" s="79">
        <v>4.74</v>
      </c>
      <c r="H124" s="130">
        <f t="shared" si="8"/>
        <v>4.74</v>
      </c>
    </row>
    <row r="125" spans="2:8" ht="21.95" customHeight="1">
      <c r="B125" s="134"/>
      <c r="C125" s="29"/>
      <c r="D125" s="29"/>
      <c r="E125" s="208" t="s">
        <v>47</v>
      </c>
      <c r="F125" s="209"/>
      <c r="G125" s="210"/>
      <c r="H125" s="140">
        <f>SUM(H120:H124)</f>
        <v>6.75</v>
      </c>
    </row>
    <row r="126" spans="2:8" ht="21.95" customHeight="1">
      <c r="B126" s="134"/>
      <c r="C126" s="29"/>
      <c r="D126" s="29"/>
      <c r="E126" s="208" t="str">
        <f>"BDI ( " &amp;TEXT($H$11,"0,00") &amp;" ) %:"</f>
        <v>BDI ( 22,10 ) %:</v>
      </c>
      <c r="F126" s="209"/>
      <c r="G126" s="210"/>
      <c r="H126" s="141">
        <f>ROUND(H125*($H$11/100),2)</f>
        <v>1.49</v>
      </c>
    </row>
    <row r="127" spans="2:8" ht="21.95" customHeight="1">
      <c r="B127" s="134"/>
      <c r="C127" s="29"/>
      <c r="D127" s="29"/>
      <c r="E127" s="208" t="s">
        <v>48</v>
      </c>
      <c r="F127" s="209"/>
      <c r="G127" s="210"/>
      <c r="H127" s="142">
        <f>ROUND(SUM(H125:H126),2)</f>
        <v>8.24</v>
      </c>
    </row>
    <row r="128" spans="2:8">
      <c r="B128" s="134"/>
      <c r="C128" s="29"/>
      <c r="D128" s="29"/>
      <c r="E128" s="29"/>
      <c r="F128" s="29"/>
      <c r="G128" s="29"/>
      <c r="H128" s="137"/>
    </row>
    <row r="129" spans="2:8" ht="38.25">
      <c r="B129" s="124" t="s">
        <v>273</v>
      </c>
      <c r="C129" s="30">
        <v>92788</v>
      </c>
      <c r="D129" s="31" t="s">
        <v>222</v>
      </c>
      <c r="E129" s="30" t="s">
        <v>56</v>
      </c>
      <c r="F129" s="32" t="s">
        <v>38</v>
      </c>
      <c r="G129" s="32" t="s">
        <v>39</v>
      </c>
      <c r="H129" s="125" t="s">
        <v>40</v>
      </c>
    </row>
    <row r="130" spans="2:8" ht="20.100000000000001" customHeight="1">
      <c r="B130" s="138" t="s">
        <v>41</v>
      </c>
      <c r="C130" s="33" t="s">
        <v>80</v>
      </c>
      <c r="D130" s="34" t="s">
        <v>81</v>
      </c>
      <c r="E130" s="33" t="s">
        <v>56</v>
      </c>
      <c r="F130" s="35" t="s">
        <v>82</v>
      </c>
      <c r="G130" s="79">
        <v>12</v>
      </c>
      <c r="H130" s="130">
        <f t="shared" ref="H130:H134" si="9">ROUND(F130*G130,2)</f>
        <v>0.3</v>
      </c>
    </row>
    <row r="131" spans="2:8" ht="25.5">
      <c r="B131" s="138" t="s">
        <v>41</v>
      </c>
      <c r="C131" s="33" t="s">
        <v>86</v>
      </c>
      <c r="D131" s="34" t="s">
        <v>83</v>
      </c>
      <c r="E131" s="33" t="s">
        <v>44</v>
      </c>
      <c r="F131" s="35" t="s">
        <v>223</v>
      </c>
      <c r="G131" s="79">
        <v>0.15</v>
      </c>
      <c r="H131" s="130">
        <f t="shared" si="9"/>
        <v>0.02</v>
      </c>
    </row>
    <row r="132" spans="2:8" ht="20.100000000000001" customHeight="1">
      <c r="B132" s="138" t="s">
        <v>45</v>
      </c>
      <c r="C132" s="33" t="s">
        <v>211</v>
      </c>
      <c r="D132" s="34" t="s">
        <v>84</v>
      </c>
      <c r="E132" s="33" t="s">
        <v>59</v>
      </c>
      <c r="F132" s="35" t="s">
        <v>224</v>
      </c>
      <c r="G132" s="79">
        <v>18.22</v>
      </c>
      <c r="H132" s="130">
        <f t="shared" si="9"/>
        <v>0.13</v>
      </c>
    </row>
    <row r="133" spans="2:8" ht="20.100000000000001" customHeight="1">
      <c r="B133" s="138" t="s">
        <v>45</v>
      </c>
      <c r="C133" s="33" t="s">
        <v>212</v>
      </c>
      <c r="D133" s="34" t="s">
        <v>85</v>
      </c>
      <c r="E133" s="33" t="s">
        <v>59</v>
      </c>
      <c r="F133" s="35" t="s">
        <v>225</v>
      </c>
      <c r="G133" s="79">
        <v>23.44</v>
      </c>
      <c r="H133" s="130">
        <f t="shared" si="9"/>
        <v>1.05</v>
      </c>
    </row>
    <row r="134" spans="2:8" ht="25.5">
      <c r="B134" s="138" t="s">
        <v>45</v>
      </c>
      <c r="C134" s="33">
        <v>92804</v>
      </c>
      <c r="D134" s="34" t="s">
        <v>226</v>
      </c>
      <c r="E134" s="33" t="s">
        <v>56</v>
      </c>
      <c r="F134" s="35" t="s">
        <v>52</v>
      </c>
      <c r="G134" s="79">
        <v>4.42</v>
      </c>
      <c r="H134" s="130">
        <f t="shared" si="9"/>
        <v>4.42</v>
      </c>
    </row>
    <row r="135" spans="2:8" ht="21.95" customHeight="1">
      <c r="B135" s="134"/>
      <c r="C135" s="29"/>
      <c r="D135" s="29"/>
      <c r="E135" s="208" t="s">
        <v>47</v>
      </c>
      <c r="F135" s="209"/>
      <c r="G135" s="210"/>
      <c r="H135" s="140">
        <f>SUM(H130:H134)</f>
        <v>5.92</v>
      </c>
    </row>
    <row r="136" spans="2:8" ht="21.95" customHeight="1">
      <c r="B136" s="134"/>
      <c r="C136" s="29"/>
      <c r="D136" s="29"/>
      <c r="E136" s="208" t="str">
        <f>"BDI ( " &amp;TEXT($H$11,"0,00") &amp;" ) %:"</f>
        <v>BDI ( 22,10 ) %:</v>
      </c>
      <c r="F136" s="209"/>
      <c r="G136" s="210"/>
      <c r="H136" s="141">
        <f>ROUND(H135*($H$11/100),2)</f>
        <v>1.31</v>
      </c>
    </row>
    <row r="137" spans="2:8" ht="21.95" customHeight="1">
      <c r="B137" s="134"/>
      <c r="C137" s="29"/>
      <c r="D137" s="29"/>
      <c r="E137" s="208" t="s">
        <v>48</v>
      </c>
      <c r="F137" s="209"/>
      <c r="G137" s="210"/>
      <c r="H137" s="142">
        <f>ROUND(SUM(H135:H136),2)</f>
        <v>7.23</v>
      </c>
    </row>
    <row r="138" spans="2:8">
      <c r="B138" s="134"/>
      <c r="C138" s="29"/>
      <c r="D138" s="29"/>
      <c r="E138" s="29"/>
      <c r="F138" s="29"/>
      <c r="G138" s="29"/>
      <c r="H138" s="137"/>
    </row>
    <row r="139" spans="2:8" ht="38.25">
      <c r="B139" s="124" t="s">
        <v>274</v>
      </c>
      <c r="C139" s="30">
        <v>92781</v>
      </c>
      <c r="D139" s="31" t="s">
        <v>324</v>
      </c>
      <c r="E139" s="30" t="s">
        <v>56</v>
      </c>
      <c r="F139" s="32" t="s">
        <v>38</v>
      </c>
      <c r="G139" s="32" t="s">
        <v>39</v>
      </c>
      <c r="H139" s="125" t="s">
        <v>40</v>
      </c>
    </row>
    <row r="140" spans="2:8" ht="20.100000000000001" customHeight="1">
      <c r="B140" s="138" t="s">
        <v>41</v>
      </c>
      <c r="C140" s="33" t="s">
        <v>80</v>
      </c>
      <c r="D140" s="34" t="s">
        <v>81</v>
      </c>
      <c r="E140" s="33" t="s">
        <v>56</v>
      </c>
      <c r="F140" s="35" t="s">
        <v>82</v>
      </c>
      <c r="G140" s="79">
        <v>12</v>
      </c>
      <c r="H140" s="130">
        <f t="shared" ref="H140:H144" si="10">ROUND(F140*G140,2)</f>
        <v>0.3</v>
      </c>
    </row>
    <row r="141" spans="2:8" ht="25.5">
      <c r="B141" s="138" t="s">
        <v>41</v>
      </c>
      <c r="C141" s="33" t="s">
        <v>86</v>
      </c>
      <c r="D141" s="34" t="s">
        <v>83</v>
      </c>
      <c r="E141" s="33" t="s">
        <v>44</v>
      </c>
      <c r="F141" s="35" t="s">
        <v>325</v>
      </c>
      <c r="G141" s="79">
        <v>0.15</v>
      </c>
      <c r="H141" s="130">
        <f t="shared" si="10"/>
        <v>0.02</v>
      </c>
    </row>
    <row r="142" spans="2:8" ht="20.100000000000001" customHeight="1">
      <c r="B142" s="138" t="s">
        <v>45</v>
      </c>
      <c r="C142" s="33" t="s">
        <v>211</v>
      </c>
      <c r="D142" s="34" t="s">
        <v>84</v>
      </c>
      <c r="E142" s="33" t="s">
        <v>59</v>
      </c>
      <c r="F142" s="35" t="s">
        <v>326</v>
      </c>
      <c r="G142" s="79">
        <v>18.22</v>
      </c>
      <c r="H142" s="130">
        <f t="shared" si="10"/>
        <v>0.09</v>
      </c>
    </row>
    <row r="143" spans="2:8" ht="20.100000000000001" customHeight="1">
      <c r="B143" s="138" t="s">
        <v>45</v>
      </c>
      <c r="C143" s="33" t="s">
        <v>212</v>
      </c>
      <c r="D143" s="34" t="s">
        <v>85</v>
      </c>
      <c r="E143" s="33" t="s">
        <v>59</v>
      </c>
      <c r="F143" s="35" t="s">
        <v>327</v>
      </c>
      <c r="G143" s="79">
        <v>23.44</v>
      </c>
      <c r="H143" s="130">
        <f t="shared" si="10"/>
        <v>0.73</v>
      </c>
    </row>
    <row r="144" spans="2:8" ht="25.5">
      <c r="B144" s="138" t="s">
        <v>45</v>
      </c>
      <c r="C144" s="33" t="s">
        <v>328</v>
      </c>
      <c r="D144" s="34" t="s">
        <v>329</v>
      </c>
      <c r="E144" s="33" t="s">
        <v>56</v>
      </c>
      <c r="F144" s="35" t="s">
        <v>52</v>
      </c>
      <c r="G144" s="79">
        <v>4.16</v>
      </c>
      <c r="H144" s="130">
        <f t="shared" si="10"/>
        <v>4.16</v>
      </c>
    </row>
    <row r="145" spans="2:8" ht="21.95" customHeight="1">
      <c r="B145" s="134"/>
      <c r="C145" s="29"/>
      <c r="D145" s="29"/>
      <c r="E145" s="208" t="s">
        <v>47</v>
      </c>
      <c r="F145" s="209"/>
      <c r="G145" s="210"/>
      <c r="H145" s="140">
        <f>SUM(H140:H144)</f>
        <v>5.3000000000000007</v>
      </c>
    </row>
    <row r="146" spans="2:8" ht="21.95" customHeight="1">
      <c r="B146" s="134"/>
      <c r="C146" s="29"/>
      <c r="D146" s="29"/>
      <c r="E146" s="208" t="str">
        <f>"BDI ( " &amp;TEXT($H$11,"0,00") &amp;" ) %:"</f>
        <v>BDI ( 22,10 ) %:</v>
      </c>
      <c r="F146" s="209"/>
      <c r="G146" s="210"/>
      <c r="H146" s="141">
        <f>ROUND(H145*($H$11/100),2)</f>
        <v>1.17</v>
      </c>
    </row>
    <row r="147" spans="2:8" ht="21.95" customHeight="1">
      <c r="B147" s="134"/>
      <c r="C147" s="29"/>
      <c r="D147" s="29"/>
      <c r="E147" s="208" t="s">
        <v>48</v>
      </c>
      <c r="F147" s="209"/>
      <c r="G147" s="210"/>
      <c r="H147" s="142">
        <f>ROUND(SUM(H145:H146),2)</f>
        <v>6.47</v>
      </c>
    </row>
    <row r="148" spans="2:8">
      <c r="B148" s="134"/>
      <c r="C148" s="29"/>
      <c r="D148" s="29"/>
      <c r="E148" s="29"/>
      <c r="F148" s="29"/>
      <c r="G148" s="29"/>
      <c r="H148" s="137"/>
    </row>
    <row r="149" spans="2:8" ht="38.25">
      <c r="B149" s="124" t="s">
        <v>275</v>
      </c>
      <c r="C149" s="30">
        <v>92782</v>
      </c>
      <c r="D149" s="31" t="s">
        <v>227</v>
      </c>
      <c r="E149" s="30" t="s">
        <v>56</v>
      </c>
      <c r="F149" s="32" t="s">
        <v>38</v>
      </c>
      <c r="G149" s="32" t="s">
        <v>39</v>
      </c>
      <c r="H149" s="125" t="s">
        <v>40</v>
      </c>
    </row>
    <row r="150" spans="2:8" ht="20.100000000000001" customHeight="1">
      <c r="B150" s="138" t="s">
        <v>41</v>
      </c>
      <c r="C150" s="33" t="s">
        <v>80</v>
      </c>
      <c r="D150" s="34" t="s">
        <v>81</v>
      </c>
      <c r="E150" s="33" t="s">
        <v>56</v>
      </c>
      <c r="F150" s="35" t="s">
        <v>82</v>
      </c>
      <c r="G150" s="79">
        <v>12</v>
      </c>
      <c r="H150" s="130">
        <f t="shared" ref="H150:H153" si="11">ROUND(F150*G150,2)</f>
        <v>0.3</v>
      </c>
    </row>
    <row r="151" spans="2:8" ht="20.100000000000001" customHeight="1">
      <c r="B151" s="138" t="s">
        <v>45</v>
      </c>
      <c r="C151" s="33" t="s">
        <v>211</v>
      </c>
      <c r="D151" s="34" t="s">
        <v>84</v>
      </c>
      <c r="E151" s="33" t="s">
        <v>59</v>
      </c>
      <c r="F151" s="35" t="s">
        <v>168</v>
      </c>
      <c r="G151" s="79">
        <v>18.22</v>
      </c>
      <c r="H151" s="130">
        <f t="shared" si="11"/>
        <v>0.05</v>
      </c>
    </row>
    <row r="152" spans="2:8" ht="20.100000000000001" customHeight="1">
      <c r="B152" s="138" t="s">
        <v>45</v>
      </c>
      <c r="C152" s="33" t="s">
        <v>212</v>
      </c>
      <c r="D152" s="34" t="s">
        <v>85</v>
      </c>
      <c r="E152" s="33" t="s">
        <v>59</v>
      </c>
      <c r="F152" s="35" t="s">
        <v>228</v>
      </c>
      <c r="G152" s="79">
        <v>23.44</v>
      </c>
      <c r="H152" s="130">
        <f t="shared" si="11"/>
        <v>0.43</v>
      </c>
    </row>
    <row r="153" spans="2:8" ht="25.5">
      <c r="B153" s="138" t="s">
        <v>45</v>
      </c>
      <c r="C153" s="33">
        <v>92798</v>
      </c>
      <c r="D153" s="34" t="s">
        <v>88</v>
      </c>
      <c r="E153" s="33" t="s">
        <v>56</v>
      </c>
      <c r="F153" s="35" t="s">
        <v>52</v>
      </c>
      <c r="G153" s="79">
        <v>4.79</v>
      </c>
      <c r="H153" s="130">
        <f t="shared" si="11"/>
        <v>4.79</v>
      </c>
    </row>
    <row r="154" spans="2:8" ht="21.95" customHeight="1">
      <c r="B154" s="134"/>
      <c r="C154" s="29"/>
      <c r="D154" s="29"/>
      <c r="E154" s="208" t="s">
        <v>47</v>
      </c>
      <c r="F154" s="209"/>
      <c r="G154" s="210"/>
      <c r="H154" s="140">
        <f>SUM(H150:H153)</f>
        <v>5.57</v>
      </c>
    </row>
    <row r="155" spans="2:8" ht="21.95" customHeight="1">
      <c r="B155" s="134"/>
      <c r="C155" s="29"/>
      <c r="D155" s="29"/>
      <c r="E155" s="208" t="str">
        <f>"BDI ( " &amp;TEXT($H$11,"0,00") &amp;" ) %:"</f>
        <v>BDI ( 22,10 ) %:</v>
      </c>
      <c r="F155" s="209"/>
      <c r="G155" s="210"/>
      <c r="H155" s="141">
        <f>ROUND(H154*($H$11/100),2)</f>
        <v>1.23</v>
      </c>
    </row>
    <row r="156" spans="2:8" ht="21.95" customHeight="1">
      <c r="B156" s="134"/>
      <c r="C156" s="29"/>
      <c r="D156" s="29"/>
      <c r="E156" s="208" t="s">
        <v>48</v>
      </c>
      <c r="F156" s="209"/>
      <c r="G156" s="210"/>
      <c r="H156" s="142">
        <f>ROUND(SUM(H154:H155),2)</f>
        <v>6.8</v>
      </c>
    </row>
    <row r="157" spans="2:8">
      <c r="B157" s="134"/>
      <c r="C157" s="29"/>
      <c r="D157" s="29"/>
      <c r="E157" s="29"/>
      <c r="F157" s="29"/>
      <c r="G157" s="29"/>
      <c r="H157" s="137"/>
    </row>
    <row r="158" spans="2:8" ht="27.75" customHeight="1">
      <c r="B158" s="124" t="s">
        <v>276</v>
      </c>
      <c r="C158" s="30" t="s">
        <v>89</v>
      </c>
      <c r="D158" s="31" t="s">
        <v>90</v>
      </c>
      <c r="E158" s="30" t="s">
        <v>43</v>
      </c>
      <c r="F158" s="32" t="s">
        <v>38</v>
      </c>
      <c r="G158" s="32" t="s">
        <v>39</v>
      </c>
      <c r="H158" s="125" t="s">
        <v>40</v>
      </c>
    </row>
    <row r="159" spans="2:8" ht="20.100000000000001" customHeight="1">
      <c r="B159" s="138" t="s">
        <v>41</v>
      </c>
      <c r="C159" s="33">
        <v>9871</v>
      </c>
      <c r="D159" s="34" t="s">
        <v>91</v>
      </c>
      <c r="E159" s="33" t="s">
        <v>43</v>
      </c>
      <c r="F159" s="35" t="s">
        <v>92</v>
      </c>
      <c r="G159" s="79">
        <v>26.14</v>
      </c>
      <c r="H159" s="130">
        <f>ROUND(F159*G159,2)</f>
        <v>27.73</v>
      </c>
    </row>
    <row r="160" spans="2:8" ht="20.100000000000001" customHeight="1">
      <c r="B160" s="138" t="s">
        <v>41</v>
      </c>
      <c r="C160" s="33">
        <v>38383</v>
      </c>
      <c r="D160" s="34" t="s">
        <v>93</v>
      </c>
      <c r="E160" s="33" t="s">
        <v>44</v>
      </c>
      <c r="F160" s="35" t="s">
        <v>94</v>
      </c>
      <c r="G160" s="79">
        <v>1.47</v>
      </c>
      <c r="H160" s="130">
        <f>ROUND(F160*G160,2)</f>
        <v>0.02</v>
      </c>
    </row>
    <row r="161" spans="2:8" ht="25.5">
      <c r="B161" s="138" t="s">
        <v>45</v>
      </c>
      <c r="C161" s="33">
        <v>88248</v>
      </c>
      <c r="D161" s="34" t="s">
        <v>95</v>
      </c>
      <c r="E161" s="33" t="s">
        <v>59</v>
      </c>
      <c r="F161" s="35" t="s">
        <v>96</v>
      </c>
      <c r="G161" s="79">
        <v>18.09</v>
      </c>
      <c r="H161" s="130">
        <f>ROUND(F161*G161,2)</f>
        <v>0.76</v>
      </c>
    </row>
    <row r="162" spans="2:8" ht="27" customHeight="1">
      <c r="B162" s="138" t="s">
        <v>45</v>
      </c>
      <c r="C162" s="33">
        <v>88267</v>
      </c>
      <c r="D162" s="34" t="s">
        <v>97</v>
      </c>
      <c r="E162" s="33" t="s">
        <v>59</v>
      </c>
      <c r="F162" s="35" t="s">
        <v>96</v>
      </c>
      <c r="G162" s="79">
        <v>23.13</v>
      </c>
      <c r="H162" s="130">
        <f>ROUND(F162*G162,2)</f>
        <v>0.97</v>
      </c>
    </row>
    <row r="163" spans="2:8" ht="21.95" customHeight="1">
      <c r="B163" s="134"/>
      <c r="C163" s="29"/>
      <c r="D163" s="29"/>
      <c r="E163" s="208" t="s">
        <v>47</v>
      </c>
      <c r="F163" s="209"/>
      <c r="G163" s="210"/>
      <c r="H163" s="140">
        <f>SUM(H159:H162)</f>
        <v>29.48</v>
      </c>
    </row>
    <row r="164" spans="2:8" ht="21.95" customHeight="1">
      <c r="B164" s="134"/>
      <c r="C164" s="29"/>
      <c r="D164" s="29"/>
      <c r="E164" s="208" t="str">
        <f>"BDI ( " &amp;TEXT($H$11,"0,00") &amp;" ) %:"</f>
        <v>BDI ( 22,10 ) %:</v>
      </c>
      <c r="F164" s="209"/>
      <c r="G164" s="210"/>
      <c r="H164" s="141">
        <f>ROUND(H163*($H$11/100),2)</f>
        <v>6.52</v>
      </c>
    </row>
    <row r="165" spans="2:8" ht="21.95" customHeight="1">
      <c r="B165" s="134"/>
      <c r="C165" s="29"/>
      <c r="D165" s="29"/>
      <c r="E165" s="208" t="s">
        <v>48</v>
      </c>
      <c r="F165" s="209"/>
      <c r="G165" s="210"/>
      <c r="H165" s="142">
        <f>ROUND(SUM(H163:H164),2)</f>
        <v>36</v>
      </c>
    </row>
    <row r="166" spans="2:8" ht="21.95" customHeight="1">
      <c r="B166" s="134"/>
      <c r="C166" s="29"/>
      <c r="D166" s="29"/>
      <c r="E166" s="29"/>
      <c r="F166" s="29"/>
      <c r="G166" s="29"/>
      <c r="H166" s="137"/>
    </row>
    <row r="167" spans="2:8" ht="31.5" customHeight="1">
      <c r="B167" s="124" t="s">
        <v>277</v>
      </c>
      <c r="C167" s="30" t="s">
        <v>98</v>
      </c>
      <c r="D167" s="31" t="s">
        <v>344</v>
      </c>
      <c r="E167" s="30" t="s">
        <v>46</v>
      </c>
      <c r="F167" s="32" t="s">
        <v>38</v>
      </c>
      <c r="G167" s="32" t="s">
        <v>39</v>
      </c>
      <c r="H167" s="125" t="s">
        <v>40</v>
      </c>
    </row>
    <row r="168" spans="2:8" ht="26.25" customHeight="1">
      <c r="B168" s="138" t="s">
        <v>41</v>
      </c>
      <c r="C168" s="33">
        <v>370</v>
      </c>
      <c r="D168" s="34" t="s">
        <v>99</v>
      </c>
      <c r="E168" s="33" t="s">
        <v>46</v>
      </c>
      <c r="F168" s="35" t="s">
        <v>229</v>
      </c>
      <c r="G168" s="79">
        <v>73</v>
      </c>
      <c r="H168" s="130">
        <f t="shared" ref="H168:H174" si="12">ROUND(F168*G168,2)</f>
        <v>52.78</v>
      </c>
    </row>
    <row r="169" spans="2:8" ht="20.100000000000001" customHeight="1">
      <c r="B169" s="138" t="s">
        <v>41</v>
      </c>
      <c r="C169" s="33">
        <v>1379</v>
      </c>
      <c r="D169" s="34" t="s">
        <v>100</v>
      </c>
      <c r="E169" s="33" t="s">
        <v>56</v>
      </c>
      <c r="F169" s="35" t="s">
        <v>101</v>
      </c>
      <c r="G169" s="79">
        <v>0.53</v>
      </c>
      <c r="H169" s="130">
        <f t="shared" si="12"/>
        <v>192.21</v>
      </c>
    </row>
    <row r="170" spans="2:8" ht="25.5">
      <c r="B170" s="138" t="s">
        <v>41</v>
      </c>
      <c r="C170" s="33">
        <v>4721</v>
      </c>
      <c r="D170" s="34" t="s">
        <v>102</v>
      </c>
      <c r="E170" s="33" t="s">
        <v>46</v>
      </c>
      <c r="F170" s="35" t="s">
        <v>103</v>
      </c>
      <c r="G170" s="79">
        <v>59.13</v>
      </c>
      <c r="H170" s="130">
        <f t="shared" si="12"/>
        <v>35.06</v>
      </c>
    </row>
    <row r="171" spans="2:8" ht="20.100000000000001" customHeight="1">
      <c r="B171" s="138" t="s">
        <v>45</v>
      </c>
      <c r="C171" s="33" t="s">
        <v>78</v>
      </c>
      <c r="D171" s="34" t="s">
        <v>60</v>
      </c>
      <c r="E171" s="33" t="s">
        <v>59</v>
      </c>
      <c r="F171" s="35" t="s">
        <v>104</v>
      </c>
      <c r="G171" s="79">
        <v>16.41</v>
      </c>
      <c r="H171" s="130">
        <f t="shared" si="12"/>
        <v>37.909999999999997</v>
      </c>
    </row>
    <row r="172" spans="2:8" ht="26.25" customHeight="1">
      <c r="B172" s="138" t="s">
        <v>45</v>
      </c>
      <c r="C172" s="33">
        <v>88377</v>
      </c>
      <c r="D172" s="34" t="s">
        <v>105</v>
      </c>
      <c r="E172" s="33" t="s">
        <v>59</v>
      </c>
      <c r="F172" s="35" t="s">
        <v>106</v>
      </c>
      <c r="G172" s="79">
        <v>23.36</v>
      </c>
      <c r="H172" s="130">
        <f t="shared" si="12"/>
        <v>34.11</v>
      </c>
    </row>
    <row r="173" spans="2:8" ht="42.75" customHeight="1">
      <c r="B173" s="138" t="s">
        <v>45</v>
      </c>
      <c r="C173" s="33">
        <v>88830</v>
      </c>
      <c r="D173" s="34" t="s">
        <v>345</v>
      </c>
      <c r="E173" s="33" t="s">
        <v>65</v>
      </c>
      <c r="F173" s="35" t="s">
        <v>107</v>
      </c>
      <c r="G173" s="79">
        <v>1.52</v>
      </c>
      <c r="H173" s="130">
        <f t="shared" si="12"/>
        <v>1.1399999999999999</v>
      </c>
    </row>
    <row r="174" spans="2:8" ht="42.75" customHeight="1">
      <c r="B174" s="138" t="s">
        <v>45</v>
      </c>
      <c r="C174" s="33">
        <v>88831</v>
      </c>
      <c r="D174" s="34" t="s">
        <v>346</v>
      </c>
      <c r="E174" s="33" t="s">
        <v>68</v>
      </c>
      <c r="F174" s="35" t="s">
        <v>108</v>
      </c>
      <c r="G174" s="79">
        <v>0.28000000000000003</v>
      </c>
      <c r="H174" s="130">
        <f t="shared" si="12"/>
        <v>0.2</v>
      </c>
    </row>
    <row r="175" spans="2:8" ht="21.95" customHeight="1">
      <c r="B175" s="134"/>
      <c r="C175" s="29"/>
      <c r="D175" s="29"/>
      <c r="E175" s="208" t="s">
        <v>47</v>
      </c>
      <c r="F175" s="209"/>
      <c r="G175" s="210"/>
      <c r="H175" s="140">
        <f>SUM(H168:H174)</f>
        <v>353.41</v>
      </c>
    </row>
    <row r="176" spans="2:8" ht="21.95" customHeight="1">
      <c r="B176" s="134"/>
      <c r="C176" s="29"/>
      <c r="D176" s="29"/>
      <c r="E176" s="208" t="str">
        <f>"BDI ( " &amp;TEXT($H$11,"0,00") &amp;" ) %:"</f>
        <v>BDI ( 22,10 ) %:</v>
      </c>
      <c r="F176" s="209"/>
      <c r="G176" s="210"/>
      <c r="H176" s="141">
        <f>ROUND(H175*($H$11/100),2)</f>
        <v>78.099999999999994</v>
      </c>
    </row>
    <row r="177" spans="2:8" ht="21.95" customHeight="1">
      <c r="B177" s="134"/>
      <c r="C177" s="29"/>
      <c r="D177" s="29"/>
      <c r="E177" s="208" t="s">
        <v>48</v>
      </c>
      <c r="F177" s="209"/>
      <c r="G177" s="210"/>
      <c r="H177" s="142">
        <f>ROUND(SUM(H175:H176),2)</f>
        <v>431.51</v>
      </c>
    </row>
    <row r="178" spans="2:8">
      <c r="B178" s="134"/>
      <c r="C178" s="29"/>
      <c r="D178" s="29"/>
      <c r="E178" s="29"/>
      <c r="F178" s="29"/>
      <c r="G178" s="29"/>
      <c r="H178" s="137"/>
    </row>
    <row r="179" spans="2:8" ht="31.5" customHeight="1">
      <c r="B179" s="124" t="s">
        <v>278</v>
      </c>
      <c r="C179" s="30" t="s">
        <v>230</v>
      </c>
      <c r="D179" s="31" t="s">
        <v>347</v>
      </c>
      <c r="E179" s="30" t="s">
        <v>46</v>
      </c>
      <c r="F179" s="32" t="s">
        <v>38</v>
      </c>
      <c r="G179" s="32" t="s">
        <v>39</v>
      </c>
      <c r="H179" s="125" t="s">
        <v>40</v>
      </c>
    </row>
    <row r="180" spans="2:8" ht="20.100000000000001" customHeight="1">
      <c r="B180" s="138" t="s">
        <v>45</v>
      </c>
      <c r="C180" s="33">
        <v>88262</v>
      </c>
      <c r="D180" s="34" t="s">
        <v>58</v>
      </c>
      <c r="E180" s="33" t="s">
        <v>59</v>
      </c>
      <c r="F180" s="35" t="s">
        <v>231</v>
      </c>
      <c r="G180" s="79">
        <v>23.4</v>
      </c>
      <c r="H180" s="130">
        <f t="shared" ref="H180:H184" si="13">ROUND(F180*G180,2)</f>
        <v>4.66</v>
      </c>
    </row>
    <row r="181" spans="2:8" ht="20.100000000000001" customHeight="1">
      <c r="B181" s="138" t="s">
        <v>45</v>
      </c>
      <c r="C181" s="33" t="s">
        <v>192</v>
      </c>
      <c r="D181" s="34" t="s">
        <v>76</v>
      </c>
      <c r="E181" s="33" t="s">
        <v>59</v>
      </c>
      <c r="F181" s="35" t="s">
        <v>231</v>
      </c>
      <c r="G181" s="79">
        <v>23.55</v>
      </c>
      <c r="H181" s="130">
        <f t="shared" si="13"/>
        <v>4.6900000000000004</v>
      </c>
    </row>
    <row r="182" spans="2:8" ht="20.100000000000001" customHeight="1">
      <c r="B182" s="138" t="s">
        <v>45</v>
      </c>
      <c r="C182" s="33" t="s">
        <v>78</v>
      </c>
      <c r="D182" s="34" t="s">
        <v>60</v>
      </c>
      <c r="E182" s="33" t="s">
        <v>59</v>
      </c>
      <c r="F182" s="35" t="s">
        <v>232</v>
      </c>
      <c r="G182" s="79">
        <v>16.41</v>
      </c>
      <c r="H182" s="130">
        <f t="shared" si="13"/>
        <v>19.559999999999999</v>
      </c>
    </row>
    <row r="183" spans="2:8" ht="25.5">
      <c r="B183" s="138" t="s">
        <v>45</v>
      </c>
      <c r="C183" s="33">
        <v>90586</v>
      </c>
      <c r="D183" s="34" t="s">
        <v>348</v>
      </c>
      <c r="E183" s="33" t="s">
        <v>65</v>
      </c>
      <c r="F183" s="35" t="s">
        <v>233</v>
      </c>
      <c r="G183" s="79">
        <v>1.78</v>
      </c>
      <c r="H183" s="130">
        <f t="shared" si="13"/>
        <v>0.12</v>
      </c>
    </row>
    <row r="184" spans="2:8" ht="25.5">
      <c r="B184" s="138" t="s">
        <v>45</v>
      </c>
      <c r="C184" s="33">
        <v>90587</v>
      </c>
      <c r="D184" s="34" t="s">
        <v>349</v>
      </c>
      <c r="E184" s="33" t="s">
        <v>68</v>
      </c>
      <c r="F184" s="35" t="s">
        <v>234</v>
      </c>
      <c r="G184" s="79">
        <v>0.46</v>
      </c>
      <c r="H184" s="130">
        <f t="shared" si="13"/>
        <v>0.06</v>
      </c>
    </row>
    <row r="185" spans="2:8" ht="21.95" customHeight="1">
      <c r="B185" s="134"/>
      <c r="C185" s="29"/>
      <c r="D185" s="29"/>
      <c r="E185" s="208" t="s">
        <v>47</v>
      </c>
      <c r="F185" s="209"/>
      <c r="G185" s="210"/>
      <c r="H185" s="140">
        <f>SUM(H180:H184)</f>
        <v>29.09</v>
      </c>
    </row>
    <row r="186" spans="2:8" ht="21.95" customHeight="1">
      <c r="B186" s="134"/>
      <c r="C186" s="29"/>
      <c r="D186" s="29"/>
      <c r="E186" s="208" t="str">
        <f>"BDI ( " &amp;TEXT($H$11,"0,00") &amp;" ) %:"</f>
        <v>BDI ( 22,10 ) %:</v>
      </c>
      <c r="F186" s="209"/>
      <c r="G186" s="210"/>
      <c r="H186" s="141">
        <f>ROUND(H185*($H$11/100),2)</f>
        <v>6.43</v>
      </c>
    </row>
    <row r="187" spans="2:8" ht="21.95" customHeight="1">
      <c r="B187" s="134"/>
      <c r="C187" s="29"/>
      <c r="D187" s="29"/>
      <c r="E187" s="208" t="s">
        <v>48</v>
      </c>
      <c r="F187" s="209"/>
      <c r="G187" s="210"/>
      <c r="H187" s="142">
        <f>ROUND(SUM(H185:H186),2)</f>
        <v>35.520000000000003</v>
      </c>
    </row>
    <row r="188" spans="2:8" ht="21.95" customHeight="1">
      <c r="B188" s="134"/>
      <c r="C188" s="29"/>
      <c r="D188" s="29"/>
      <c r="E188" s="29"/>
      <c r="F188" s="29"/>
      <c r="G188" s="29"/>
      <c r="H188" s="137"/>
    </row>
    <row r="189" spans="2:8" ht="38.25">
      <c r="B189" s="124" t="s">
        <v>281</v>
      </c>
      <c r="C189" s="30" t="s">
        <v>244</v>
      </c>
      <c r="D189" s="31" t="s">
        <v>245</v>
      </c>
      <c r="E189" s="30" t="s">
        <v>43</v>
      </c>
      <c r="F189" s="32" t="s">
        <v>38</v>
      </c>
      <c r="G189" s="32" t="s">
        <v>39</v>
      </c>
      <c r="H189" s="125" t="s">
        <v>40</v>
      </c>
    </row>
    <row r="190" spans="2:8" ht="20.100000000000001" customHeight="1">
      <c r="B190" s="138" t="s">
        <v>41</v>
      </c>
      <c r="C190" s="33">
        <v>1332</v>
      </c>
      <c r="D190" s="34" t="s">
        <v>235</v>
      </c>
      <c r="E190" s="33" t="s">
        <v>56</v>
      </c>
      <c r="F190" s="36" t="s">
        <v>236</v>
      </c>
      <c r="G190" s="79">
        <v>5.58</v>
      </c>
      <c r="H190" s="130">
        <f t="shared" ref="H190:H195" si="14">ROUND(F190*G190,2)</f>
        <v>5</v>
      </c>
    </row>
    <row r="191" spans="2:8" ht="20.100000000000001" customHeight="1">
      <c r="B191" s="138" t="s">
        <v>41</v>
      </c>
      <c r="C191" s="33">
        <v>11002</v>
      </c>
      <c r="D191" s="34" t="s">
        <v>237</v>
      </c>
      <c r="E191" s="33" t="s">
        <v>56</v>
      </c>
      <c r="F191" s="36" t="s">
        <v>205</v>
      </c>
      <c r="G191" s="79">
        <v>23.19</v>
      </c>
      <c r="H191" s="130">
        <f t="shared" si="14"/>
        <v>1.51</v>
      </c>
    </row>
    <row r="192" spans="2:8" ht="25.5">
      <c r="B192" s="138" t="s">
        <v>41</v>
      </c>
      <c r="C192" s="33">
        <v>11964</v>
      </c>
      <c r="D192" s="34" t="s">
        <v>238</v>
      </c>
      <c r="E192" s="33" t="s">
        <v>44</v>
      </c>
      <c r="F192" s="36" t="s">
        <v>239</v>
      </c>
      <c r="G192" s="79">
        <v>1.24</v>
      </c>
      <c r="H192" s="130">
        <f t="shared" si="14"/>
        <v>4.13</v>
      </c>
    </row>
    <row r="193" spans="2:8" ht="25.5">
      <c r="B193" s="138" t="s">
        <v>41</v>
      </c>
      <c r="C193" s="33">
        <v>21012</v>
      </c>
      <c r="D193" s="34" t="s">
        <v>240</v>
      </c>
      <c r="E193" s="33" t="s">
        <v>43</v>
      </c>
      <c r="F193" s="36">
        <v>2.7271999999999998</v>
      </c>
      <c r="G193" s="79">
        <v>33.549999999999997</v>
      </c>
      <c r="H193" s="130">
        <f t="shared" si="14"/>
        <v>91.5</v>
      </c>
    </row>
    <row r="194" spans="2:8" ht="20.100000000000001" customHeight="1">
      <c r="B194" s="138" t="s">
        <v>45</v>
      </c>
      <c r="C194" s="33">
        <v>88251</v>
      </c>
      <c r="D194" s="34" t="s">
        <v>241</v>
      </c>
      <c r="E194" s="33" t="s">
        <v>59</v>
      </c>
      <c r="F194" s="36" t="s">
        <v>242</v>
      </c>
      <c r="G194" s="79">
        <v>19.100000000000001</v>
      </c>
      <c r="H194" s="130">
        <f t="shared" si="14"/>
        <v>86.45</v>
      </c>
    </row>
    <row r="195" spans="2:8" ht="20.100000000000001" customHeight="1">
      <c r="B195" s="138" t="s">
        <v>45</v>
      </c>
      <c r="C195" s="33">
        <v>88315</v>
      </c>
      <c r="D195" s="34" t="s">
        <v>109</v>
      </c>
      <c r="E195" s="33" t="s">
        <v>59</v>
      </c>
      <c r="F195" s="36" t="s">
        <v>243</v>
      </c>
      <c r="G195" s="79">
        <v>23.44</v>
      </c>
      <c r="H195" s="130">
        <f t="shared" si="14"/>
        <v>129.15</v>
      </c>
    </row>
    <row r="196" spans="2:8" ht="21.95" customHeight="1">
      <c r="B196" s="134"/>
      <c r="C196" s="29"/>
      <c r="D196" s="29"/>
      <c r="E196" s="208" t="s">
        <v>47</v>
      </c>
      <c r="F196" s="209"/>
      <c r="G196" s="210"/>
      <c r="H196" s="140">
        <f>SUM(H190:H195)</f>
        <v>317.74</v>
      </c>
    </row>
    <row r="197" spans="2:8" ht="21.95" customHeight="1">
      <c r="B197" s="134"/>
      <c r="C197" s="29"/>
      <c r="D197" s="29"/>
      <c r="E197" s="208" t="str">
        <f>"BDI ( " &amp;TEXT($H$11,"0,00") &amp;" ) %:"</f>
        <v>BDI ( 22,10 ) %:</v>
      </c>
      <c r="F197" s="209"/>
      <c r="G197" s="210"/>
      <c r="H197" s="141">
        <f>ROUND(H196*($H$11/100),2)</f>
        <v>70.22</v>
      </c>
    </row>
    <row r="198" spans="2:8" ht="21.95" customHeight="1">
      <c r="B198" s="134"/>
      <c r="C198" s="29"/>
      <c r="D198" s="29"/>
      <c r="E198" s="208" t="s">
        <v>48</v>
      </c>
      <c r="F198" s="209"/>
      <c r="G198" s="210"/>
      <c r="H198" s="142">
        <f>ROUND(SUM(H196:H197),2)</f>
        <v>387.96</v>
      </c>
    </row>
    <row r="199" spans="2:8" ht="10.5" customHeight="1">
      <c r="B199" s="134"/>
      <c r="C199" s="29"/>
      <c r="D199" s="29"/>
      <c r="E199" s="29"/>
      <c r="F199" s="29"/>
      <c r="G199" s="29"/>
      <c r="H199" s="137"/>
    </row>
    <row r="200" spans="2:8" ht="27.75" customHeight="1">
      <c r="B200" s="124" t="s">
        <v>282</v>
      </c>
      <c r="C200" s="30" t="s">
        <v>247</v>
      </c>
      <c r="D200" s="31" t="s">
        <v>248</v>
      </c>
      <c r="E200" s="30" t="s">
        <v>37</v>
      </c>
      <c r="F200" s="32" t="s">
        <v>38</v>
      </c>
      <c r="G200" s="32" t="s">
        <v>39</v>
      </c>
      <c r="H200" s="125" t="s">
        <v>40</v>
      </c>
    </row>
    <row r="201" spans="2:8" ht="30" customHeight="1">
      <c r="B201" s="138" t="s">
        <v>45</v>
      </c>
      <c r="C201" s="33">
        <v>5851</v>
      </c>
      <c r="D201" s="34" t="s">
        <v>350</v>
      </c>
      <c r="E201" s="33" t="s">
        <v>65</v>
      </c>
      <c r="F201" s="35" t="s">
        <v>137</v>
      </c>
      <c r="G201" s="79">
        <v>161.68</v>
      </c>
      <c r="H201" s="130">
        <f t="shared" ref="H201:H202" si="15">ROUND(F201*G201,2)</f>
        <v>0.32</v>
      </c>
    </row>
    <row r="202" spans="2:8" ht="20.100000000000001" customHeight="1">
      <c r="B202" s="138" t="s">
        <v>45</v>
      </c>
      <c r="C202" s="33" t="s">
        <v>78</v>
      </c>
      <c r="D202" s="34" t="s">
        <v>60</v>
      </c>
      <c r="E202" s="33" t="s">
        <v>59</v>
      </c>
      <c r="F202" s="35" t="s">
        <v>249</v>
      </c>
      <c r="G202" s="79">
        <v>16.41</v>
      </c>
      <c r="H202" s="130">
        <f t="shared" si="15"/>
        <v>0.03</v>
      </c>
    </row>
    <row r="203" spans="2:8" ht="20.25" customHeight="1">
      <c r="B203" s="134"/>
      <c r="C203" s="29"/>
      <c r="D203" s="29"/>
      <c r="E203" s="208" t="s">
        <v>47</v>
      </c>
      <c r="F203" s="209"/>
      <c r="G203" s="210"/>
      <c r="H203" s="140">
        <f>SUM(H201:H202)</f>
        <v>0.35</v>
      </c>
    </row>
    <row r="204" spans="2:8" ht="18.75" customHeight="1">
      <c r="B204" s="134"/>
      <c r="C204" s="29"/>
      <c r="D204" s="29"/>
      <c r="E204" s="208" t="str">
        <f>"BDI ( " &amp;TEXT($H$11,"0,00") &amp;" ) %:"</f>
        <v>BDI ( 22,10 ) %:</v>
      </c>
      <c r="F204" s="209"/>
      <c r="G204" s="210"/>
      <c r="H204" s="141">
        <f>ROUND(H203*($H$11/100),2)</f>
        <v>0.08</v>
      </c>
    </row>
    <row r="205" spans="2:8" ht="20.100000000000001" customHeight="1">
      <c r="B205" s="134"/>
      <c r="C205" s="29"/>
      <c r="D205" s="29"/>
      <c r="E205" s="208" t="s">
        <v>48</v>
      </c>
      <c r="F205" s="209"/>
      <c r="G205" s="210"/>
      <c r="H205" s="142">
        <f>ROUND(SUM(H203:H204),2)</f>
        <v>0.43</v>
      </c>
    </row>
    <row r="206" spans="2:8" ht="10.5" customHeight="1">
      <c r="B206" s="134"/>
      <c r="C206" s="29"/>
      <c r="D206" s="29"/>
      <c r="E206" s="29"/>
      <c r="F206" s="29"/>
      <c r="G206" s="29"/>
      <c r="H206" s="137"/>
    </row>
    <row r="207" spans="2:8" ht="39.75" customHeight="1">
      <c r="B207" s="124" t="s">
        <v>284</v>
      </c>
      <c r="C207" s="30" t="s">
        <v>63</v>
      </c>
      <c r="D207" s="31" t="s">
        <v>64</v>
      </c>
      <c r="E207" s="30" t="s">
        <v>46</v>
      </c>
      <c r="F207" s="32" t="s">
        <v>38</v>
      </c>
      <c r="G207" s="32" t="s">
        <v>39</v>
      </c>
      <c r="H207" s="125" t="s">
        <v>40</v>
      </c>
    </row>
    <row r="208" spans="2:8" ht="25.5">
      <c r="B208" s="138" t="s">
        <v>45</v>
      </c>
      <c r="C208" s="33">
        <v>5851</v>
      </c>
      <c r="D208" s="34" t="s">
        <v>350</v>
      </c>
      <c r="E208" s="33" t="s">
        <v>65</v>
      </c>
      <c r="F208" s="35" t="s">
        <v>66</v>
      </c>
      <c r="G208" s="80">
        <v>161.68</v>
      </c>
      <c r="H208" s="130">
        <f>ROUND(F208*G208,2)</f>
        <v>1.51</v>
      </c>
    </row>
    <row r="209" spans="2:8" ht="25.5">
      <c r="B209" s="138" t="s">
        <v>45</v>
      </c>
      <c r="C209" s="33">
        <v>5944</v>
      </c>
      <c r="D209" s="34" t="s">
        <v>351</v>
      </c>
      <c r="E209" s="33" t="s">
        <v>65</v>
      </c>
      <c r="F209" s="35" t="s">
        <v>67</v>
      </c>
      <c r="G209" s="80">
        <v>145.05000000000001</v>
      </c>
      <c r="H209" s="130">
        <f>ROUND(F209*G209,2)</f>
        <v>0.79</v>
      </c>
    </row>
    <row r="210" spans="2:8" ht="25.5">
      <c r="B210" s="138" t="s">
        <v>45</v>
      </c>
      <c r="C210" s="33">
        <v>5946</v>
      </c>
      <c r="D210" s="34" t="s">
        <v>352</v>
      </c>
      <c r="E210" s="33" t="s">
        <v>68</v>
      </c>
      <c r="F210" s="35" t="s">
        <v>69</v>
      </c>
      <c r="G210" s="80">
        <v>68.23</v>
      </c>
      <c r="H210" s="130">
        <f>ROUND(F210*G210,2)</f>
        <v>0.27</v>
      </c>
    </row>
    <row r="211" spans="2:8" ht="20.100000000000001" customHeight="1">
      <c r="B211" s="138" t="s">
        <v>45</v>
      </c>
      <c r="C211" s="33" t="s">
        <v>78</v>
      </c>
      <c r="D211" s="34" t="s">
        <v>60</v>
      </c>
      <c r="E211" s="33" t="s">
        <v>59</v>
      </c>
      <c r="F211" s="35" t="s">
        <v>70</v>
      </c>
      <c r="G211" s="80">
        <v>16.41</v>
      </c>
      <c r="H211" s="130">
        <f>ROUND(F211*G211,2)</f>
        <v>0.31</v>
      </c>
    </row>
    <row r="212" spans="2:8" ht="21.95" customHeight="1">
      <c r="B212" s="134"/>
      <c r="C212" s="29"/>
      <c r="D212" s="29"/>
      <c r="E212" s="208" t="s">
        <v>47</v>
      </c>
      <c r="F212" s="209"/>
      <c r="G212" s="210"/>
      <c r="H212" s="140">
        <f>SUM(H208:H211)</f>
        <v>2.88</v>
      </c>
    </row>
    <row r="213" spans="2:8" ht="21.95" customHeight="1">
      <c r="B213" s="134"/>
      <c r="C213" s="29"/>
      <c r="D213" s="29"/>
      <c r="E213" s="208" t="str">
        <f>"BDI ( " &amp;TEXT($H$11,"0,00") &amp;" ) %:"</f>
        <v>BDI ( 22,10 ) %:</v>
      </c>
      <c r="F213" s="209"/>
      <c r="G213" s="210"/>
      <c r="H213" s="141">
        <f>ROUND(H212*($H$11/100),2)</f>
        <v>0.64</v>
      </c>
    </row>
    <row r="214" spans="2:8" ht="21.95" customHeight="1">
      <c r="B214" s="134"/>
      <c r="C214" s="29"/>
      <c r="D214" s="29"/>
      <c r="E214" s="208" t="s">
        <v>48</v>
      </c>
      <c r="F214" s="209"/>
      <c r="G214" s="210"/>
      <c r="H214" s="142">
        <f>ROUND(SUM(H212:H213),2)</f>
        <v>3.52</v>
      </c>
    </row>
    <row r="215" spans="2:8" ht="12" customHeight="1">
      <c r="B215" s="134"/>
      <c r="C215" s="29"/>
      <c r="D215" s="29"/>
      <c r="E215" s="29"/>
      <c r="F215" s="29"/>
      <c r="G215" s="29"/>
      <c r="H215" s="137"/>
    </row>
    <row r="216" spans="2:8" ht="48" customHeight="1">
      <c r="B216" s="124" t="s">
        <v>285</v>
      </c>
      <c r="C216" s="30" t="s">
        <v>166</v>
      </c>
      <c r="D216" s="31" t="s">
        <v>167</v>
      </c>
      <c r="E216" s="30" t="s">
        <v>46</v>
      </c>
      <c r="F216" s="32" t="s">
        <v>38</v>
      </c>
      <c r="G216" s="32" t="s">
        <v>39</v>
      </c>
      <c r="H216" s="125" t="s">
        <v>40</v>
      </c>
    </row>
    <row r="217" spans="2:8" ht="38.25">
      <c r="B217" s="138" t="s">
        <v>45</v>
      </c>
      <c r="C217" s="33">
        <v>5811</v>
      </c>
      <c r="D217" s="34" t="s">
        <v>353</v>
      </c>
      <c r="E217" s="33" t="s">
        <v>65</v>
      </c>
      <c r="F217" s="35" t="s">
        <v>168</v>
      </c>
      <c r="G217" s="80">
        <v>126.35</v>
      </c>
      <c r="H217" s="130">
        <f>ROUND(F217*G217,2)</f>
        <v>0.38</v>
      </c>
    </row>
    <row r="218" spans="2:8" ht="38.25">
      <c r="B218" s="138" t="s">
        <v>45</v>
      </c>
      <c r="C218" s="33">
        <v>5940</v>
      </c>
      <c r="D218" s="34" t="s">
        <v>354</v>
      </c>
      <c r="E218" s="33" t="s">
        <v>65</v>
      </c>
      <c r="F218" s="35" t="s">
        <v>169</v>
      </c>
      <c r="G218" s="80">
        <v>132.30000000000001</v>
      </c>
      <c r="H218" s="130">
        <f>ROUND(F218*G218,2)</f>
        <v>1.06</v>
      </c>
    </row>
    <row r="219" spans="2:8" ht="20.100000000000001" customHeight="1">
      <c r="B219" s="138" t="s">
        <v>45</v>
      </c>
      <c r="C219" s="33" t="s">
        <v>78</v>
      </c>
      <c r="D219" s="34" t="s">
        <v>60</v>
      </c>
      <c r="E219" s="33" t="s">
        <v>59</v>
      </c>
      <c r="F219" s="35" t="s">
        <v>169</v>
      </c>
      <c r="G219" s="80">
        <v>16.41</v>
      </c>
      <c r="H219" s="130">
        <f>ROUND(F219*G219,2)</f>
        <v>0.13</v>
      </c>
    </row>
    <row r="220" spans="2:8" ht="21.95" customHeight="1">
      <c r="B220" s="134"/>
      <c r="C220" s="29"/>
      <c r="D220" s="29"/>
      <c r="E220" s="208" t="s">
        <v>47</v>
      </c>
      <c r="F220" s="209"/>
      <c r="G220" s="210"/>
      <c r="H220" s="140">
        <f>SUM(H217:H219)</f>
        <v>1.5699999999999998</v>
      </c>
    </row>
    <row r="221" spans="2:8" ht="21.95" customHeight="1">
      <c r="B221" s="134"/>
      <c r="C221" s="29"/>
      <c r="D221" s="29"/>
      <c r="E221" s="208" t="str">
        <f>"BDI ( " &amp;TEXT($H$11,"0,00") &amp;" ) %:"</f>
        <v>BDI ( 22,10 ) %:</v>
      </c>
      <c r="F221" s="209"/>
      <c r="G221" s="210"/>
      <c r="H221" s="141">
        <f>ROUND(H220*($H$11/100),2)</f>
        <v>0.35</v>
      </c>
    </row>
    <row r="222" spans="2:8" ht="21.95" customHeight="1">
      <c r="B222" s="134"/>
      <c r="C222" s="29"/>
      <c r="D222" s="29"/>
      <c r="E222" s="208" t="s">
        <v>48</v>
      </c>
      <c r="F222" s="209"/>
      <c r="G222" s="210"/>
      <c r="H222" s="142">
        <f>ROUND(SUM(H220:H221),2)</f>
        <v>1.92</v>
      </c>
    </row>
    <row r="223" spans="2:8" ht="11.25" customHeight="1">
      <c r="B223" s="134"/>
      <c r="C223" s="29"/>
      <c r="D223" s="29"/>
      <c r="E223" s="29"/>
      <c r="F223" s="29"/>
      <c r="G223" s="29"/>
      <c r="H223" s="137"/>
    </row>
    <row r="224" spans="2:8" ht="25.5">
      <c r="B224" s="124" t="s">
        <v>286</v>
      </c>
      <c r="C224" s="30">
        <v>93594</v>
      </c>
      <c r="D224" s="31" t="s">
        <v>355</v>
      </c>
      <c r="E224" s="30" t="s">
        <v>71</v>
      </c>
      <c r="F224" s="32" t="s">
        <v>38</v>
      </c>
      <c r="G224" s="32" t="s">
        <v>39</v>
      </c>
      <c r="H224" s="125" t="s">
        <v>40</v>
      </c>
    </row>
    <row r="225" spans="2:8" ht="51">
      <c r="B225" s="138" t="s">
        <v>45</v>
      </c>
      <c r="C225" s="33">
        <v>91386</v>
      </c>
      <c r="D225" s="34" t="s">
        <v>356</v>
      </c>
      <c r="E225" s="33" t="s">
        <v>65</v>
      </c>
      <c r="F225" s="35" t="s">
        <v>171</v>
      </c>
      <c r="G225" s="80">
        <v>156.25</v>
      </c>
      <c r="H225" s="130">
        <f>ROUND(F225*G225,2)</f>
        <v>0.91</v>
      </c>
    </row>
    <row r="226" spans="2:8" ht="51">
      <c r="B226" s="138" t="s">
        <v>45</v>
      </c>
      <c r="C226" s="33">
        <v>91387</v>
      </c>
      <c r="D226" s="34" t="s">
        <v>357</v>
      </c>
      <c r="E226" s="33" t="s">
        <v>68</v>
      </c>
      <c r="F226" s="35" t="s">
        <v>172</v>
      </c>
      <c r="G226" s="80">
        <v>43.78</v>
      </c>
      <c r="H226" s="130">
        <f>ROUND(F226*G226,2)</f>
        <v>0.06</v>
      </c>
    </row>
    <row r="227" spans="2:8" ht="21.95" customHeight="1">
      <c r="B227" s="134"/>
      <c r="C227" s="29"/>
      <c r="D227" s="29"/>
      <c r="E227" s="208" t="s">
        <v>47</v>
      </c>
      <c r="F227" s="209"/>
      <c r="G227" s="210"/>
      <c r="H227" s="140">
        <f>SUM(H225:H226)</f>
        <v>0.97</v>
      </c>
    </row>
    <row r="228" spans="2:8" ht="21.95" customHeight="1">
      <c r="B228" s="134"/>
      <c r="C228" s="29"/>
      <c r="D228" s="29"/>
      <c r="E228" s="208" t="str">
        <f>"BDI ( " &amp;TEXT($H$11,"0,00") &amp;" ) %:"</f>
        <v>BDI ( 22,10 ) %:</v>
      </c>
      <c r="F228" s="209"/>
      <c r="G228" s="210"/>
      <c r="H228" s="141">
        <f>ROUND(H227*($H$11/100),2)</f>
        <v>0.21</v>
      </c>
    </row>
    <row r="229" spans="2:8" ht="21.95" customHeight="1">
      <c r="B229" s="134"/>
      <c r="C229" s="29"/>
      <c r="D229" s="29"/>
      <c r="E229" s="208" t="s">
        <v>48</v>
      </c>
      <c r="F229" s="209"/>
      <c r="G229" s="210"/>
      <c r="H229" s="142">
        <f>ROUND(SUM(H227:H228),2)</f>
        <v>1.18</v>
      </c>
    </row>
    <row r="230" spans="2:8">
      <c r="B230" s="134"/>
      <c r="C230" s="29"/>
      <c r="D230" s="29"/>
      <c r="E230" s="29"/>
      <c r="F230" s="29"/>
      <c r="G230" s="29"/>
      <c r="H230" s="137"/>
    </row>
    <row r="231" spans="2:8" ht="38.25">
      <c r="B231" s="124" t="s">
        <v>287</v>
      </c>
      <c r="C231" s="30">
        <v>96387</v>
      </c>
      <c r="D231" s="31" t="s">
        <v>358</v>
      </c>
      <c r="E231" s="30" t="s">
        <v>46</v>
      </c>
      <c r="F231" s="32" t="s">
        <v>38</v>
      </c>
      <c r="G231" s="32" t="s">
        <v>39</v>
      </c>
      <c r="H231" s="125" t="s">
        <v>40</v>
      </c>
    </row>
    <row r="232" spans="2:8" ht="51">
      <c r="B232" s="138" t="s">
        <v>45</v>
      </c>
      <c r="C232" s="81" t="s">
        <v>288</v>
      </c>
      <c r="D232" s="34" t="s">
        <v>359</v>
      </c>
      <c r="E232" s="33" t="s">
        <v>65</v>
      </c>
      <c r="F232" s="35" t="s">
        <v>174</v>
      </c>
      <c r="G232" s="80">
        <v>184.56</v>
      </c>
      <c r="H232" s="130">
        <f t="shared" ref="H232:H244" si="16">ROUND(F232*G232,2)</f>
        <v>1.18</v>
      </c>
    </row>
    <row r="233" spans="2:8" ht="51">
      <c r="B233" s="138" t="s">
        <v>45</v>
      </c>
      <c r="C233" s="81" t="s">
        <v>289</v>
      </c>
      <c r="D233" s="34" t="s">
        <v>360</v>
      </c>
      <c r="E233" s="33" t="s">
        <v>68</v>
      </c>
      <c r="F233" s="35" t="s">
        <v>175</v>
      </c>
      <c r="G233" s="80">
        <v>43.59</v>
      </c>
      <c r="H233" s="130">
        <f t="shared" si="16"/>
        <v>0.41</v>
      </c>
    </row>
    <row r="234" spans="2:8" ht="25.5">
      <c r="B234" s="138" t="s">
        <v>45</v>
      </c>
      <c r="C234" s="33">
        <v>5921</v>
      </c>
      <c r="D234" s="34" t="s">
        <v>361</v>
      </c>
      <c r="E234" s="33" t="s">
        <v>65</v>
      </c>
      <c r="F234" s="35" t="s">
        <v>176</v>
      </c>
      <c r="G234" s="80">
        <v>2.15</v>
      </c>
      <c r="H234" s="130">
        <f t="shared" si="16"/>
        <v>0.01</v>
      </c>
    </row>
    <row r="235" spans="2:8" ht="25.5">
      <c r="B235" s="138" t="s">
        <v>45</v>
      </c>
      <c r="C235" s="33">
        <v>5923</v>
      </c>
      <c r="D235" s="34" t="s">
        <v>362</v>
      </c>
      <c r="E235" s="33" t="s">
        <v>68</v>
      </c>
      <c r="F235" s="35" t="s">
        <v>177</v>
      </c>
      <c r="G235" s="80">
        <v>1.39</v>
      </c>
      <c r="H235" s="130">
        <f t="shared" si="16"/>
        <v>0.02</v>
      </c>
    </row>
    <row r="236" spans="2:8" ht="38.25">
      <c r="B236" s="138" t="s">
        <v>45</v>
      </c>
      <c r="C236" s="33">
        <v>5932</v>
      </c>
      <c r="D236" s="34" t="s">
        <v>363</v>
      </c>
      <c r="E236" s="33" t="s">
        <v>65</v>
      </c>
      <c r="F236" s="35" t="s">
        <v>178</v>
      </c>
      <c r="G236" s="80">
        <v>162.35</v>
      </c>
      <c r="H236" s="130">
        <f t="shared" si="16"/>
        <v>1.25</v>
      </c>
    </row>
    <row r="237" spans="2:8" ht="38.25">
      <c r="B237" s="138" t="s">
        <v>45</v>
      </c>
      <c r="C237" s="33">
        <v>5934</v>
      </c>
      <c r="D237" s="34" t="s">
        <v>364</v>
      </c>
      <c r="E237" s="33" t="s">
        <v>68</v>
      </c>
      <c r="F237" s="35" t="s">
        <v>179</v>
      </c>
      <c r="G237" s="80">
        <v>68.89</v>
      </c>
      <c r="H237" s="130">
        <f t="shared" si="16"/>
        <v>0.56999999999999995</v>
      </c>
    </row>
    <row r="238" spans="2:8" ht="38.25">
      <c r="B238" s="138" t="s">
        <v>45</v>
      </c>
      <c r="C238" s="81" t="s">
        <v>290</v>
      </c>
      <c r="D238" s="34" t="s">
        <v>365</v>
      </c>
      <c r="E238" s="33" t="s">
        <v>65</v>
      </c>
      <c r="F238" s="35" t="s">
        <v>180</v>
      </c>
      <c r="G238" s="80">
        <v>161.05000000000001</v>
      </c>
      <c r="H238" s="130">
        <f t="shared" si="16"/>
        <v>1.19</v>
      </c>
    </row>
    <row r="239" spans="2:8" ht="20.100000000000001" customHeight="1">
      <c r="B239" s="138" t="s">
        <v>45</v>
      </c>
      <c r="C239" s="33" t="s">
        <v>78</v>
      </c>
      <c r="D239" s="34" t="s">
        <v>60</v>
      </c>
      <c r="E239" s="33" t="s">
        <v>59</v>
      </c>
      <c r="F239" s="35" t="s">
        <v>181</v>
      </c>
      <c r="G239" s="80">
        <v>16.41</v>
      </c>
      <c r="H239" s="130">
        <f t="shared" si="16"/>
        <v>0.92</v>
      </c>
    </row>
    <row r="240" spans="2:8" ht="25.5">
      <c r="B240" s="138" t="s">
        <v>45</v>
      </c>
      <c r="C240" s="33">
        <v>89035</v>
      </c>
      <c r="D240" s="34" t="s">
        <v>366</v>
      </c>
      <c r="E240" s="33" t="s">
        <v>65</v>
      </c>
      <c r="F240" s="35" t="s">
        <v>176</v>
      </c>
      <c r="G240" s="80">
        <v>124.68</v>
      </c>
      <c r="H240" s="130">
        <f t="shared" si="16"/>
        <v>0.34</v>
      </c>
    </row>
    <row r="241" spans="2:8" ht="25.5">
      <c r="B241" s="138" t="s">
        <v>45</v>
      </c>
      <c r="C241" s="33">
        <v>89036</v>
      </c>
      <c r="D241" s="34" t="s">
        <v>367</v>
      </c>
      <c r="E241" s="33" t="s">
        <v>68</v>
      </c>
      <c r="F241" s="35" t="s">
        <v>177</v>
      </c>
      <c r="G241" s="80">
        <v>42.02</v>
      </c>
      <c r="H241" s="130">
        <f t="shared" si="16"/>
        <v>0.56000000000000005</v>
      </c>
    </row>
    <row r="242" spans="2:8" ht="38.25">
      <c r="B242" s="138" t="s">
        <v>45</v>
      </c>
      <c r="C242" s="81" t="s">
        <v>291</v>
      </c>
      <c r="D242" s="34" t="s">
        <v>368</v>
      </c>
      <c r="E242" s="33" t="s">
        <v>68</v>
      </c>
      <c r="F242" s="35" t="s">
        <v>87</v>
      </c>
      <c r="G242" s="80">
        <v>48.47</v>
      </c>
      <c r="H242" s="130">
        <f t="shared" si="16"/>
        <v>0.42</v>
      </c>
    </row>
    <row r="243" spans="2:8" ht="38.25">
      <c r="B243" s="138" t="s">
        <v>45</v>
      </c>
      <c r="C243" s="81" t="s">
        <v>292</v>
      </c>
      <c r="D243" s="34" t="s">
        <v>369</v>
      </c>
      <c r="E243" s="33" t="s">
        <v>65</v>
      </c>
      <c r="F243" s="35" t="s">
        <v>138</v>
      </c>
      <c r="G243" s="80">
        <v>130.13</v>
      </c>
      <c r="H243" s="130">
        <f t="shared" si="16"/>
        <v>0.13</v>
      </c>
    </row>
    <row r="244" spans="2:8" ht="38.25">
      <c r="B244" s="138" t="s">
        <v>45</v>
      </c>
      <c r="C244" s="81" t="s">
        <v>293</v>
      </c>
      <c r="D244" s="34" t="s">
        <v>370</v>
      </c>
      <c r="E244" s="33" t="s">
        <v>68</v>
      </c>
      <c r="F244" s="35" t="s">
        <v>182</v>
      </c>
      <c r="G244" s="80">
        <v>60.04</v>
      </c>
      <c r="H244" s="130">
        <f t="shared" si="16"/>
        <v>0.9</v>
      </c>
    </row>
    <row r="245" spans="2:8" ht="21.95" customHeight="1">
      <c r="B245" s="134"/>
      <c r="C245" s="29"/>
      <c r="D245" s="29"/>
      <c r="E245" s="208" t="s">
        <v>47</v>
      </c>
      <c r="F245" s="209"/>
      <c r="G245" s="210"/>
      <c r="H245" s="140">
        <f>SUM(H232:H244)</f>
        <v>7.8999999999999995</v>
      </c>
    </row>
    <row r="246" spans="2:8" ht="21.95" customHeight="1">
      <c r="B246" s="134"/>
      <c r="C246" s="29"/>
      <c r="D246" s="29"/>
      <c r="E246" s="208" t="str">
        <f>"BDI ( " &amp;TEXT($H$11,"0,00") &amp;" ) %:"</f>
        <v>BDI ( 22,10 ) %:</v>
      </c>
      <c r="F246" s="209"/>
      <c r="G246" s="210"/>
      <c r="H246" s="141">
        <f>ROUND(H245*($H$11/100),2)</f>
        <v>1.75</v>
      </c>
    </row>
    <row r="247" spans="2:8" ht="21.95" customHeight="1" thickBot="1">
      <c r="B247" s="149"/>
      <c r="C247" s="150"/>
      <c r="D247" s="150"/>
      <c r="E247" s="214" t="s">
        <v>48</v>
      </c>
      <c r="F247" s="215"/>
      <c r="G247" s="216"/>
      <c r="H247" s="151">
        <f>ROUND(SUM(H245:H246),2)</f>
        <v>9.65</v>
      </c>
    </row>
  </sheetData>
  <mergeCells count="83">
    <mergeCell ref="E177:G177"/>
    <mergeCell ref="E185:G185"/>
    <mergeCell ref="E186:G186"/>
    <mergeCell ref="E187:G187"/>
    <mergeCell ref="E156:G156"/>
    <mergeCell ref="E163:G163"/>
    <mergeCell ref="E164:G164"/>
    <mergeCell ref="E165:G165"/>
    <mergeCell ref="E175:G175"/>
    <mergeCell ref="E205:G205"/>
    <mergeCell ref="E196:G196"/>
    <mergeCell ref="E197:G197"/>
    <mergeCell ref="E198:G198"/>
    <mergeCell ref="E203:G203"/>
    <mergeCell ref="E204:G204"/>
    <mergeCell ref="E41:G41"/>
    <mergeCell ref="F11:G11"/>
    <mergeCell ref="F12:G12"/>
    <mergeCell ref="F13:H13"/>
    <mergeCell ref="E23:G23"/>
    <mergeCell ref="E24:G24"/>
    <mergeCell ref="E25:G25"/>
    <mergeCell ref="E29:G29"/>
    <mergeCell ref="E30:G30"/>
    <mergeCell ref="E31:G31"/>
    <mergeCell ref="E39:G39"/>
    <mergeCell ref="E40:G40"/>
    <mergeCell ref="B2:H2"/>
    <mergeCell ref="B3:H3"/>
    <mergeCell ref="B4:H4"/>
    <mergeCell ref="B5:H5"/>
    <mergeCell ref="B7:H7"/>
    <mergeCell ref="E228:G228"/>
    <mergeCell ref="E229:G229"/>
    <mergeCell ref="B9:H9"/>
    <mergeCell ref="E212:G212"/>
    <mergeCell ref="E213:G213"/>
    <mergeCell ref="E214:G214"/>
    <mergeCell ref="E220:G220"/>
    <mergeCell ref="E94:G94"/>
    <mergeCell ref="E95:G95"/>
    <mergeCell ref="E115:G115"/>
    <mergeCell ref="E116:G116"/>
    <mergeCell ref="E117:G117"/>
    <mergeCell ref="E125:G125"/>
    <mergeCell ref="E176:G176"/>
    <mergeCell ref="E135:G135"/>
    <mergeCell ref="E136:G136"/>
    <mergeCell ref="E245:G245"/>
    <mergeCell ref="E246:G246"/>
    <mergeCell ref="E247:G247"/>
    <mergeCell ref="E53:G53"/>
    <mergeCell ref="E54:G54"/>
    <mergeCell ref="E55:G55"/>
    <mergeCell ref="E62:G62"/>
    <mergeCell ref="E63:G63"/>
    <mergeCell ref="E64:G64"/>
    <mergeCell ref="E71:G71"/>
    <mergeCell ref="E72:G72"/>
    <mergeCell ref="E73:G73"/>
    <mergeCell ref="E93:G93"/>
    <mergeCell ref="E221:G221"/>
    <mergeCell ref="E222:G222"/>
    <mergeCell ref="E227:G227"/>
    <mergeCell ref="E154:G154"/>
    <mergeCell ref="E155:G155"/>
    <mergeCell ref="E147:G147"/>
    <mergeCell ref="E105:G105"/>
    <mergeCell ref="E106:G106"/>
    <mergeCell ref="E107:G107"/>
    <mergeCell ref="E126:G126"/>
    <mergeCell ref="E127:G127"/>
    <mergeCell ref="E42:G42"/>
    <mergeCell ref="E43:G43"/>
    <mergeCell ref="E47:G47"/>
    <mergeCell ref="E48:G48"/>
    <mergeCell ref="E49:G49"/>
    <mergeCell ref="E81:G81"/>
    <mergeCell ref="E82:G82"/>
    <mergeCell ref="E83:G83"/>
    <mergeCell ref="E145:G145"/>
    <mergeCell ref="E146:G146"/>
    <mergeCell ref="E137:G137"/>
  </mergeCells>
  <conditionalFormatting sqref="G16:G22 B208:F211 B217:F219 B34:G38">
    <cfRule type="expression" dxfId="93" priority="221" stopIfTrue="1">
      <formula>AND($B16&lt;&gt;"COMPOSICAO",$B16&lt;&gt;"INSUMO",$B16&lt;&gt;"")</formula>
    </cfRule>
    <cfRule type="expression" dxfId="92" priority="222" stopIfTrue="1">
      <formula>AND(OR($B16="COMPOSICAO",$B16="INSUMO",$B16&lt;&gt;""),$B16&lt;&gt;"")</formula>
    </cfRule>
  </conditionalFormatting>
  <conditionalFormatting sqref="G28">
    <cfRule type="expression" dxfId="91" priority="219" stopIfTrue="1">
      <formula>AND($B28&lt;&gt;"COMPOSICAO",$B28&lt;&gt;"INSUMO",$B28&lt;&gt;"")</formula>
    </cfRule>
    <cfRule type="expression" dxfId="90" priority="220" stopIfTrue="1">
      <formula>AND(OR($B28="COMPOSICAO",$B28="INSUMO",$B28&lt;&gt;""),$B28&lt;&gt;"")</formula>
    </cfRule>
  </conditionalFormatting>
  <conditionalFormatting sqref="G16:G22">
    <cfRule type="expression" dxfId="89" priority="197" stopIfTrue="1">
      <formula>AND($B16&lt;&gt;"COMPOSICAO",$B16&lt;&gt;"INSUMO",$B16&lt;&gt;"")</formula>
    </cfRule>
    <cfRule type="expression" dxfId="88" priority="198" stopIfTrue="1">
      <formula>AND(OR($B16="COMPOSICAO",$B16="INSUMO",$B16&lt;&gt;""),$B16&lt;&gt;"")</formula>
    </cfRule>
  </conditionalFormatting>
  <conditionalFormatting sqref="B28:F28">
    <cfRule type="expression" dxfId="87" priority="215" stopIfTrue="1">
      <formula>AND($B28&lt;&gt;"COMPOSICAO",$B28&lt;&gt;"INSUMO",$B28&lt;&gt;"")</formula>
    </cfRule>
    <cfRule type="expression" dxfId="86" priority="216" stopIfTrue="1">
      <formula>AND(OR($B28="COMPOSICAO",$B28="INSUMO",$B28&lt;&gt;""),$B28&lt;&gt;"")</formula>
    </cfRule>
  </conditionalFormatting>
  <conditionalFormatting sqref="B28:D28">
    <cfRule type="expression" dxfId="85" priority="213" stopIfTrue="1">
      <formula>AND($B28&lt;&gt;"COMPOSICAO",$B28&lt;&gt;"INSUMO",$B28&lt;&gt;"")</formula>
    </cfRule>
    <cfRule type="expression" dxfId="84" priority="214" stopIfTrue="1">
      <formula>AND(OR($B28="COMPOSICAO",$B28="INSUMO",$B28&lt;&gt;""),$B28&lt;&gt;"")</formula>
    </cfRule>
  </conditionalFormatting>
  <conditionalFormatting sqref="B28:F28">
    <cfRule type="expression" dxfId="83" priority="211" stopIfTrue="1">
      <formula>AND($B28&lt;&gt;"COMPOSICAO",$B28&lt;&gt;"INSUMO",$B28&lt;&gt;"")</formula>
    </cfRule>
    <cfRule type="expression" dxfId="82" priority="212" stopIfTrue="1">
      <formula>AND(OR($B28="COMPOSICAO",$B28="INSUMO",$B28&lt;&gt;""),$B28&lt;&gt;"")</formula>
    </cfRule>
  </conditionalFormatting>
  <conditionalFormatting sqref="B28:F28">
    <cfRule type="expression" dxfId="81" priority="209" stopIfTrue="1">
      <formula>AND($B28&lt;&gt;"COMPOSICAO",$B28&lt;&gt;"INSUMO",$B28&lt;&gt;"")</formula>
    </cfRule>
    <cfRule type="expression" dxfId="80" priority="210" stopIfTrue="1">
      <formula>AND(OR($B28="COMPOSICAO",$B28="INSUMO",$B28&lt;&gt;""),$B28&lt;&gt;"")</formula>
    </cfRule>
  </conditionalFormatting>
  <conditionalFormatting sqref="B28:F28">
    <cfRule type="expression" dxfId="79" priority="207" stopIfTrue="1">
      <formula>AND($B28&lt;&gt;"COMPOSICAO",$B28&lt;&gt;"INSUMO",$B28&lt;&gt;"")</formula>
    </cfRule>
    <cfRule type="expression" dxfId="78" priority="208" stopIfTrue="1">
      <formula>AND(OR($B28="COMPOSICAO",$B28="INSUMO",$B28&lt;&gt;""),$B28&lt;&gt;"")</formula>
    </cfRule>
  </conditionalFormatting>
  <conditionalFormatting sqref="C28:F28">
    <cfRule type="expression" dxfId="77" priority="205" stopIfTrue="1">
      <formula>AND($B28&lt;&gt;"COMPOSICAO",$B28&lt;&gt;"INSUMO",$B28&lt;&gt;"")</formula>
    </cfRule>
    <cfRule type="expression" dxfId="76" priority="206" stopIfTrue="1">
      <formula>AND(OR($B28="COMPOSICAO",$B28="INSUMO",$B28&lt;&gt;""),$B28&lt;&gt;"")</formula>
    </cfRule>
  </conditionalFormatting>
  <conditionalFormatting sqref="B28:F28">
    <cfRule type="expression" dxfId="75" priority="203" stopIfTrue="1">
      <formula>AND($B28&lt;&gt;"COMPOSICAO",$B28&lt;&gt;"INSUMO",$B28&lt;&gt;"")</formula>
    </cfRule>
    <cfRule type="expression" dxfId="74" priority="204" stopIfTrue="1">
      <formula>AND(OR($B28="COMPOSICAO",$B28="INSUMO",$B28&lt;&gt;""),$B28&lt;&gt;"")</formula>
    </cfRule>
  </conditionalFormatting>
  <conditionalFormatting sqref="G16:G22">
    <cfRule type="expression" dxfId="73" priority="201" stopIfTrue="1">
      <formula>AND($B16&lt;&gt;"COMPOSICAO",$B16&lt;&gt;"INSUMO",$B16&lt;&gt;"")</formula>
    </cfRule>
    <cfRule type="expression" dxfId="72" priority="202" stopIfTrue="1">
      <formula>AND(OR($B16="COMPOSICAO",$B16="INSUMO",$B16&lt;&gt;""),$B16&lt;&gt;"")</formula>
    </cfRule>
  </conditionalFormatting>
  <conditionalFormatting sqref="G16:G22">
    <cfRule type="expression" dxfId="71" priority="199" stopIfTrue="1">
      <formula>AND($B16&lt;&gt;"COMPOSICAO",$B16&lt;&gt;"INSUMO",$B16&lt;&gt;"")</formula>
    </cfRule>
    <cfRule type="expression" dxfId="70" priority="200" stopIfTrue="1">
      <formula>AND(OR($B16="COMPOSICAO",$B16="INSUMO",$B16&lt;&gt;""),$B16&lt;&gt;"")</formula>
    </cfRule>
  </conditionalFormatting>
  <conditionalFormatting sqref="G16:G22">
    <cfRule type="expression" dxfId="69" priority="195" stopIfTrue="1">
      <formula>AND($B16&lt;&gt;"COMPOSICAO",$B16&lt;&gt;"INSUMO",$B16&lt;&gt;"")</formula>
    </cfRule>
    <cfRule type="expression" dxfId="68" priority="196" stopIfTrue="1">
      <formula>AND(OR($B16="COMPOSICAO",$B16="INSUMO",$B16&lt;&gt;""),$B16&lt;&gt;"")</formula>
    </cfRule>
  </conditionalFormatting>
  <conditionalFormatting sqref="G28">
    <cfRule type="expression" dxfId="67" priority="193" stopIfTrue="1">
      <formula>AND($B28&lt;&gt;"COMPOSICAO",$B28&lt;&gt;"INSUMO",$B28&lt;&gt;"")</formula>
    </cfRule>
    <cfRule type="expression" dxfId="66" priority="194" stopIfTrue="1">
      <formula>AND(OR($B28="COMPOSICAO",$B28="INSUMO",$B28&lt;&gt;""),$B28&lt;&gt;"")</formula>
    </cfRule>
  </conditionalFormatting>
  <conditionalFormatting sqref="G28">
    <cfRule type="expression" dxfId="65" priority="191" stopIfTrue="1">
      <formula>AND($B28&lt;&gt;"COMPOSICAO",$B28&lt;&gt;"INSUMO",$B28&lt;&gt;"")</formula>
    </cfRule>
    <cfRule type="expression" dxfId="64" priority="192" stopIfTrue="1">
      <formula>AND(OR($B28="COMPOSICAO",$B28="INSUMO",$B28&lt;&gt;""),$B28&lt;&gt;"")</formula>
    </cfRule>
  </conditionalFormatting>
  <conditionalFormatting sqref="G28">
    <cfRule type="expression" dxfId="63" priority="189" stopIfTrue="1">
      <formula>AND($B28&lt;&gt;"COMPOSICAO",$B28&lt;&gt;"INSUMO",$B28&lt;&gt;"")</formula>
    </cfRule>
    <cfRule type="expression" dxfId="62" priority="190" stopIfTrue="1">
      <formula>AND(OR($B28="COMPOSICAO",$B28="INSUMO",$B28&lt;&gt;""),$B28&lt;&gt;"")</formula>
    </cfRule>
  </conditionalFormatting>
  <conditionalFormatting sqref="G28">
    <cfRule type="expression" dxfId="61" priority="187" stopIfTrue="1">
      <formula>AND($B28&lt;&gt;"COMPOSICAO",$B28&lt;&gt;"INSUMO",$B28&lt;&gt;"")</formula>
    </cfRule>
    <cfRule type="expression" dxfId="60" priority="188" stopIfTrue="1">
      <formula>AND(OR($B28="COMPOSICAO",$B28="INSUMO",$B28&lt;&gt;""),$B28&lt;&gt;"")</formula>
    </cfRule>
  </conditionalFormatting>
  <conditionalFormatting sqref="B46:F46">
    <cfRule type="expression" dxfId="59" priority="177" stopIfTrue="1">
      <formula>AND($B46&lt;&gt;"COMPOSICAO",$B46&lt;&gt;"INSUMO",$B46&lt;&gt;"")</formula>
    </cfRule>
    <cfRule type="expression" dxfId="58" priority="178" stopIfTrue="1">
      <formula>AND(OR($B46="COMPOSICAO",$B46="INSUMO",$B46&lt;&gt;""),$B46&lt;&gt;"")</formula>
    </cfRule>
  </conditionalFormatting>
  <conditionalFormatting sqref="B46:F46">
    <cfRule type="expression" dxfId="57" priority="175" stopIfTrue="1">
      <formula>AND($B46&lt;&gt;"COMPOSICAO",$B46&lt;&gt;"INSUMO",$B46&lt;&gt;"")</formula>
    </cfRule>
    <cfRule type="expression" dxfId="56" priority="176" stopIfTrue="1">
      <formula>AND(OR($B46="COMPOSICAO",$B46="INSUMO",$B46&lt;&gt;""),$B46&lt;&gt;"")</formula>
    </cfRule>
  </conditionalFormatting>
  <conditionalFormatting sqref="B46:F46">
    <cfRule type="expression" dxfId="55" priority="173" stopIfTrue="1">
      <formula>AND($B46&lt;&gt;"COMPOSICAO",$B46&lt;&gt;"INSUMO",$B46&lt;&gt;"")</formula>
    </cfRule>
    <cfRule type="expression" dxfId="54" priority="174" stopIfTrue="1">
      <formula>AND(OR($B46="COMPOSICAO",$B46="INSUMO",$B46&lt;&gt;""),$B46&lt;&gt;"")</formula>
    </cfRule>
  </conditionalFormatting>
  <conditionalFormatting sqref="C46:F46">
    <cfRule type="expression" dxfId="53" priority="171" stopIfTrue="1">
      <formula>AND($B46&lt;&gt;"COMPOSICAO",$B46&lt;&gt;"INSUMO",$B46&lt;&gt;"")</formula>
    </cfRule>
    <cfRule type="expression" dxfId="52" priority="172" stopIfTrue="1">
      <formula>AND(OR($B46="COMPOSICAO",$B46="INSUMO",$B46&lt;&gt;""),$B46&lt;&gt;"")</formula>
    </cfRule>
  </conditionalFormatting>
  <conditionalFormatting sqref="B46:F46">
    <cfRule type="expression" dxfId="51" priority="169" stopIfTrue="1">
      <formula>AND($B46&lt;&gt;"COMPOSICAO",$B46&lt;&gt;"INSUMO",$B46&lt;&gt;"")</formula>
    </cfRule>
    <cfRule type="expression" dxfId="50" priority="170" stopIfTrue="1">
      <formula>AND(OR($B46="COMPOSICAO",$B46="INSUMO",$B46&lt;&gt;""),$B46&lt;&gt;"")</formula>
    </cfRule>
  </conditionalFormatting>
  <conditionalFormatting sqref="B46:D46">
    <cfRule type="expression" dxfId="49" priority="167" stopIfTrue="1">
      <formula>AND($B46&lt;&gt;"COMPOSICAO",$B46&lt;&gt;"INSUMO",$B46&lt;&gt;"")</formula>
    </cfRule>
    <cfRule type="expression" dxfId="48" priority="168" stopIfTrue="1">
      <formula>AND(OR($B46="COMPOSICAO",$B46="INSUMO",$B46&lt;&gt;""),$B46&lt;&gt;"")</formula>
    </cfRule>
  </conditionalFormatting>
  <conditionalFormatting sqref="B46:F46">
    <cfRule type="expression" dxfId="47" priority="165" stopIfTrue="1">
      <formula>AND($B46&lt;&gt;"COMPOSICAO",$B46&lt;&gt;"INSUMO",$B46&lt;&gt;"")</formula>
    </cfRule>
    <cfRule type="expression" dxfId="46" priority="166" stopIfTrue="1">
      <formula>AND(OR($B46="COMPOSICAO",$B46="INSUMO",$B46&lt;&gt;""),$B46&lt;&gt;"")</formula>
    </cfRule>
  </conditionalFormatting>
  <conditionalFormatting sqref="H46">
    <cfRule type="expression" dxfId="45" priority="163" stopIfTrue="1">
      <formula>AND($B46&lt;&gt;"COMPOSICAO",$B46&lt;&gt;"INSUMO",$B46&lt;&gt;"")</formula>
    </cfRule>
    <cfRule type="expression" dxfId="44" priority="164" stopIfTrue="1">
      <formula>AND(OR($B46="COMPOSICAO",$B46="INSUMO",$B46&lt;&gt;""),$B46&lt;&gt;"")</formula>
    </cfRule>
  </conditionalFormatting>
  <conditionalFormatting sqref="H46">
    <cfRule type="expression" dxfId="43" priority="161" stopIfTrue="1">
      <formula>AND($B46&lt;&gt;"COMPOSICAO",$B46&lt;&gt;"INSUMO",$B46&lt;&gt;"")</formula>
    </cfRule>
    <cfRule type="expression" dxfId="42" priority="162" stopIfTrue="1">
      <formula>AND(OR($B46="COMPOSICAO",$B46="INSUMO",$B46&lt;&gt;""),$B46&lt;&gt;"")</formula>
    </cfRule>
  </conditionalFormatting>
  <conditionalFormatting sqref="C225:F226">
    <cfRule type="expression" dxfId="41" priority="129" stopIfTrue="1">
      <formula>AND($B225&lt;&gt;"COMPOSICAO",$B225&lt;&gt;"INSUMO",$B225&lt;&gt;"")</formula>
    </cfRule>
    <cfRule type="expression" dxfId="40" priority="130" stopIfTrue="1">
      <formula>AND(OR($B225="COMPOSICAO",$B225="INSUMO",$B225&lt;&gt;""),$B225&lt;&gt;"")</formula>
    </cfRule>
  </conditionalFormatting>
  <conditionalFormatting sqref="B225:F226">
    <cfRule type="expression" dxfId="39" priority="131" stopIfTrue="1">
      <formula>AND($B225&lt;&gt;"COMPOSICAO",$B225&lt;&gt;"INSUMO",$B225&lt;&gt;"")</formula>
    </cfRule>
    <cfRule type="expression" dxfId="38" priority="132" stopIfTrue="1">
      <formula>AND(OR($B225="COMPOSICAO",$B225="INSUMO",$B225&lt;&gt;""),$B225&lt;&gt;"")</formula>
    </cfRule>
  </conditionalFormatting>
  <conditionalFormatting sqref="B232:F244">
    <cfRule type="expression" dxfId="37" priority="127" stopIfTrue="1">
      <formula>AND($B232&lt;&gt;"COMPOSICAO",$B232&lt;&gt;"INSUMO",$B232&lt;&gt;"")</formula>
    </cfRule>
    <cfRule type="expression" dxfId="36" priority="128" stopIfTrue="1">
      <formula>AND(OR($B232="COMPOSICAO",$B232="INSUMO",$B232&lt;&gt;""),$B232&lt;&gt;"")</formula>
    </cfRule>
  </conditionalFormatting>
  <conditionalFormatting sqref="B190:G195 B52:G52">
    <cfRule type="expression" dxfId="35" priority="113" stopIfTrue="1">
      <formula>AND(#REF!&lt;&gt;"COMPOSICAO",#REF!&lt;&gt;"INSUMO",#REF!&lt;&gt;"")</formula>
    </cfRule>
    <cfRule type="expression" dxfId="34" priority="114" stopIfTrue="1">
      <formula>AND(OR(#REF!="COMPOSICAO",#REF!="INSUMO",#REF!&lt;&gt;""),#REF!&lt;&gt;"")</formula>
    </cfRule>
  </conditionalFormatting>
  <conditionalFormatting sqref="G67:G70">
    <cfRule type="expression" dxfId="33" priority="101" stopIfTrue="1">
      <formula>AND(#REF!&lt;&gt;"COMPOSICAO",#REF!&lt;&gt;"INSUMO",#REF!&lt;&gt;"")</formula>
    </cfRule>
    <cfRule type="expression" dxfId="32" priority="102" stopIfTrue="1">
      <formula>AND(OR(#REF!="COMPOSICAO",#REF!="INSUMO",#REF!&lt;&gt;""),#REF!&lt;&gt;"")</formula>
    </cfRule>
  </conditionalFormatting>
  <conditionalFormatting sqref="B201:G202 B180:G184 B168:G174 B159:G162 B150:G153 B110:G114 B120:G124 B130:G134 B86:G92 B58:G61 B67:F70">
    <cfRule type="expression" dxfId="31" priority="111" stopIfTrue="1">
      <formula>AND(#REF!&lt;&gt;"COMPOSICAO",#REF!&lt;&gt;"INSUMO",#REF!&lt;&gt;"")</formula>
    </cfRule>
    <cfRule type="expression" dxfId="30" priority="112" stopIfTrue="1">
      <formula>AND(OR(#REF!="COMPOSICAO",#REF!="INSUMO",#REF!&lt;&gt;""),#REF!&lt;&gt;"")</formula>
    </cfRule>
  </conditionalFormatting>
  <conditionalFormatting sqref="G46">
    <cfRule type="expression" dxfId="29" priority="63" stopIfTrue="1">
      <formula>AND($B46&lt;&gt;"COMPOSICAO",$B46&lt;&gt;"INSUMO",$B46&lt;&gt;"")</formula>
    </cfRule>
    <cfRule type="expression" dxfId="28" priority="64" stopIfTrue="1">
      <formula>AND(OR($B46="COMPOSICAO",$B46="INSUMO",$B46&lt;&gt;""),$B46&lt;&gt;"")</formula>
    </cfRule>
  </conditionalFormatting>
  <conditionalFormatting sqref="G46">
    <cfRule type="expression" dxfId="27" priority="61" stopIfTrue="1">
      <formula>AND($B46&lt;&gt;"COMPOSICAO",$B46&lt;&gt;"INSUMO",$B46&lt;&gt;"")</formula>
    </cfRule>
    <cfRule type="expression" dxfId="26" priority="62" stopIfTrue="1">
      <formula>AND(OR($B46="COMPOSICAO",$B46="INSUMO",$B46&lt;&gt;""),$B46&lt;&gt;"")</formula>
    </cfRule>
  </conditionalFormatting>
  <conditionalFormatting sqref="G46">
    <cfRule type="expression" dxfId="25" priority="59" stopIfTrue="1">
      <formula>AND($B46&lt;&gt;"COMPOSICAO",$B46&lt;&gt;"INSUMO",$B46&lt;&gt;"")</formula>
    </cfRule>
    <cfRule type="expression" dxfId="24" priority="60" stopIfTrue="1">
      <formula>AND(OR($B46="COMPOSICAO",$B46="INSUMO",$B46&lt;&gt;""),$B46&lt;&gt;"")</formula>
    </cfRule>
  </conditionalFormatting>
  <conditionalFormatting sqref="G46">
    <cfRule type="expression" dxfId="23" priority="57" stopIfTrue="1">
      <formula>AND($B46&lt;&gt;"COMPOSICAO",$B46&lt;&gt;"INSUMO",$B46&lt;&gt;"")</formula>
    </cfRule>
    <cfRule type="expression" dxfId="22" priority="58" stopIfTrue="1">
      <formula>AND(OR($B46="COMPOSICAO",$B46="INSUMO",$B46&lt;&gt;""),$B46&lt;&gt;"")</formula>
    </cfRule>
  </conditionalFormatting>
  <conditionalFormatting sqref="G46">
    <cfRule type="expression" dxfId="21" priority="55" stopIfTrue="1">
      <formula>AND($B46&lt;&gt;"COMPOSICAO",$B46&lt;&gt;"INSUMO",$B46&lt;&gt;"")</formula>
    </cfRule>
    <cfRule type="expression" dxfId="20" priority="56" stopIfTrue="1">
      <formula>AND(OR($B46="COMPOSICAO",$B46="INSUMO",$B46&lt;&gt;""),$B46&lt;&gt;"")</formula>
    </cfRule>
  </conditionalFormatting>
  <conditionalFormatting sqref="B140:G144">
    <cfRule type="expression" dxfId="19" priority="23" stopIfTrue="1">
      <formula>AND($B140&lt;&gt;"COMPOSICAO",$B140&lt;&gt;"INSUMO",$B140&lt;&gt;"")</formula>
    </cfRule>
    <cfRule type="expression" dxfId="18" priority="24" stopIfTrue="1">
      <formula>AND(OR($B140="COMPOSICAO",$B140="INSUMO",$B140&lt;&gt;""),$B140&lt;&gt;"")</formula>
    </cfRule>
  </conditionalFormatting>
  <conditionalFormatting sqref="B140:G144">
    <cfRule type="expression" dxfId="17" priority="17" stopIfTrue="1">
      <formula>AND(#REF!&lt;&gt;"COMPOSICAO",#REF!&lt;&gt;"INSUMO",#REF!&lt;&gt;"")</formula>
    </cfRule>
    <cfRule type="expression" dxfId="16" priority="18" stopIfTrue="1">
      <formula>AND(OR(#REF!="COMPOSICAO",#REF!="INSUMO",#REF!&lt;&gt;""),#REF!&lt;&gt;"")</formula>
    </cfRule>
  </conditionalFormatting>
  <conditionalFormatting sqref="G76:G80">
    <cfRule type="expression" dxfId="15" priority="15" stopIfTrue="1">
      <formula>AND($C76&lt;&gt;"COMPOSICAO",$C76&lt;&gt;"INSUMO",$C76&lt;&gt;"")</formula>
    </cfRule>
    <cfRule type="expression" dxfId="14" priority="16" stopIfTrue="1">
      <formula>AND(OR($C76="COMPOSICAO",$C76="INSUMO",$C76&lt;&gt;""),$C76&lt;&gt;"")</formula>
    </cfRule>
  </conditionalFormatting>
  <conditionalFormatting sqref="B76:F80">
    <cfRule type="expression" dxfId="13" priority="13" stopIfTrue="1">
      <formula>AND($B76&lt;&gt;"COMPOSICAO",$B76&lt;&gt;"INSUMO",$B76&lt;&gt;"")</formula>
    </cfRule>
    <cfRule type="expression" dxfId="12" priority="14" stopIfTrue="1">
      <formula>AND(OR($B76="COMPOSICAO",$B76="INSUMO",$B76&lt;&gt;""),$B76&lt;&gt;"")</formula>
    </cfRule>
  </conditionalFormatting>
  <conditionalFormatting sqref="B98:F104">
    <cfRule type="expression" dxfId="11" priority="11" stopIfTrue="1">
      <formula>AND($B98&lt;&gt;"COMPOSICAO",$B98&lt;&gt;"INSUMO",$B98&lt;&gt;"")</formula>
    </cfRule>
    <cfRule type="expression" dxfId="10" priority="12" stopIfTrue="1">
      <formula>AND(OR($B98="COMPOSICAO",$B98="INSUMO",$B98&lt;&gt;""),$B98&lt;&gt;"")</formula>
    </cfRule>
  </conditionalFormatting>
  <conditionalFormatting sqref="G98:G104">
    <cfRule type="expression" dxfId="9" priority="9" stopIfTrue="1">
      <formula>AND(#REF!&lt;&gt;"COMPOSICAO",#REF!&lt;&gt;"INSUMO",#REF!&lt;&gt;"")</formula>
    </cfRule>
    <cfRule type="expression" dxfId="8" priority="10" stopIfTrue="1">
      <formula>AND(OR(#REF!="COMPOSICAO",#REF!="INSUMO",#REF!&lt;&gt;""),#REF!&lt;&gt;"")</formula>
    </cfRule>
  </conditionalFormatting>
  <conditionalFormatting sqref="G76:G80">
    <cfRule type="expression" dxfId="7" priority="7" stopIfTrue="1">
      <formula>AND(#REF!&lt;&gt;"COMPOSICAO",#REF!&lt;&gt;"INSUMO",#REF!&lt;&gt;"")</formula>
    </cfRule>
    <cfRule type="expression" dxfId="6" priority="8" stopIfTrue="1">
      <formula>AND(OR(#REF!="COMPOSICAO",#REF!="INSUMO",#REF!&lt;&gt;""),#REF!&lt;&gt;"")</formula>
    </cfRule>
  </conditionalFormatting>
  <conditionalFormatting sqref="G76:G80">
    <cfRule type="expression" dxfId="5" priority="5" stopIfTrue="1">
      <formula>AND(#REF!&lt;&gt;"COMPOSICAO",#REF!&lt;&gt;"INSUMO",#REF!&lt;&gt;"")</formula>
    </cfRule>
    <cfRule type="expression" dxfId="4" priority="6" stopIfTrue="1">
      <formula>AND(OR(#REF!="COMPOSICAO",#REF!="INSUMO",#REF!&lt;&gt;""),#REF!&lt;&gt;"")</formula>
    </cfRule>
  </conditionalFormatting>
  <conditionalFormatting sqref="G76:G80">
    <cfRule type="expression" dxfId="3" priority="3" stopIfTrue="1">
      <formula>AND($B76&lt;&gt;"COMPOSICAO",$B76&lt;&gt;"INSUMO",$B76&lt;&gt;"")</formula>
    </cfRule>
    <cfRule type="expression" dxfId="2" priority="4" stopIfTrue="1">
      <formula>AND(OR($B76="COMPOSICAO",$B76="INSUMO",$B76&lt;&gt;""),$B76&lt;&gt;"")</formula>
    </cfRule>
  </conditionalFormatting>
  <conditionalFormatting sqref="B76:F80">
    <cfRule type="expression" dxfId="1" priority="1" stopIfTrue="1">
      <formula>AND($A76&lt;&gt;"COMPOSICAO",$A76&lt;&gt;"INSUMO",$A76&lt;&gt;"")</formula>
    </cfRule>
    <cfRule type="expression" dxfId="0" priority="2" stopIfTrue="1">
      <formula>AND(OR($A76="COMPOSICAO",$A76="INSUMO",$A76&lt;&gt;""),$A76&lt;&gt;"")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K25"/>
  <sheetViews>
    <sheetView zoomScaleSheetLayoutView="100" workbookViewId="0">
      <selection activeCell="I24" sqref="I24"/>
    </sheetView>
  </sheetViews>
  <sheetFormatPr defaultRowHeight="12.75"/>
  <cols>
    <col min="1" max="1" width="2.140625" style="38" customWidth="1"/>
    <col min="2" max="2" width="9.140625" style="38"/>
    <col min="3" max="3" width="61.5703125" style="38" customWidth="1"/>
    <col min="4" max="4" width="14" style="38" customWidth="1"/>
    <col min="5" max="5" width="13.28515625" style="38" customWidth="1"/>
    <col min="6" max="6" width="13.140625" style="38" customWidth="1"/>
    <col min="7" max="7" width="14.7109375" style="38" customWidth="1"/>
    <col min="8" max="8" width="9.28515625" style="38" bestFit="1" customWidth="1"/>
    <col min="9" max="9" width="9.140625" style="38"/>
    <col min="10" max="10" width="10.42578125" style="38" bestFit="1" customWidth="1"/>
    <col min="11" max="11" width="10.28515625" style="38" bestFit="1" customWidth="1"/>
    <col min="12" max="16384" width="9.140625" style="38"/>
  </cols>
  <sheetData>
    <row r="1" spans="2:11" ht="9.75" customHeight="1" thickBot="1"/>
    <row r="2" spans="2:11" ht="15.75">
      <c r="B2" s="154"/>
      <c r="C2" s="267" t="s">
        <v>111</v>
      </c>
      <c r="D2" s="267"/>
      <c r="E2" s="267"/>
      <c r="F2" s="267"/>
      <c r="G2" s="268"/>
    </row>
    <row r="3" spans="2:11" ht="15.75">
      <c r="B3" s="155"/>
      <c r="C3" s="269" t="s">
        <v>372</v>
      </c>
      <c r="D3" s="269"/>
      <c r="E3" s="269"/>
      <c r="F3" s="269"/>
      <c r="G3" s="270"/>
    </row>
    <row r="4" spans="2:11" ht="15.75">
      <c r="B4" s="155"/>
      <c r="C4" s="269" t="s">
        <v>371</v>
      </c>
      <c r="D4" s="269"/>
      <c r="E4" s="269"/>
      <c r="F4" s="269"/>
      <c r="G4" s="270"/>
    </row>
    <row r="5" spans="2:11" ht="6" customHeight="1" thickBot="1">
      <c r="B5" s="156"/>
      <c r="C5" s="39"/>
      <c r="D5" s="40"/>
      <c r="E5" s="41"/>
      <c r="F5" s="39"/>
      <c r="G5" s="157"/>
    </row>
    <row r="6" spans="2:11" ht="31.5" customHeight="1" thickBot="1">
      <c r="B6" s="271" t="str">
        <f>Plan!B7</f>
        <v>OBJETO: CONSTRUÇÃO DE 01 (uma) PONTE, NO POVOADO DE CAMPOS A FIM DE CAMPOS, NO MUNICÍPIO DE BOQUIRA, NO ESTADO DA BAHIA.</v>
      </c>
      <c r="C6" s="272"/>
      <c r="D6" s="272"/>
      <c r="E6" s="272"/>
      <c r="F6" s="272"/>
      <c r="G6" s="273"/>
    </row>
    <row r="7" spans="2:11" ht="19.5" customHeight="1">
      <c r="B7" s="274" t="s">
        <v>258</v>
      </c>
      <c r="C7" s="275"/>
      <c r="D7" s="275"/>
      <c r="E7" s="275"/>
      <c r="F7" s="275"/>
      <c r="G7" s="276"/>
    </row>
    <row r="8" spans="2:11" ht="13.5" thickBot="1">
      <c r="B8" s="158"/>
      <c r="C8" s="159"/>
      <c r="D8" s="159"/>
      <c r="E8" s="159"/>
      <c r="F8" s="159"/>
      <c r="G8" s="160"/>
    </row>
    <row r="9" spans="2:11">
      <c r="B9" s="263" t="s">
        <v>259</v>
      </c>
      <c r="C9" s="265" t="s">
        <v>260</v>
      </c>
      <c r="D9" s="265" t="s">
        <v>261</v>
      </c>
      <c r="E9" s="265" t="s">
        <v>262</v>
      </c>
      <c r="F9" s="265" t="s">
        <v>263</v>
      </c>
      <c r="G9" s="259" t="s">
        <v>264</v>
      </c>
    </row>
    <row r="10" spans="2:11" ht="13.5" thickBot="1">
      <c r="B10" s="264"/>
      <c r="C10" s="266"/>
      <c r="D10" s="266"/>
      <c r="E10" s="266"/>
      <c r="F10" s="266"/>
      <c r="G10" s="260"/>
    </row>
    <row r="11" spans="2:11" ht="15.75" thickBot="1">
      <c r="B11" s="261" t="str">
        <f>[1]Planilha!A15</f>
        <v>1</v>
      </c>
      <c r="C11" s="262" t="str">
        <f>Plan!D15</f>
        <v>SERVIÇOS INICIAIS</v>
      </c>
      <c r="D11" s="244">
        <f>Plan!H19</f>
        <v>7397.86</v>
      </c>
      <c r="E11" s="90">
        <f>ROUND(D11*0.5,2)</f>
        <v>3698.93</v>
      </c>
      <c r="F11" s="91">
        <f>ROUND(D11*0.2,2)</f>
        <v>1479.57</v>
      </c>
      <c r="G11" s="92">
        <f>ROUND(D11*0.3,2)</f>
        <v>2219.36</v>
      </c>
      <c r="J11" s="42">
        <f>SUM(E11:G11)</f>
        <v>7397.8600000000006</v>
      </c>
      <c r="K11" s="42">
        <f>D11-J11</f>
        <v>0</v>
      </c>
    </row>
    <row r="12" spans="2:11" ht="15.75" thickTop="1">
      <c r="B12" s="252"/>
      <c r="C12" s="254"/>
      <c r="D12" s="256"/>
      <c r="E12" s="88">
        <f>ROUND(E11/D11,2)</f>
        <v>0.5</v>
      </c>
      <c r="F12" s="88">
        <f>ROUND(F11/D11,2)</f>
        <v>0.2</v>
      </c>
      <c r="G12" s="89">
        <f>ROUND(G11/D11,2)</f>
        <v>0.3</v>
      </c>
      <c r="H12" s="44">
        <f>SUM(E12:G12)</f>
        <v>1</v>
      </c>
      <c r="J12" s="42"/>
      <c r="K12" s="42"/>
    </row>
    <row r="13" spans="2:11" ht="15.75" thickBot="1">
      <c r="B13" s="251" t="str">
        <f>[1]Planilha!A20</f>
        <v>2</v>
      </c>
      <c r="C13" s="253" t="str">
        <f>Plan!D20</f>
        <v>ADMINISTRAÇÃO DA OBRA</v>
      </c>
      <c r="D13" s="255">
        <f>Plan!H23</f>
        <v>31923.42</v>
      </c>
      <c r="E13" s="93">
        <f>ROUND(D13*0.5,2)</f>
        <v>15961.71</v>
      </c>
      <c r="F13" s="93">
        <f>ROUND(D13*0.2,2)</f>
        <v>6384.68</v>
      </c>
      <c r="G13" s="94">
        <f>ROUND(D13*0.3,2)</f>
        <v>9577.0300000000007</v>
      </c>
      <c r="H13" s="44"/>
      <c r="J13" s="42">
        <f>SUM(E13:G13)</f>
        <v>31923.42</v>
      </c>
      <c r="K13" s="42">
        <f>D13-J13</f>
        <v>0</v>
      </c>
    </row>
    <row r="14" spans="2:11" ht="15.75" thickTop="1">
      <c r="B14" s="252"/>
      <c r="C14" s="254"/>
      <c r="D14" s="256"/>
      <c r="E14" s="88">
        <f>ROUND(E13/D13,2)</f>
        <v>0.5</v>
      </c>
      <c r="F14" s="88">
        <f>ROUND(F13/D13,2)</f>
        <v>0.2</v>
      </c>
      <c r="G14" s="89">
        <f>ROUND(G13/D13,2)</f>
        <v>0.3</v>
      </c>
      <c r="H14" s="44">
        <f>SUM(E14:G14)</f>
        <v>1</v>
      </c>
      <c r="J14" s="42"/>
      <c r="K14" s="42"/>
    </row>
    <row r="15" spans="2:11" ht="15.75" thickBot="1">
      <c r="B15" s="251" t="str">
        <f>[1]Planilha!A29</f>
        <v>3</v>
      </c>
      <c r="C15" s="253" t="str">
        <f>Plan!D24</f>
        <v>INFRA-MESO ESTRUTURA</v>
      </c>
      <c r="D15" s="255">
        <f>Plan!H29</f>
        <v>48130.590000000004</v>
      </c>
      <c r="E15" s="93">
        <f>ROUND(D15*0.5,2)</f>
        <v>24065.3</v>
      </c>
      <c r="F15" s="93">
        <f>ROUND(D15*0.5,2)</f>
        <v>24065.3</v>
      </c>
      <c r="G15" s="86"/>
      <c r="H15" s="44"/>
      <c r="J15" s="42">
        <f>SUM(E15:G15)</f>
        <v>48130.6</v>
      </c>
      <c r="K15" s="42">
        <f>D15-J15</f>
        <v>-9.9999999947613105E-3</v>
      </c>
    </row>
    <row r="16" spans="2:11" ht="15.75" thickTop="1">
      <c r="B16" s="252"/>
      <c r="C16" s="254"/>
      <c r="D16" s="256"/>
      <c r="E16" s="88">
        <f>ROUND(E15/D15,2)</f>
        <v>0.5</v>
      </c>
      <c r="F16" s="88">
        <f>ROUND(F15/D15,2)</f>
        <v>0.5</v>
      </c>
      <c r="G16" s="85"/>
      <c r="H16" s="44">
        <f>SUM(E16:G16)</f>
        <v>1</v>
      </c>
      <c r="J16" s="42"/>
      <c r="K16" s="42"/>
    </row>
    <row r="17" spans="2:11" ht="15.75" thickBot="1">
      <c r="B17" s="251" t="str">
        <f>[1]Planilha!A52</f>
        <v>4</v>
      </c>
      <c r="C17" s="253" t="str">
        <f>Plan!D30</f>
        <v>SUPERESTRUTURA</v>
      </c>
      <c r="D17" s="255">
        <f>Plan!H42</f>
        <v>57654.97</v>
      </c>
      <c r="E17" s="45"/>
      <c r="F17" s="93">
        <f>ROUND(D17*0.6,2)</f>
        <v>34592.980000000003</v>
      </c>
      <c r="G17" s="94">
        <f>ROUND(D17*0.4,2)</f>
        <v>23061.99</v>
      </c>
      <c r="H17" s="44"/>
      <c r="J17" s="42">
        <f>SUM(E17:G17)</f>
        <v>57654.97</v>
      </c>
      <c r="K17" s="42">
        <f>D17-J17</f>
        <v>0</v>
      </c>
    </row>
    <row r="18" spans="2:11" ht="15.75" thickTop="1">
      <c r="B18" s="252"/>
      <c r="C18" s="254"/>
      <c r="D18" s="256"/>
      <c r="E18" s="43"/>
      <c r="F18" s="88">
        <f>ROUND(F17/D17,2)</f>
        <v>0.6</v>
      </c>
      <c r="G18" s="89">
        <f>ROUND(G17/D17,2)</f>
        <v>0.4</v>
      </c>
      <c r="H18" s="44">
        <f>SUM(E18:G18)</f>
        <v>1</v>
      </c>
      <c r="J18" s="42"/>
      <c r="K18" s="42"/>
    </row>
    <row r="19" spans="2:11" ht="15.75" thickBot="1">
      <c r="B19" s="251" t="str">
        <f>[1]Planilha!A60</f>
        <v>5</v>
      </c>
      <c r="C19" s="253" t="str">
        <f>Plan!D43</f>
        <v>COMPLEMENTAÇÃO DA OBRA – CONFORMAÇÃO DE CABECEIRAS</v>
      </c>
      <c r="D19" s="255">
        <f>Plan!H49</f>
        <v>37682.800000000003</v>
      </c>
      <c r="E19" s="45"/>
      <c r="F19" s="45"/>
      <c r="G19" s="94">
        <f>ROUND(D19,2)</f>
        <v>37682.800000000003</v>
      </c>
      <c r="H19" s="44"/>
      <c r="J19" s="42">
        <f>SUM(E19:G19)</f>
        <v>37682.800000000003</v>
      </c>
      <c r="K19" s="42">
        <f>D19-J19</f>
        <v>0</v>
      </c>
    </row>
    <row r="20" spans="2:11" ht="16.5" thickTop="1" thickBot="1">
      <c r="B20" s="257"/>
      <c r="C20" s="258"/>
      <c r="D20" s="246"/>
      <c r="E20" s="87"/>
      <c r="F20" s="87"/>
      <c r="G20" s="95">
        <f>ROUND(G19/D19,2)</f>
        <v>1</v>
      </c>
      <c r="H20" s="44">
        <f>SUM(E20:G20)</f>
        <v>1</v>
      </c>
      <c r="J20" s="42"/>
      <c r="K20" s="42"/>
    </row>
    <row r="21" spans="2:11" ht="13.5" thickBot="1">
      <c r="B21" s="239"/>
      <c r="C21" s="240"/>
      <c r="D21" s="240"/>
      <c r="E21" s="240"/>
      <c r="F21" s="240"/>
      <c r="G21" s="241"/>
    </row>
    <row r="22" spans="2:11">
      <c r="B22" s="242" t="s">
        <v>265</v>
      </c>
      <c r="C22" s="243"/>
      <c r="D22" s="244">
        <f>SUM(D11:D20)</f>
        <v>182789.64</v>
      </c>
      <c r="E22" s="46">
        <f>ROUND((SUM(E11,E13,E15,E17,E19)),2)</f>
        <v>43725.94</v>
      </c>
      <c r="F22" s="46">
        <f t="shared" ref="F22:G22" si="0">ROUND((SUM(F11,F13,F15,F17,F19)),2)</f>
        <v>66522.53</v>
      </c>
      <c r="G22" s="47">
        <f t="shared" si="0"/>
        <v>72541.179999999993</v>
      </c>
    </row>
    <row r="23" spans="2:11">
      <c r="B23" s="247" t="s">
        <v>266</v>
      </c>
      <c r="C23" s="248"/>
      <c r="D23" s="245"/>
      <c r="E23" s="48">
        <f>ROUND((E22/D22),4)</f>
        <v>0.2392</v>
      </c>
      <c r="F23" s="48">
        <f>ROUND((F22/D22),4)</f>
        <v>0.3639</v>
      </c>
      <c r="G23" s="49">
        <f>ROUND((G22/D22),4)</f>
        <v>0.39689999999999998</v>
      </c>
    </row>
    <row r="24" spans="2:11">
      <c r="B24" s="247" t="s">
        <v>267</v>
      </c>
      <c r="C24" s="248"/>
      <c r="D24" s="245"/>
      <c r="E24" s="50">
        <f>ROUND((E22),2)</f>
        <v>43725.94</v>
      </c>
      <c r="F24" s="50">
        <f>ROUND((E24+F22),2)</f>
        <v>110248.47</v>
      </c>
      <c r="G24" s="51">
        <f>ROUND((F24+G22),2)-0.01</f>
        <v>182789.63999999998</v>
      </c>
    </row>
    <row r="25" spans="2:11" ht="13.5" thickBot="1">
      <c r="B25" s="249" t="s">
        <v>268</v>
      </c>
      <c r="C25" s="250"/>
      <c r="D25" s="246"/>
      <c r="E25" s="52">
        <f>ROUND((E23),4)</f>
        <v>0.2392</v>
      </c>
      <c r="F25" s="52">
        <f>ROUND((E25+F23),4)</f>
        <v>0.60309999999999997</v>
      </c>
      <c r="G25" s="53">
        <f>ROUND((F25+G23),4)</f>
        <v>1</v>
      </c>
    </row>
  </sheetData>
  <mergeCells count="32">
    <mergeCell ref="C2:G2"/>
    <mergeCell ref="C3:G3"/>
    <mergeCell ref="C4:G4"/>
    <mergeCell ref="B6:G6"/>
    <mergeCell ref="B7:G7"/>
    <mergeCell ref="G9:G10"/>
    <mergeCell ref="B11:B12"/>
    <mergeCell ref="C11:C12"/>
    <mergeCell ref="D11:D12"/>
    <mergeCell ref="B9:B10"/>
    <mergeCell ref="C9:C10"/>
    <mergeCell ref="D9:D10"/>
    <mergeCell ref="E9:E10"/>
    <mergeCell ref="F9:F10"/>
    <mergeCell ref="B13:B14"/>
    <mergeCell ref="C13:C14"/>
    <mergeCell ref="D13:D14"/>
    <mergeCell ref="B15:B16"/>
    <mergeCell ref="C15:C16"/>
    <mergeCell ref="D15:D16"/>
    <mergeCell ref="B17:B18"/>
    <mergeCell ref="C17:C18"/>
    <mergeCell ref="D17:D18"/>
    <mergeCell ref="B19:B20"/>
    <mergeCell ref="C19:C20"/>
    <mergeCell ref="D19:D20"/>
    <mergeCell ref="B21:G21"/>
    <mergeCell ref="B22:C22"/>
    <mergeCell ref="D22:D25"/>
    <mergeCell ref="B23:C23"/>
    <mergeCell ref="B24:C24"/>
    <mergeCell ref="B25:C25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S62"/>
  <sheetViews>
    <sheetView zoomScaleSheetLayoutView="100" workbookViewId="0">
      <selection activeCell="I58" sqref="I58"/>
    </sheetView>
  </sheetViews>
  <sheetFormatPr defaultRowHeight="12.75"/>
  <cols>
    <col min="1" max="1" width="1.28515625" customWidth="1"/>
    <col min="2" max="2" width="4.5703125" bestFit="1" customWidth="1"/>
    <col min="3" max="3" width="60.42578125" bestFit="1" customWidth="1"/>
    <col min="4" max="4" width="4" bestFit="1" customWidth="1"/>
    <col min="5" max="5" width="6.7109375" style="37" bestFit="1" customWidth="1"/>
    <col min="6" max="6" width="2" bestFit="1" customWidth="1"/>
    <col min="7" max="7" width="9.28515625" style="37" bestFit="1" customWidth="1"/>
    <col min="8" max="8" width="3.28515625" bestFit="1" customWidth="1"/>
    <col min="9" max="9" width="7.7109375" style="37" bestFit="1" customWidth="1"/>
    <col min="10" max="10" width="5.7109375" bestFit="1" customWidth="1"/>
    <col min="11" max="11" width="5.7109375" style="37" bestFit="1" customWidth="1"/>
    <col min="12" max="12" width="3.28515625" bestFit="1" customWidth="1"/>
    <col min="13" max="13" width="10" style="37" customWidth="1"/>
    <col min="14" max="14" width="7.28515625" customWidth="1"/>
    <col min="15" max="15" width="3.28515625" style="37" customWidth="1"/>
    <col min="16" max="16" width="3.28515625" bestFit="1" customWidth="1"/>
    <col min="17" max="17" width="9.140625" style="37"/>
    <col min="18" max="18" width="3.28515625" bestFit="1" customWidth="1"/>
    <col min="19" max="19" width="9.140625" style="37"/>
  </cols>
  <sheetData>
    <row r="1" spans="2:15">
      <c r="B1" s="287" t="s">
        <v>251</v>
      </c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9"/>
    </row>
    <row r="2" spans="2:15">
      <c r="B2" s="119"/>
      <c r="C2" s="291" t="s">
        <v>297</v>
      </c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2"/>
    </row>
    <row r="3" spans="2:15">
      <c r="B3" s="290" t="s">
        <v>252</v>
      </c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2"/>
    </row>
    <row r="4" spans="2:15">
      <c r="B4" s="290" t="s">
        <v>253</v>
      </c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2"/>
    </row>
    <row r="5" spans="2:15" ht="13.5" thickBot="1">
      <c r="B5" s="1"/>
      <c r="C5" s="2"/>
      <c r="D5" s="2"/>
      <c r="E5" s="120"/>
      <c r="F5" s="2"/>
      <c r="G5" s="120"/>
      <c r="H5" s="2"/>
      <c r="I5" s="120"/>
      <c r="J5" s="2"/>
      <c r="K5" s="120"/>
      <c r="L5" s="2"/>
      <c r="M5" s="120"/>
      <c r="N5" s="2"/>
      <c r="O5" s="121"/>
    </row>
    <row r="6" spans="2:15" ht="33" customHeight="1" thickBot="1">
      <c r="B6" s="293" t="str">
        <f>Plan!B7</f>
        <v>OBJETO: CONSTRUÇÃO DE 01 (uma) PONTE, NO POVOADO DE CAMPOS A FIM DE CAMPOS, NO MUNICÍPIO DE BOQUIRA, NO ESTADO DA BAHIA.</v>
      </c>
      <c r="C6" s="294"/>
      <c r="D6" s="294"/>
      <c r="E6" s="294"/>
      <c r="F6" s="294"/>
      <c r="G6" s="294"/>
      <c r="H6" s="294"/>
      <c r="I6" s="294"/>
      <c r="J6" s="294"/>
      <c r="K6" s="294"/>
      <c r="L6" s="294"/>
      <c r="M6" s="294"/>
      <c r="N6" s="294"/>
      <c r="O6" s="295"/>
    </row>
    <row r="7" spans="2:15">
      <c r="B7" s="1"/>
      <c r="C7" s="2"/>
      <c r="D7" s="2"/>
      <c r="E7" s="120"/>
      <c r="F7" s="2"/>
      <c r="G7" s="120"/>
      <c r="H7" s="2"/>
      <c r="I7" s="120"/>
      <c r="J7" s="2"/>
      <c r="K7" s="120"/>
      <c r="L7" s="2"/>
      <c r="M7" s="120"/>
      <c r="N7" s="2"/>
      <c r="O7" s="121"/>
    </row>
    <row r="8" spans="2:15" ht="19.5" customHeight="1">
      <c r="B8" s="284" t="s">
        <v>254</v>
      </c>
      <c r="C8" s="285"/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86"/>
    </row>
    <row r="9" spans="2:15">
      <c r="B9" s="1"/>
      <c r="C9" s="2"/>
      <c r="D9" s="2"/>
      <c r="E9" s="120"/>
      <c r="F9" s="2"/>
      <c r="G9" s="120"/>
      <c r="H9" s="2"/>
      <c r="I9" s="120"/>
      <c r="J9" s="2"/>
      <c r="K9" s="120"/>
      <c r="L9" s="2"/>
      <c r="M9" s="120"/>
      <c r="N9" s="2"/>
      <c r="O9" s="121"/>
    </row>
    <row r="10" spans="2:15">
      <c r="B10" s="98" t="s">
        <v>6</v>
      </c>
      <c r="C10" s="99" t="s">
        <v>256</v>
      </c>
      <c r="D10" s="122" t="s">
        <v>11</v>
      </c>
      <c r="E10" s="100"/>
      <c r="F10" s="122"/>
      <c r="G10" s="100">
        <v>2</v>
      </c>
      <c r="H10" s="122" t="s">
        <v>257</v>
      </c>
      <c r="I10" s="100">
        <v>3</v>
      </c>
      <c r="J10" s="100"/>
      <c r="K10" s="100"/>
      <c r="L10" s="122" t="s">
        <v>255</v>
      </c>
      <c r="M10" s="101">
        <f>ROUND(G10*I10,2)</f>
        <v>6</v>
      </c>
      <c r="N10" s="122"/>
      <c r="O10" s="20"/>
    </row>
    <row r="11" spans="2:15">
      <c r="B11" s="98"/>
      <c r="C11" s="4"/>
      <c r="D11" s="122"/>
      <c r="E11" s="100"/>
      <c r="F11" s="122"/>
      <c r="G11" s="100"/>
      <c r="H11" s="122"/>
      <c r="I11" s="100"/>
      <c r="J11" s="100"/>
      <c r="K11" s="100"/>
      <c r="L11" s="122"/>
      <c r="M11" s="102"/>
      <c r="N11" s="122"/>
      <c r="O11" s="20"/>
    </row>
    <row r="12" spans="2:15">
      <c r="B12" s="98" t="s">
        <v>8</v>
      </c>
      <c r="C12" s="99" t="s">
        <v>141</v>
      </c>
      <c r="D12" s="122" t="s">
        <v>310</v>
      </c>
      <c r="E12" s="100"/>
      <c r="F12" s="122"/>
      <c r="G12" s="100">
        <v>81.760000000000005</v>
      </c>
      <c r="H12" s="122" t="s">
        <v>257</v>
      </c>
      <c r="I12" s="100">
        <v>47</v>
      </c>
      <c r="J12" s="100"/>
      <c r="K12" s="100"/>
      <c r="L12" s="122" t="s">
        <v>255</v>
      </c>
      <c r="M12" s="101">
        <f>ROUND(G12*I12,2)</f>
        <v>3842.72</v>
      </c>
      <c r="N12" s="122"/>
      <c r="O12" s="20"/>
    </row>
    <row r="13" spans="2:15">
      <c r="B13" s="98"/>
      <c r="C13" s="4"/>
      <c r="D13" s="122"/>
      <c r="E13" s="100"/>
      <c r="F13" s="122"/>
      <c r="G13" s="100"/>
      <c r="H13" s="122"/>
      <c r="I13" s="100"/>
      <c r="J13" s="100"/>
      <c r="K13" s="100"/>
      <c r="L13" s="122"/>
      <c r="M13" s="100"/>
      <c r="N13" s="122"/>
      <c r="O13" s="20"/>
    </row>
    <row r="14" spans="2:15">
      <c r="B14" s="98" t="s">
        <v>9</v>
      </c>
      <c r="C14" s="99" t="s">
        <v>142</v>
      </c>
      <c r="D14" s="122" t="s">
        <v>310</v>
      </c>
      <c r="E14" s="100"/>
      <c r="F14" s="122"/>
      <c r="G14" s="100">
        <v>81.760000000000005</v>
      </c>
      <c r="H14" s="122" t="s">
        <v>257</v>
      </c>
      <c r="I14" s="100">
        <v>47</v>
      </c>
      <c r="J14" s="100"/>
      <c r="K14" s="100"/>
      <c r="L14" s="122" t="s">
        <v>255</v>
      </c>
      <c r="M14" s="101">
        <f>ROUND(G14*I14,2)</f>
        <v>3842.72</v>
      </c>
      <c r="N14" s="122"/>
      <c r="O14" s="20"/>
    </row>
    <row r="15" spans="2:15">
      <c r="B15" s="98"/>
      <c r="C15" s="4"/>
      <c r="D15" s="122"/>
      <c r="E15" s="100"/>
      <c r="F15" s="122"/>
      <c r="G15" s="100"/>
      <c r="H15" s="122"/>
      <c r="I15" s="100"/>
      <c r="J15" s="100"/>
      <c r="K15" s="100"/>
      <c r="L15" s="122"/>
      <c r="M15" s="100"/>
      <c r="N15" s="122"/>
      <c r="O15" s="20"/>
    </row>
    <row r="16" spans="2:15">
      <c r="B16" s="98" t="s">
        <v>12</v>
      </c>
      <c r="C16" s="103" t="s">
        <v>143</v>
      </c>
      <c r="D16" s="97" t="s">
        <v>10</v>
      </c>
      <c r="E16" s="100"/>
      <c r="F16" s="122"/>
      <c r="G16" s="100">
        <v>1</v>
      </c>
      <c r="H16" s="122" t="s">
        <v>257</v>
      </c>
      <c r="I16" s="100">
        <v>100</v>
      </c>
      <c r="J16" s="100"/>
      <c r="K16" s="100"/>
      <c r="L16" s="122" t="s">
        <v>255</v>
      </c>
      <c r="M16" s="101">
        <f>ROUND(G16*I16,2)</f>
        <v>100</v>
      </c>
      <c r="N16" s="122"/>
      <c r="O16" s="20"/>
    </row>
    <row r="17" spans="2:15">
      <c r="B17" s="98"/>
      <c r="C17" s="4"/>
      <c r="D17" s="122"/>
      <c r="E17" s="100"/>
      <c r="F17" s="122"/>
      <c r="G17" s="100"/>
      <c r="H17" s="122"/>
      <c r="I17" s="100"/>
      <c r="J17" s="100"/>
      <c r="K17" s="100"/>
      <c r="L17" s="122"/>
      <c r="M17" s="100"/>
      <c r="N17" s="122"/>
      <c r="O17" s="20"/>
    </row>
    <row r="18" spans="2:15">
      <c r="B18" s="98" t="s">
        <v>14</v>
      </c>
      <c r="C18" s="99" t="s">
        <v>373</v>
      </c>
      <c r="D18" s="122" t="s">
        <v>7</v>
      </c>
      <c r="E18" s="100"/>
      <c r="F18" s="122"/>
      <c r="G18" s="100">
        <v>1</v>
      </c>
      <c r="H18" s="122" t="s">
        <v>257</v>
      </c>
      <c r="I18" s="100">
        <v>6</v>
      </c>
      <c r="J18" s="100"/>
      <c r="K18" s="100"/>
      <c r="L18" s="122" t="s">
        <v>255</v>
      </c>
      <c r="M18" s="101">
        <f>ROUND(G18*I18,2)</f>
        <v>6</v>
      </c>
      <c r="N18" s="122"/>
      <c r="O18" s="20"/>
    </row>
    <row r="19" spans="2:15">
      <c r="B19" s="98"/>
      <c r="C19" s="4"/>
      <c r="D19" s="122"/>
      <c r="E19" s="100"/>
      <c r="F19" s="122"/>
      <c r="G19" s="100"/>
      <c r="H19" s="122"/>
      <c r="I19" s="100"/>
      <c r="J19" s="100"/>
      <c r="K19" s="100"/>
      <c r="L19" s="122"/>
      <c r="M19" s="100"/>
      <c r="N19" s="122"/>
      <c r="O19" s="20"/>
    </row>
    <row r="20" spans="2:15">
      <c r="B20" s="98" t="s">
        <v>17</v>
      </c>
      <c r="C20" s="103" t="s">
        <v>188</v>
      </c>
      <c r="D20" s="122" t="s">
        <v>11</v>
      </c>
      <c r="E20" s="100"/>
      <c r="F20" s="122"/>
      <c r="G20" s="100">
        <v>15</v>
      </c>
      <c r="H20" s="122" t="s">
        <v>257</v>
      </c>
      <c r="I20" s="100">
        <v>8</v>
      </c>
      <c r="J20" s="100"/>
      <c r="K20" s="100"/>
      <c r="L20" s="122" t="s">
        <v>255</v>
      </c>
      <c r="M20" s="101">
        <f>ROUND(G20*I20,2)</f>
        <v>120</v>
      </c>
      <c r="N20" s="122"/>
      <c r="O20" s="20"/>
    </row>
    <row r="21" spans="2:15">
      <c r="B21" s="98"/>
      <c r="C21" s="4"/>
      <c r="D21" s="122"/>
      <c r="E21" s="100"/>
      <c r="F21" s="122"/>
      <c r="G21" s="100"/>
      <c r="H21" s="100"/>
      <c r="I21" s="100"/>
      <c r="J21" s="100"/>
      <c r="K21" s="100"/>
      <c r="L21" s="122"/>
      <c r="M21" s="100"/>
      <c r="N21" s="122"/>
      <c r="O21" s="20"/>
    </row>
    <row r="22" spans="2:15">
      <c r="B22" s="108" t="s">
        <v>18</v>
      </c>
      <c r="C22" s="103" t="s">
        <v>374</v>
      </c>
      <c r="D22" s="97" t="s">
        <v>125</v>
      </c>
      <c r="E22" s="100">
        <v>5.5</v>
      </c>
      <c r="F22" s="122"/>
      <c r="G22" s="100">
        <v>11</v>
      </c>
      <c r="H22" s="122" t="s">
        <v>257</v>
      </c>
      <c r="I22" s="100">
        <v>2</v>
      </c>
      <c r="J22" s="100"/>
      <c r="K22" s="100"/>
      <c r="L22" s="122" t="s">
        <v>255</v>
      </c>
      <c r="M22" s="101">
        <f>ROUND(E22*G22*I22,2)</f>
        <v>121</v>
      </c>
      <c r="N22" s="122"/>
      <c r="O22" s="20"/>
    </row>
    <row r="23" spans="2:15">
      <c r="B23" s="98"/>
      <c r="C23" s="4"/>
      <c r="D23" s="122"/>
      <c r="E23" s="100"/>
      <c r="F23" s="122"/>
      <c r="G23" s="100"/>
      <c r="H23" s="100"/>
      <c r="I23" s="100"/>
      <c r="J23" s="100"/>
      <c r="K23" s="100"/>
      <c r="L23" s="122"/>
      <c r="M23" s="100"/>
      <c r="N23" s="122"/>
      <c r="O23" s="20"/>
    </row>
    <row r="24" spans="2:15">
      <c r="B24" s="98" t="s">
        <v>19</v>
      </c>
      <c r="C24" s="103" t="s">
        <v>376</v>
      </c>
      <c r="D24" s="97" t="s">
        <v>11</v>
      </c>
      <c r="E24" s="100">
        <v>5.5</v>
      </c>
      <c r="F24" s="122"/>
      <c r="G24" s="100">
        <v>6</v>
      </c>
      <c r="H24" s="122" t="s">
        <v>257</v>
      </c>
      <c r="I24" s="100">
        <v>2</v>
      </c>
      <c r="J24" s="100"/>
      <c r="K24" s="100"/>
      <c r="L24" s="122" t="s">
        <v>255</v>
      </c>
      <c r="M24" s="101">
        <f>ROUND(E24*G24*I24,2)</f>
        <v>66</v>
      </c>
      <c r="N24" s="2"/>
      <c r="O24" s="20"/>
    </row>
    <row r="25" spans="2:15">
      <c r="B25" s="98"/>
      <c r="C25" s="4"/>
      <c r="D25" s="2"/>
      <c r="E25" s="104"/>
      <c r="F25" s="2"/>
      <c r="G25" s="104"/>
      <c r="H25" s="104"/>
      <c r="I25" s="104"/>
      <c r="J25" s="104"/>
      <c r="K25" s="104"/>
      <c r="L25" s="2"/>
      <c r="M25" s="104"/>
      <c r="N25" s="2"/>
      <c r="O25" s="20"/>
    </row>
    <row r="26" spans="2:15">
      <c r="B26" s="98" t="s">
        <v>296</v>
      </c>
      <c r="C26" s="103" t="s">
        <v>377</v>
      </c>
      <c r="D26" s="97" t="s">
        <v>125</v>
      </c>
      <c r="E26" s="100"/>
      <c r="F26" s="97"/>
      <c r="G26" s="100">
        <v>5</v>
      </c>
      <c r="H26" s="105" t="s">
        <v>257</v>
      </c>
      <c r="I26" s="100">
        <v>4</v>
      </c>
      <c r="J26" s="105"/>
      <c r="K26" s="106"/>
      <c r="L26" s="122" t="s">
        <v>255</v>
      </c>
      <c r="M26" s="101">
        <f>ROUND(G26*I26,2)</f>
        <v>20</v>
      </c>
      <c r="N26" s="2"/>
      <c r="O26" s="20"/>
    </row>
    <row r="27" spans="2:15">
      <c r="B27" s="98"/>
      <c r="C27" s="4"/>
      <c r="D27" s="2"/>
      <c r="E27" s="104"/>
      <c r="F27" s="2"/>
      <c r="G27" s="104"/>
      <c r="H27" s="104"/>
      <c r="I27" s="104"/>
      <c r="J27" s="104"/>
      <c r="K27" s="104"/>
      <c r="L27" s="2"/>
      <c r="M27" s="104"/>
      <c r="N27" s="2"/>
      <c r="O27" s="20"/>
    </row>
    <row r="28" spans="2:15">
      <c r="B28" s="98" t="s">
        <v>22</v>
      </c>
      <c r="C28" s="103" t="s">
        <v>378</v>
      </c>
      <c r="D28" s="97" t="s">
        <v>11</v>
      </c>
      <c r="E28" s="104"/>
      <c r="F28" s="2"/>
      <c r="G28" s="104">
        <v>4.5</v>
      </c>
      <c r="H28" s="107" t="s">
        <v>257</v>
      </c>
      <c r="I28" s="104">
        <v>10</v>
      </c>
      <c r="J28" s="104"/>
      <c r="K28" s="104"/>
      <c r="L28" s="122" t="s">
        <v>255</v>
      </c>
      <c r="M28" s="101">
        <f>ROUND(G28*I28,2)</f>
        <v>45</v>
      </c>
      <c r="N28" s="2"/>
      <c r="O28" s="20"/>
    </row>
    <row r="29" spans="2:15">
      <c r="B29" s="98"/>
      <c r="C29" s="4"/>
      <c r="D29" s="2"/>
      <c r="E29" s="104"/>
      <c r="F29" s="2"/>
      <c r="G29" s="104"/>
      <c r="H29" s="104"/>
      <c r="I29" s="104"/>
      <c r="J29" s="104"/>
      <c r="K29" s="104"/>
      <c r="L29" s="2"/>
      <c r="M29" s="104"/>
      <c r="N29" s="2"/>
      <c r="O29" s="20"/>
    </row>
    <row r="30" spans="2:15">
      <c r="B30" s="279" t="s">
        <v>24</v>
      </c>
      <c r="C30" s="280" t="s">
        <v>379</v>
      </c>
      <c r="D30" s="240" t="s">
        <v>11</v>
      </c>
      <c r="E30" s="100"/>
      <c r="F30" s="97"/>
      <c r="G30" s="105">
        <v>2.5</v>
      </c>
      <c r="H30" s="105" t="s">
        <v>257</v>
      </c>
      <c r="I30" s="105">
        <v>11</v>
      </c>
      <c r="J30" s="105" t="s">
        <v>257</v>
      </c>
      <c r="K30" s="106">
        <v>2</v>
      </c>
      <c r="L30" s="97" t="s">
        <v>255</v>
      </c>
      <c r="M30" s="100">
        <f>ROUND(G30*I30*K30,2)</f>
        <v>55</v>
      </c>
      <c r="N30" s="277">
        <f>M30+M31</f>
        <v>69.400000000000006</v>
      </c>
      <c r="O30" s="20"/>
    </row>
    <row r="31" spans="2:15">
      <c r="B31" s="279"/>
      <c r="C31" s="281"/>
      <c r="D31" s="240"/>
      <c r="E31" s="100"/>
      <c r="F31" s="97"/>
      <c r="G31" s="100">
        <v>1.6</v>
      </c>
      <c r="H31" s="105" t="s">
        <v>257</v>
      </c>
      <c r="I31" s="100">
        <v>4.5</v>
      </c>
      <c r="J31" s="105" t="s">
        <v>257</v>
      </c>
      <c r="K31" s="106">
        <v>2</v>
      </c>
      <c r="L31" s="122" t="s">
        <v>255</v>
      </c>
      <c r="M31" s="100">
        <f>ROUND(G31*I31*K31,2)</f>
        <v>14.4</v>
      </c>
      <c r="N31" s="278"/>
      <c r="O31" s="20"/>
    </row>
    <row r="32" spans="2:15">
      <c r="B32" s="98"/>
      <c r="C32" s="4"/>
      <c r="D32" s="2"/>
      <c r="E32" s="104"/>
      <c r="F32" s="2"/>
      <c r="G32" s="104"/>
      <c r="H32" s="104"/>
      <c r="I32" s="104"/>
      <c r="J32" s="104"/>
      <c r="K32" s="104"/>
      <c r="L32" s="2"/>
      <c r="M32" s="104"/>
      <c r="N32" s="2"/>
      <c r="O32" s="20"/>
    </row>
    <row r="33" spans="2:15">
      <c r="B33" s="98" t="s">
        <v>25</v>
      </c>
      <c r="C33" s="103" t="s">
        <v>380</v>
      </c>
      <c r="D33" s="97" t="s">
        <v>381</v>
      </c>
      <c r="E33" s="100"/>
      <c r="F33" s="122"/>
      <c r="G33" s="282" t="s">
        <v>375</v>
      </c>
      <c r="H33" s="283"/>
      <c r="I33" s="283"/>
      <c r="J33" s="283"/>
      <c r="K33" s="283"/>
      <c r="L33" s="122" t="s">
        <v>255</v>
      </c>
      <c r="M33" s="101">
        <v>277</v>
      </c>
      <c r="N33" s="2"/>
      <c r="O33" s="20"/>
    </row>
    <row r="34" spans="2:15">
      <c r="B34" s="98"/>
      <c r="C34" s="4"/>
      <c r="D34" s="2"/>
      <c r="E34" s="104"/>
      <c r="F34" s="2"/>
      <c r="G34" s="104"/>
      <c r="H34" s="104"/>
      <c r="I34" s="104"/>
      <c r="J34" s="104"/>
      <c r="K34" s="104"/>
      <c r="L34" s="2"/>
      <c r="M34" s="104"/>
      <c r="N34" s="2"/>
      <c r="O34" s="20"/>
    </row>
    <row r="35" spans="2:15">
      <c r="B35" s="98" t="s">
        <v>183</v>
      </c>
      <c r="C35" s="103" t="s">
        <v>382</v>
      </c>
      <c r="D35" s="97" t="s">
        <v>381</v>
      </c>
      <c r="E35" s="100"/>
      <c r="F35" s="122"/>
      <c r="G35" s="282" t="s">
        <v>375</v>
      </c>
      <c r="H35" s="283"/>
      <c r="I35" s="283"/>
      <c r="J35" s="283"/>
      <c r="K35" s="283"/>
      <c r="L35" s="122" t="s">
        <v>255</v>
      </c>
      <c r="M35" s="101">
        <v>567</v>
      </c>
      <c r="N35" s="2"/>
      <c r="O35" s="20"/>
    </row>
    <row r="36" spans="2:15">
      <c r="B36" s="98"/>
      <c r="C36" s="4"/>
      <c r="D36" s="2"/>
      <c r="E36" s="104"/>
      <c r="F36" s="2"/>
      <c r="G36" s="104"/>
      <c r="H36" s="104"/>
      <c r="I36" s="104"/>
      <c r="J36" s="104"/>
      <c r="K36" s="104"/>
      <c r="L36" s="2"/>
      <c r="M36" s="104"/>
      <c r="N36" s="2"/>
      <c r="O36" s="20"/>
    </row>
    <row r="37" spans="2:15">
      <c r="B37" s="98" t="s">
        <v>311</v>
      </c>
      <c r="C37" s="103" t="s">
        <v>383</v>
      </c>
      <c r="D37" s="97" t="s">
        <v>381</v>
      </c>
      <c r="E37" s="100"/>
      <c r="F37" s="122"/>
      <c r="G37" s="282" t="s">
        <v>375</v>
      </c>
      <c r="H37" s="283"/>
      <c r="I37" s="283"/>
      <c r="J37" s="283"/>
      <c r="K37" s="283"/>
      <c r="L37" s="122" t="s">
        <v>255</v>
      </c>
      <c r="M37" s="101">
        <v>880</v>
      </c>
      <c r="N37" s="2"/>
      <c r="O37" s="20"/>
    </row>
    <row r="38" spans="2:15">
      <c r="B38" s="98"/>
      <c r="C38" s="4"/>
      <c r="D38" s="2"/>
      <c r="E38" s="104"/>
      <c r="F38" s="2"/>
      <c r="G38" s="104"/>
      <c r="H38" s="104"/>
      <c r="I38" s="104"/>
      <c r="J38" s="104"/>
      <c r="K38" s="104"/>
      <c r="L38" s="2"/>
      <c r="M38" s="104"/>
      <c r="N38" s="2"/>
      <c r="O38" s="20"/>
    </row>
    <row r="39" spans="2:15">
      <c r="B39" s="98" t="s">
        <v>312</v>
      </c>
      <c r="C39" s="103" t="s">
        <v>384</v>
      </c>
      <c r="D39" s="97" t="s">
        <v>381</v>
      </c>
      <c r="E39" s="100"/>
      <c r="F39" s="122"/>
      <c r="G39" s="282" t="s">
        <v>375</v>
      </c>
      <c r="H39" s="283"/>
      <c r="I39" s="283"/>
      <c r="J39" s="283"/>
      <c r="K39" s="283"/>
      <c r="L39" s="122" t="s">
        <v>255</v>
      </c>
      <c r="M39" s="101">
        <v>119</v>
      </c>
      <c r="N39" s="2"/>
      <c r="O39" s="20"/>
    </row>
    <row r="40" spans="2:15">
      <c r="B40" s="98"/>
      <c r="C40" s="4"/>
      <c r="D40" s="2"/>
      <c r="E40" s="104"/>
      <c r="F40" s="2"/>
      <c r="G40" s="104"/>
      <c r="H40" s="104"/>
      <c r="I40" s="104"/>
      <c r="J40" s="104"/>
      <c r="K40" s="104"/>
      <c r="L40" s="2"/>
      <c r="M40" s="104"/>
      <c r="N40" s="2"/>
      <c r="O40" s="20"/>
    </row>
    <row r="41" spans="2:15">
      <c r="B41" s="98" t="s">
        <v>313</v>
      </c>
      <c r="C41" s="103" t="s">
        <v>385</v>
      </c>
      <c r="D41" s="97" t="s">
        <v>381</v>
      </c>
      <c r="E41" s="100"/>
      <c r="F41" s="122"/>
      <c r="G41" s="282" t="s">
        <v>375</v>
      </c>
      <c r="H41" s="283"/>
      <c r="I41" s="283"/>
      <c r="J41" s="283"/>
      <c r="K41" s="283"/>
      <c r="L41" s="122" t="s">
        <v>255</v>
      </c>
      <c r="M41" s="101">
        <v>676</v>
      </c>
      <c r="N41" s="2"/>
      <c r="O41" s="20"/>
    </row>
    <row r="42" spans="2:15">
      <c r="B42" s="98"/>
      <c r="C42" s="4"/>
      <c r="D42" s="2"/>
      <c r="E42" s="104"/>
      <c r="F42" s="2"/>
      <c r="G42" s="104"/>
      <c r="H42" s="104"/>
      <c r="I42" s="104"/>
      <c r="J42" s="104"/>
      <c r="K42" s="104"/>
      <c r="L42" s="2"/>
      <c r="M42" s="104"/>
      <c r="N42" s="2"/>
      <c r="O42" s="20"/>
    </row>
    <row r="43" spans="2:15">
      <c r="B43" s="98" t="s">
        <v>314</v>
      </c>
      <c r="C43" s="103" t="s">
        <v>31</v>
      </c>
      <c r="D43" s="97" t="s">
        <v>23</v>
      </c>
      <c r="E43" s="100"/>
      <c r="F43" s="97"/>
      <c r="G43" s="100"/>
      <c r="H43" s="105"/>
      <c r="I43" s="100">
        <v>0.75</v>
      </c>
      <c r="J43" s="105" t="s">
        <v>257</v>
      </c>
      <c r="K43" s="106">
        <v>6</v>
      </c>
      <c r="L43" s="122"/>
      <c r="M43" s="101">
        <f>ROUND(I43*K43,2)</f>
        <v>4.5</v>
      </c>
      <c r="N43" s="2"/>
      <c r="O43" s="20"/>
    </row>
    <row r="44" spans="2:15">
      <c r="B44" s="98"/>
      <c r="C44" s="4"/>
      <c r="D44" s="2"/>
      <c r="E44" s="104"/>
      <c r="F44" s="2"/>
      <c r="G44" s="104"/>
      <c r="H44" s="104"/>
      <c r="I44" s="104"/>
      <c r="J44" s="104"/>
      <c r="K44" s="104"/>
      <c r="L44" s="2"/>
      <c r="M44" s="104"/>
      <c r="N44" s="2"/>
      <c r="O44" s="20"/>
    </row>
    <row r="45" spans="2:15">
      <c r="B45" s="279" t="s">
        <v>315</v>
      </c>
      <c r="C45" s="280" t="s">
        <v>386</v>
      </c>
      <c r="D45" s="240" t="s">
        <v>125</v>
      </c>
      <c r="E45" s="100"/>
      <c r="F45" s="97"/>
      <c r="G45" s="105">
        <v>1.7</v>
      </c>
      <c r="H45" s="105" t="s">
        <v>257</v>
      </c>
      <c r="I45" s="105">
        <v>11</v>
      </c>
      <c r="J45" s="105"/>
      <c r="K45" s="106"/>
      <c r="L45" s="97" t="s">
        <v>255</v>
      </c>
      <c r="M45" s="100">
        <f>ROUND(G45*I45,2)</f>
        <v>18.7</v>
      </c>
      <c r="N45" s="277">
        <f>M45+M46</f>
        <v>20.95</v>
      </c>
      <c r="O45" s="20"/>
    </row>
    <row r="46" spans="2:15">
      <c r="B46" s="279"/>
      <c r="C46" s="281"/>
      <c r="D46" s="240"/>
      <c r="E46" s="100">
        <v>0.5</v>
      </c>
      <c r="F46" s="97" t="s">
        <v>257</v>
      </c>
      <c r="G46" s="100">
        <v>0.5</v>
      </c>
      <c r="H46" s="105" t="s">
        <v>257</v>
      </c>
      <c r="I46" s="100">
        <v>4.5</v>
      </c>
      <c r="J46" s="105" t="s">
        <v>257</v>
      </c>
      <c r="K46" s="106">
        <v>2</v>
      </c>
      <c r="L46" s="122" t="s">
        <v>255</v>
      </c>
      <c r="M46" s="100">
        <f>ROUND(E46*G46*I46*K46,2)</f>
        <v>2.25</v>
      </c>
      <c r="N46" s="278"/>
      <c r="O46" s="20"/>
    </row>
    <row r="47" spans="2:15">
      <c r="B47" s="98"/>
      <c r="C47" s="4"/>
      <c r="D47" s="2"/>
      <c r="E47" s="104"/>
      <c r="F47" s="2"/>
      <c r="G47" s="104"/>
      <c r="H47" s="104"/>
      <c r="I47" s="104"/>
      <c r="J47" s="104"/>
      <c r="K47" s="104"/>
      <c r="L47" s="2"/>
      <c r="M47" s="104"/>
      <c r="N47" s="2"/>
      <c r="O47" s="20"/>
    </row>
    <row r="48" spans="2:15">
      <c r="B48" s="279" t="s">
        <v>316</v>
      </c>
      <c r="C48" s="280" t="s">
        <v>387</v>
      </c>
      <c r="D48" s="240" t="s">
        <v>125</v>
      </c>
      <c r="E48" s="100"/>
      <c r="F48" s="97"/>
      <c r="G48" s="105">
        <v>1.7</v>
      </c>
      <c r="H48" s="105" t="s">
        <v>257</v>
      </c>
      <c r="I48" s="105">
        <v>11</v>
      </c>
      <c r="J48" s="105"/>
      <c r="K48" s="106"/>
      <c r="L48" s="97" t="s">
        <v>255</v>
      </c>
      <c r="M48" s="100">
        <f>ROUND(G48*I48,2)</f>
        <v>18.7</v>
      </c>
      <c r="N48" s="277">
        <f>M48+M49</f>
        <v>20.95</v>
      </c>
      <c r="O48" s="20"/>
    </row>
    <row r="49" spans="2:15">
      <c r="B49" s="279"/>
      <c r="C49" s="281"/>
      <c r="D49" s="240"/>
      <c r="E49" s="100">
        <v>0.5</v>
      </c>
      <c r="F49" s="97" t="s">
        <v>257</v>
      </c>
      <c r="G49" s="100">
        <v>0.5</v>
      </c>
      <c r="H49" s="105" t="s">
        <v>257</v>
      </c>
      <c r="I49" s="100">
        <v>4.5</v>
      </c>
      <c r="J49" s="105" t="s">
        <v>257</v>
      </c>
      <c r="K49" s="106">
        <v>2</v>
      </c>
      <c r="L49" s="122" t="s">
        <v>255</v>
      </c>
      <c r="M49" s="100">
        <f>ROUND(E49*G49*I49*K49,2)</f>
        <v>2.25</v>
      </c>
      <c r="N49" s="278"/>
      <c r="O49" s="20"/>
    </row>
    <row r="50" spans="2:15">
      <c r="B50" s="98"/>
      <c r="C50" s="4"/>
      <c r="D50" s="2"/>
      <c r="E50" s="104"/>
      <c r="F50" s="2"/>
      <c r="G50" s="104"/>
      <c r="H50" s="104"/>
      <c r="I50" s="104"/>
      <c r="J50" s="104"/>
      <c r="K50" s="104"/>
      <c r="L50" s="2"/>
      <c r="M50" s="104"/>
      <c r="N50" s="2"/>
      <c r="O50" s="20"/>
    </row>
    <row r="51" spans="2:15">
      <c r="B51" s="98" t="s">
        <v>317</v>
      </c>
      <c r="C51" s="103" t="s">
        <v>33</v>
      </c>
      <c r="D51" s="97" t="s">
        <v>23</v>
      </c>
      <c r="E51" s="100"/>
      <c r="F51" s="97"/>
      <c r="G51" s="100"/>
      <c r="H51" s="105"/>
      <c r="I51" s="100">
        <v>11</v>
      </c>
      <c r="J51" s="105" t="s">
        <v>257</v>
      </c>
      <c r="K51" s="106">
        <v>2</v>
      </c>
      <c r="L51" s="122" t="s">
        <v>255</v>
      </c>
      <c r="M51" s="101">
        <f>ROUND(I51*K51,2)</f>
        <v>22</v>
      </c>
      <c r="N51" s="2"/>
      <c r="O51" s="20"/>
    </row>
    <row r="52" spans="2:15">
      <c r="B52" s="98"/>
      <c r="C52" s="4"/>
      <c r="D52" s="2"/>
      <c r="E52" s="104"/>
      <c r="F52" s="2"/>
      <c r="G52" s="104"/>
      <c r="H52" s="104"/>
      <c r="I52" s="104"/>
      <c r="J52" s="104"/>
      <c r="K52" s="104"/>
      <c r="L52" s="2"/>
      <c r="M52" s="104"/>
      <c r="N52" s="2"/>
      <c r="O52" s="20"/>
    </row>
    <row r="53" spans="2:15">
      <c r="B53" s="98" t="s">
        <v>145</v>
      </c>
      <c r="C53" s="103" t="s">
        <v>283</v>
      </c>
      <c r="D53" s="97" t="s">
        <v>11</v>
      </c>
      <c r="E53" s="100"/>
      <c r="F53" s="97"/>
      <c r="G53" s="100">
        <v>50</v>
      </c>
      <c r="H53" s="105" t="s">
        <v>257</v>
      </c>
      <c r="I53" s="100">
        <v>50</v>
      </c>
      <c r="J53" s="105" t="s">
        <v>257</v>
      </c>
      <c r="K53" s="106"/>
      <c r="L53" s="122" t="s">
        <v>255</v>
      </c>
      <c r="M53" s="101">
        <f>ROUND(G53*I53,2)</f>
        <v>2500</v>
      </c>
      <c r="N53" s="2"/>
      <c r="O53" s="20"/>
    </row>
    <row r="54" spans="2:15">
      <c r="B54" s="98"/>
      <c r="C54" s="4"/>
      <c r="D54" s="2"/>
      <c r="E54" s="104"/>
      <c r="F54" s="2"/>
      <c r="G54" s="104"/>
      <c r="H54" s="104"/>
      <c r="I54" s="104"/>
      <c r="J54" s="104"/>
      <c r="K54" s="104"/>
      <c r="L54" s="2"/>
      <c r="M54" s="104"/>
      <c r="N54" s="2"/>
      <c r="O54" s="20"/>
    </row>
    <row r="55" spans="2:15">
      <c r="B55" s="98" t="s">
        <v>146</v>
      </c>
      <c r="C55" s="103" t="s">
        <v>388</v>
      </c>
      <c r="D55" s="97" t="s">
        <v>125</v>
      </c>
      <c r="E55" s="105"/>
      <c r="F55" s="97"/>
      <c r="G55" s="100"/>
      <c r="H55" s="105"/>
      <c r="I55" s="105">
        <f>M61</f>
        <v>300</v>
      </c>
      <c r="J55" s="105" t="s">
        <v>257</v>
      </c>
      <c r="K55" s="109">
        <v>1.1000000000000001</v>
      </c>
      <c r="L55" s="122" t="s">
        <v>255</v>
      </c>
      <c r="M55" s="101">
        <f>ROUND(I55*K55,2)</f>
        <v>330</v>
      </c>
      <c r="N55" s="2"/>
      <c r="O55" s="20"/>
    </row>
    <row r="56" spans="2:15">
      <c r="B56" s="98"/>
      <c r="C56" s="4"/>
      <c r="D56" s="2"/>
      <c r="E56" s="104"/>
      <c r="F56" s="2"/>
      <c r="G56" s="104"/>
      <c r="H56" s="104"/>
      <c r="I56" s="104"/>
      <c r="J56" s="104"/>
      <c r="K56" s="104"/>
      <c r="L56" s="2"/>
      <c r="M56" s="104"/>
      <c r="N56" s="2"/>
      <c r="O56" s="20"/>
    </row>
    <row r="57" spans="2:15">
      <c r="B57" s="98" t="s">
        <v>147</v>
      </c>
      <c r="C57" s="103" t="s">
        <v>389</v>
      </c>
      <c r="D57" s="97" t="s">
        <v>125</v>
      </c>
      <c r="E57" s="105"/>
      <c r="F57" s="97"/>
      <c r="G57" s="100"/>
      <c r="H57" s="105"/>
      <c r="I57" s="105">
        <f>M61</f>
        <v>300</v>
      </c>
      <c r="J57" s="105" t="s">
        <v>257</v>
      </c>
      <c r="K57" s="109">
        <v>1.2</v>
      </c>
      <c r="L57" s="122" t="s">
        <v>255</v>
      </c>
      <c r="M57" s="101">
        <f>ROUND(I57*K57,2)</f>
        <v>360</v>
      </c>
      <c r="N57" s="2"/>
      <c r="O57" s="20"/>
    </row>
    <row r="58" spans="2:15">
      <c r="B58" s="98"/>
      <c r="C58" s="123"/>
      <c r="D58" s="97"/>
      <c r="E58" s="100"/>
      <c r="F58" s="97"/>
      <c r="G58" s="100"/>
      <c r="H58" s="105"/>
      <c r="I58" s="100"/>
      <c r="J58" s="105"/>
      <c r="K58" s="106"/>
      <c r="L58" s="122"/>
      <c r="M58" s="105"/>
      <c r="N58" s="2"/>
      <c r="O58" s="20"/>
    </row>
    <row r="59" spans="2:15">
      <c r="B59" s="98" t="s">
        <v>148</v>
      </c>
      <c r="C59" s="103" t="s">
        <v>390</v>
      </c>
      <c r="D59" s="97" t="s">
        <v>310</v>
      </c>
      <c r="E59" s="100"/>
      <c r="F59" s="97"/>
      <c r="G59" s="105">
        <f>M57</f>
        <v>360</v>
      </c>
      <c r="H59" s="105"/>
      <c r="I59" s="105">
        <v>1.5</v>
      </c>
      <c r="J59" s="105" t="s">
        <v>257</v>
      </c>
      <c r="K59" s="109">
        <v>50</v>
      </c>
      <c r="L59" s="122" t="s">
        <v>255</v>
      </c>
      <c r="M59" s="101">
        <f>ROUND(G59*I59*K59,2)</f>
        <v>27000</v>
      </c>
      <c r="N59" s="2"/>
      <c r="O59" s="20"/>
    </row>
    <row r="60" spans="2:15">
      <c r="B60" s="98"/>
      <c r="C60" s="123"/>
      <c r="D60" s="97"/>
      <c r="E60" s="100"/>
      <c r="F60" s="97"/>
      <c r="G60" s="100"/>
      <c r="H60" s="105"/>
      <c r="I60" s="100"/>
      <c r="J60" s="105"/>
      <c r="K60" s="106"/>
      <c r="L60" s="122"/>
      <c r="M60" s="105"/>
      <c r="N60" s="2"/>
      <c r="O60" s="20"/>
    </row>
    <row r="61" spans="2:15">
      <c r="B61" s="98" t="s">
        <v>246</v>
      </c>
      <c r="C61" s="103" t="s">
        <v>391</v>
      </c>
      <c r="D61" s="97" t="s">
        <v>125</v>
      </c>
      <c r="E61" s="100">
        <v>20</v>
      </c>
      <c r="F61" s="122" t="s">
        <v>257</v>
      </c>
      <c r="G61" s="105">
        <v>5</v>
      </c>
      <c r="H61" s="105" t="s">
        <v>257</v>
      </c>
      <c r="I61" s="105">
        <v>1.5</v>
      </c>
      <c r="J61" s="105" t="s">
        <v>257</v>
      </c>
      <c r="K61" s="106">
        <v>2</v>
      </c>
      <c r="L61" s="122" t="s">
        <v>255</v>
      </c>
      <c r="M61" s="101">
        <f>ROUND(E61*G61*I61*K61,2)</f>
        <v>300</v>
      </c>
      <c r="N61" s="2"/>
      <c r="O61" s="20"/>
    </row>
    <row r="62" spans="2:15" ht="13.5" thickBot="1">
      <c r="B62" s="110"/>
      <c r="C62" s="111"/>
      <c r="D62" s="112"/>
      <c r="E62" s="113"/>
      <c r="F62" s="112"/>
      <c r="G62" s="113"/>
      <c r="H62" s="114"/>
      <c r="I62" s="113"/>
      <c r="J62" s="114"/>
      <c r="K62" s="115"/>
      <c r="L62" s="116"/>
      <c r="M62" s="114"/>
      <c r="N62" s="117"/>
      <c r="O62" s="118"/>
    </row>
  </sheetData>
  <mergeCells count="23">
    <mergeCell ref="B8:O8"/>
    <mergeCell ref="B1:O1"/>
    <mergeCell ref="B3:O3"/>
    <mergeCell ref="B4:O4"/>
    <mergeCell ref="B6:O6"/>
    <mergeCell ref="C2:O2"/>
    <mergeCell ref="B30:B31"/>
    <mergeCell ref="C30:C31"/>
    <mergeCell ref="D30:D31"/>
    <mergeCell ref="N30:N31"/>
    <mergeCell ref="G33:K33"/>
    <mergeCell ref="G35:K35"/>
    <mergeCell ref="G37:K37"/>
    <mergeCell ref="G39:K39"/>
    <mergeCell ref="G41:K41"/>
    <mergeCell ref="B45:B46"/>
    <mergeCell ref="C45:C46"/>
    <mergeCell ref="D45:D46"/>
    <mergeCell ref="N45:N46"/>
    <mergeCell ref="B48:B49"/>
    <mergeCell ref="C48:C49"/>
    <mergeCell ref="D48:D49"/>
    <mergeCell ref="N48:N49"/>
  </mergeCells>
  <pageMargins left="0.51181102362204722" right="0.51181102362204722" top="0.78740157480314965" bottom="0.78740157480314965" header="0.31496062992125984" footer="0.31496062992125984"/>
  <pageSetup paperSize="9" scale="88" orientation="landscape" r:id="rId1"/>
  <rowBreaks count="1" manualBreakCount="1">
    <brk id="39" min="1" max="14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1:O27"/>
  <sheetViews>
    <sheetView topLeftCell="A7" zoomScaleSheetLayoutView="90" workbookViewId="0">
      <selection activeCell="D15" sqref="D15"/>
    </sheetView>
  </sheetViews>
  <sheetFormatPr defaultRowHeight="12.75"/>
  <cols>
    <col min="1" max="1" width="2.42578125" customWidth="1"/>
    <col min="3" max="3" width="12.85546875" customWidth="1"/>
    <col min="4" max="4" width="11.28515625" customWidth="1"/>
    <col min="8" max="8" width="11.7109375" customWidth="1"/>
    <col min="12" max="12" width="10" customWidth="1"/>
  </cols>
  <sheetData>
    <row r="1" spans="2:15" ht="9.75" customHeight="1" thickBot="1"/>
    <row r="2" spans="2:15" ht="16.5">
      <c r="B2" s="304" t="s">
        <v>251</v>
      </c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6"/>
    </row>
    <row r="3" spans="2:15" ht="16.5">
      <c r="B3" s="307" t="s">
        <v>297</v>
      </c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9"/>
    </row>
    <row r="4" spans="2:15" ht="16.5">
      <c r="B4" s="307" t="s">
        <v>113</v>
      </c>
      <c r="C4" s="308"/>
      <c r="D4" s="308"/>
      <c r="E4" s="308"/>
      <c r="F4" s="308"/>
      <c r="G4" s="308"/>
      <c r="H4" s="308"/>
      <c r="I4" s="308"/>
      <c r="J4" s="308"/>
      <c r="K4" s="308"/>
      <c r="L4" s="308"/>
      <c r="M4" s="308"/>
      <c r="N4" s="308"/>
      <c r="O4" s="309"/>
    </row>
    <row r="5" spans="2:15" ht="16.5">
      <c r="B5" s="307" t="s">
        <v>114</v>
      </c>
      <c r="C5" s="308"/>
      <c r="D5" s="308"/>
      <c r="E5" s="308"/>
      <c r="F5" s="308"/>
      <c r="G5" s="308"/>
      <c r="H5" s="308"/>
      <c r="I5" s="308"/>
      <c r="J5" s="308"/>
      <c r="K5" s="308"/>
      <c r="L5" s="308"/>
      <c r="M5" s="308"/>
      <c r="N5" s="308"/>
      <c r="O5" s="309"/>
    </row>
    <row r="6" spans="2:15" ht="13.5" thickBot="1">
      <c r="B6" s="56"/>
      <c r="C6" s="161"/>
      <c r="D6" s="161"/>
      <c r="E6" s="162"/>
      <c r="F6" s="162"/>
      <c r="G6" s="163"/>
      <c r="H6" s="161"/>
      <c r="I6" s="161"/>
      <c r="J6" s="161"/>
      <c r="K6" s="161"/>
      <c r="L6" s="161"/>
      <c r="M6" s="161"/>
      <c r="N6" s="161"/>
      <c r="O6" s="57"/>
    </row>
    <row r="7" spans="2:15" ht="39" customHeight="1" thickBot="1">
      <c r="B7" s="293" t="str">
        <f>Plan!B7</f>
        <v>OBJETO: CONSTRUÇÃO DE 01 (uma) PONTE, NO POVOADO DE CAMPOS A FIM DE CAMPOS, NO MUNICÍPIO DE BOQUIRA, NO ESTADO DA BAHIA.</v>
      </c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5"/>
    </row>
    <row r="8" spans="2:15" ht="8.25" customHeight="1">
      <c r="B8" s="58"/>
      <c r="C8" s="164"/>
      <c r="D8" s="164"/>
      <c r="E8" s="165"/>
      <c r="F8" s="166"/>
      <c r="G8" s="4"/>
      <c r="H8" s="4"/>
      <c r="I8" s="4"/>
      <c r="J8" s="4"/>
      <c r="K8" s="161"/>
      <c r="L8" s="161"/>
      <c r="M8" s="161"/>
      <c r="N8" s="161"/>
      <c r="O8" s="57"/>
    </row>
    <row r="9" spans="2:15">
      <c r="B9" s="301" t="s">
        <v>298</v>
      </c>
      <c r="C9" s="302"/>
      <c r="D9" s="302"/>
      <c r="E9" s="302"/>
      <c r="F9" s="302"/>
      <c r="G9" s="302"/>
      <c r="H9" s="302"/>
      <c r="I9" s="302"/>
      <c r="J9" s="302"/>
      <c r="K9" s="302"/>
      <c r="L9" s="302"/>
      <c r="M9" s="302"/>
      <c r="N9" s="302"/>
      <c r="O9" s="303"/>
    </row>
    <row r="10" spans="2:15">
      <c r="B10" s="301"/>
      <c r="C10" s="302"/>
      <c r="D10" s="302"/>
      <c r="E10" s="302"/>
      <c r="F10" s="302"/>
      <c r="G10" s="302"/>
      <c r="H10" s="302"/>
      <c r="I10" s="302"/>
      <c r="J10" s="302"/>
      <c r="K10" s="302"/>
      <c r="L10" s="302"/>
      <c r="M10" s="302"/>
      <c r="N10" s="302"/>
      <c r="O10" s="303"/>
    </row>
    <row r="11" spans="2:15" ht="9.75" customHeight="1">
      <c r="B11" s="59"/>
      <c r="C11" s="167"/>
      <c r="D11" s="167"/>
      <c r="E11" s="167"/>
      <c r="F11" s="167"/>
      <c r="G11" s="167"/>
      <c r="H11" s="161"/>
      <c r="I11" s="161"/>
      <c r="J11" s="161"/>
      <c r="K11" s="161"/>
      <c r="L11" s="161"/>
      <c r="M11" s="161"/>
      <c r="N11" s="161"/>
      <c r="O11" s="57"/>
    </row>
    <row r="12" spans="2:15" ht="20.100000000000001" customHeight="1">
      <c r="B12" s="297" t="s">
        <v>299</v>
      </c>
      <c r="C12" s="298"/>
      <c r="D12" s="299" t="s">
        <v>412</v>
      </c>
      <c r="E12" s="299"/>
      <c r="F12" s="299"/>
      <c r="G12" s="299"/>
      <c r="H12" s="299"/>
      <c r="I12" s="163"/>
      <c r="J12" s="163"/>
      <c r="K12" s="163"/>
      <c r="L12" s="163"/>
      <c r="M12" s="163"/>
      <c r="N12" s="163"/>
      <c r="O12" s="61"/>
    </row>
    <row r="13" spans="2:15" ht="20.100000000000001" customHeight="1">
      <c r="B13" s="297" t="s">
        <v>300</v>
      </c>
      <c r="C13" s="298"/>
      <c r="D13" s="170" t="s">
        <v>413</v>
      </c>
      <c r="E13" s="170"/>
      <c r="F13" s="170"/>
      <c r="G13" s="170"/>
      <c r="H13" s="170"/>
      <c r="I13" s="168"/>
      <c r="J13" s="168"/>
      <c r="K13" s="168"/>
      <c r="L13" s="168"/>
      <c r="M13" s="168"/>
      <c r="N13" s="163"/>
      <c r="O13" s="61"/>
    </row>
    <row r="14" spans="2:15" ht="20.100000000000001" customHeight="1">
      <c r="B14" s="297" t="s">
        <v>321</v>
      </c>
      <c r="C14" s="298"/>
      <c r="D14" s="169">
        <f>27+20</f>
        <v>47</v>
      </c>
      <c r="E14" s="170" t="s">
        <v>301</v>
      </c>
      <c r="F14" s="171"/>
      <c r="G14" s="171"/>
      <c r="H14" s="171"/>
      <c r="I14" s="163"/>
      <c r="J14" s="163"/>
      <c r="K14" s="163"/>
      <c r="L14" s="163"/>
      <c r="M14" s="163"/>
      <c r="N14" s="163"/>
      <c r="O14" s="61"/>
    </row>
    <row r="15" spans="2:15">
      <c r="B15" s="60"/>
      <c r="C15" s="170"/>
      <c r="D15" s="170"/>
      <c r="E15" s="170"/>
      <c r="F15" s="163"/>
      <c r="G15" s="163"/>
      <c r="H15" s="163"/>
      <c r="I15" s="163"/>
      <c r="J15" s="163"/>
      <c r="K15" s="163"/>
      <c r="L15" s="163"/>
      <c r="M15" s="163"/>
      <c r="N15" s="163"/>
      <c r="O15" s="61"/>
    </row>
    <row r="16" spans="2:15" ht="20.100000000000001" customHeight="1">
      <c r="B16" s="60" t="s">
        <v>302</v>
      </c>
      <c r="C16" s="170"/>
      <c r="D16" s="170"/>
      <c r="E16" s="170"/>
      <c r="F16" s="296" t="s">
        <v>303</v>
      </c>
      <c r="G16" s="296"/>
      <c r="H16" s="296"/>
      <c r="I16" s="75">
        <v>16.7</v>
      </c>
      <c r="J16" s="62" t="s">
        <v>304</v>
      </c>
      <c r="K16" s="163"/>
      <c r="L16" s="163"/>
      <c r="M16" s="163"/>
      <c r="N16" s="163"/>
      <c r="O16" s="61"/>
    </row>
    <row r="17" spans="2:15" ht="20.100000000000001" customHeight="1">
      <c r="B17" s="63"/>
      <c r="C17" s="163"/>
      <c r="D17" s="163"/>
      <c r="E17" s="163"/>
      <c r="F17" s="296" t="s">
        <v>305</v>
      </c>
      <c r="G17" s="296"/>
      <c r="H17" s="296"/>
      <c r="I17" s="75">
        <v>12.1</v>
      </c>
      <c r="J17" s="62" t="s">
        <v>304</v>
      </c>
      <c r="K17" s="163"/>
      <c r="L17" s="163"/>
      <c r="M17" s="163"/>
      <c r="N17" s="163"/>
      <c r="O17" s="61"/>
    </row>
    <row r="18" spans="2:15" ht="20.100000000000001" customHeight="1">
      <c r="B18" s="63"/>
      <c r="C18" s="163"/>
      <c r="D18" s="163"/>
      <c r="E18" s="163"/>
      <c r="F18" s="296" t="s">
        <v>320</v>
      </c>
      <c r="G18" s="296"/>
      <c r="H18" s="296"/>
      <c r="I18" s="75">
        <v>10.199999999999999</v>
      </c>
      <c r="J18" s="62" t="s">
        <v>304</v>
      </c>
      <c r="K18" s="163"/>
      <c r="L18" s="163"/>
      <c r="M18" s="163"/>
      <c r="N18" s="163"/>
      <c r="O18" s="61"/>
    </row>
    <row r="19" spans="2:15" ht="20.100000000000001" customHeight="1">
      <c r="B19" s="63"/>
      <c r="C19" s="163"/>
      <c r="D19" s="163"/>
      <c r="E19" s="163"/>
      <c r="F19" s="296" t="s">
        <v>306</v>
      </c>
      <c r="G19" s="296"/>
      <c r="H19" s="296"/>
      <c r="I19" s="75">
        <v>13.03</v>
      </c>
      <c r="J19" s="62" t="s">
        <v>304</v>
      </c>
      <c r="K19" s="163"/>
      <c r="L19" s="163"/>
      <c r="M19" s="163"/>
      <c r="N19" s="163"/>
      <c r="O19" s="61"/>
    </row>
    <row r="20" spans="2:15" ht="20.100000000000001" customHeight="1">
      <c r="B20" s="63"/>
      <c r="C20" s="163"/>
      <c r="D20" s="163"/>
      <c r="E20" s="163"/>
      <c r="F20" s="296" t="s">
        <v>307</v>
      </c>
      <c r="G20" s="296"/>
      <c r="H20" s="296"/>
      <c r="I20" s="75">
        <v>2.6</v>
      </c>
      <c r="J20" s="62" t="s">
        <v>304</v>
      </c>
      <c r="K20" s="163"/>
      <c r="L20" s="163"/>
      <c r="M20" s="163"/>
      <c r="N20" s="163"/>
      <c r="O20" s="61"/>
    </row>
    <row r="21" spans="2:15" ht="27" customHeight="1">
      <c r="B21" s="63"/>
      <c r="C21" s="163"/>
      <c r="D21" s="163"/>
      <c r="E21" s="163"/>
      <c r="F21" s="300" t="s">
        <v>319</v>
      </c>
      <c r="G21" s="300"/>
      <c r="H21" s="300"/>
      <c r="I21" s="75">
        <v>15.33</v>
      </c>
      <c r="J21" s="62" t="s">
        <v>304</v>
      </c>
      <c r="K21" s="163"/>
      <c r="L21" s="163"/>
      <c r="M21" s="163"/>
      <c r="N21" s="163"/>
      <c r="O21" s="61"/>
    </row>
    <row r="22" spans="2:15" ht="20.100000000000001" customHeight="1">
      <c r="B22" s="63"/>
      <c r="C22" s="163"/>
      <c r="D22" s="163"/>
      <c r="E22" s="163"/>
      <c r="F22" s="296" t="s">
        <v>318</v>
      </c>
      <c r="G22" s="296"/>
      <c r="H22" s="296"/>
      <c r="I22" s="75">
        <v>10.8</v>
      </c>
      <c r="J22" s="62" t="s">
        <v>304</v>
      </c>
      <c r="K22" s="163"/>
      <c r="L22" s="163"/>
      <c r="M22" s="163"/>
      <c r="N22" s="163"/>
      <c r="O22" s="61"/>
    </row>
    <row r="23" spans="2:15" ht="20.100000000000001" customHeight="1">
      <c r="B23" s="63"/>
      <c r="C23" s="163"/>
      <c r="D23" s="163"/>
      <c r="E23" s="163"/>
      <c r="F23" s="296" t="s">
        <v>308</v>
      </c>
      <c r="G23" s="296"/>
      <c r="H23" s="296"/>
      <c r="I23" s="75">
        <v>1</v>
      </c>
      <c r="J23" s="62" t="s">
        <v>304</v>
      </c>
      <c r="K23" s="163"/>
      <c r="L23" s="163"/>
      <c r="M23" s="163"/>
      <c r="N23" s="163"/>
      <c r="O23" s="61"/>
    </row>
    <row r="24" spans="2:15">
      <c r="B24" s="63"/>
      <c r="C24" s="163"/>
      <c r="D24" s="163"/>
      <c r="E24" s="163"/>
      <c r="F24" s="170"/>
      <c r="G24" s="170"/>
      <c r="H24" s="170"/>
      <c r="I24" s="172"/>
      <c r="J24" s="170"/>
      <c r="K24" s="163"/>
      <c r="L24" s="163"/>
      <c r="M24" s="163"/>
      <c r="N24" s="163"/>
      <c r="O24" s="61"/>
    </row>
    <row r="25" spans="2:15" ht="20.100000000000001" customHeight="1">
      <c r="B25" s="63"/>
      <c r="C25" s="163"/>
      <c r="D25" s="163"/>
      <c r="E25" s="163"/>
      <c r="F25" s="168" t="s">
        <v>309</v>
      </c>
      <c r="G25" s="170"/>
      <c r="H25" s="170"/>
      <c r="I25" s="64">
        <f>SUM(I16:I24)</f>
        <v>81.760000000000005</v>
      </c>
      <c r="J25" s="170" t="s">
        <v>304</v>
      </c>
      <c r="K25" s="163"/>
      <c r="L25" s="163"/>
      <c r="M25" s="163"/>
      <c r="N25" s="163"/>
      <c r="O25" s="65"/>
    </row>
    <row r="26" spans="2:15" ht="13.5" thickBot="1">
      <c r="B26" s="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61"/>
    </row>
    <row r="27" spans="2:15" ht="20.100000000000001" customHeight="1" thickBot="1">
      <c r="B27" s="66" t="str">
        <f>"Momento de transporte  =  "&amp;TEXT(I25,"0,00")&amp;"  x  "&amp;TEXT(D14,"0,00")&amp;"            =&gt;"</f>
        <v>Momento de transporte  =  81,76  x  47,00            =&gt;</v>
      </c>
      <c r="C27" s="67"/>
      <c r="D27" s="67"/>
      <c r="E27" s="67"/>
      <c r="F27" s="67"/>
      <c r="G27" s="67"/>
      <c r="H27" s="67"/>
      <c r="I27" s="67"/>
      <c r="J27" s="67"/>
      <c r="K27" s="67"/>
      <c r="L27" s="82">
        <f>ROUND(D14*I25,2)</f>
        <v>3842.72</v>
      </c>
      <c r="M27" s="68" t="s">
        <v>310</v>
      </c>
      <c r="N27" s="67"/>
      <c r="O27" s="69"/>
    </row>
  </sheetData>
  <mergeCells count="18">
    <mergeCell ref="B9:O10"/>
    <mergeCell ref="B2:O2"/>
    <mergeCell ref="B3:O3"/>
    <mergeCell ref="B4:O4"/>
    <mergeCell ref="B5:O5"/>
    <mergeCell ref="B7:O7"/>
    <mergeCell ref="F23:H23"/>
    <mergeCell ref="F22:H22"/>
    <mergeCell ref="F18:H18"/>
    <mergeCell ref="B12:C12"/>
    <mergeCell ref="B13:C13"/>
    <mergeCell ref="B14:C14"/>
    <mergeCell ref="D12:H12"/>
    <mergeCell ref="F16:H16"/>
    <mergeCell ref="F17:H17"/>
    <mergeCell ref="F19:H19"/>
    <mergeCell ref="F20:H20"/>
    <mergeCell ref="F21:H21"/>
  </mergeCells>
  <pageMargins left="0.51181102362204722" right="0.51181102362204722" top="0.78740157480314965" bottom="0.78740157480314965" header="0.31496062992125984" footer="0.31496062992125984"/>
  <pageSetup paperSize="9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Plan</vt:lpstr>
      <vt:lpstr>CPUs</vt:lpstr>
      <vt:lpstr>Crono</vt:lpstr>
      <vt:lpstr>Memo calc </vt:lpstr>
      <vt:lpstr>Mob. e Desmb.</vt:lpstr>
      <vt:lpstr>CPUs!Area_de_impressao</vt:lpstr>
      <vt:lpstr>Crono!Area_de_impressao</vt:lpstr>
      <vt:lpstr>'Memo calc '!Area_de_impressao</vt:lpstr>
      <vt:lpstr>'Mob. e Desmb.'!Area_de_impressao</vt:lpstr>
      <vt:lpstr>Plan!Area_de_impressao</vt:lpstr>
      <vt:lpstr>CPUs!Titulos_de_impressao</vt:lpstr>
      <vt:lpstr>'Memo calc '!Titulos_de_impressao</vt:lpstr>
    </vt:vector>
  </TitlesOfParts>
  <Company>CODEVASF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Thamar dos Santos Morais</cp:lastModifiedBy>
  <cp:lastPrinted>2019-12-04T17:22:52Z</cp:lastPrinted>
  <dcterms:created xsi:type="dcterms:W3CDTF">2008-09-30T13:15:08Z</dcterms:created>
  <dcterms:modified xsi:type="dcterms:W3CDTF">2019-12-04T17:22:56Z</dcterms:modified>
</cp:coreProperties>
</file>