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0" windowWidth="16515" windowHeight="12675" tabRatio="876"/>
  </bookViews>
  <sheets>
    <sheet name="Planilha" sheetId="28" r:id="rId1"/>
    <sheet name="Meno" sheetId="78" r:id="rId2"/>
    <sheet name="Compô's" sheetId="77" r:id="rId3"/>
    <sheet name="Crono" sheetId="79" r:id="rId4"/>
    <sheet name="Mobilização" sheetId="60" r:id="rId5"/>
  </sheets>
  <externalReferences>
    <externalReference r:id="rId6"/>
  </externalReference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2">'Compô''s'!$A$1:$G$389</definedName>
    <definedName name="_xlnm.Print_Area" localSheetId="0">Planilha!$A$1:$G$98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2">'Compô''s'!$1:$9</definedName>
    <definedName name="_xlnm.Print_Titles" localSheetId="1">Meno!$1:$8</definedName>
    <definedName name="_xlnm.Print_Titles" localSheetId="0">Planilha!$1:$12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E300" i="77"/>
  <c r="D298"/>
  <c r="G298"/>
  <c r="G299"/>
  <c r="G300"/>
  <c r="F298"/>
  <c r="C298"/>
  <c r="B298"/>
  <c r="A298"/>
  <c r="E81" i="28"/>
  <c r="E80"/>
  <c r="E79"/>
  <c r="E78"/>
  <c r="C57"/>
  <c r="B32" i="79"/>
  <c r="B30"/>
  <c r="B28"/>
  <c r="B26"/>
  <c r="B24"/>
  <c r="B22"/>
  <c r="B20"/>
  <c r="B18"/>
  <c r="B16"/>
  <c r="B14"/>
  <c r="B12"/>
  <c r="B11"/>
  <c r="B9"/>
  <c r="A5"/>
  <c r="G301" i="77" l="1"/>
  <c r="G302" s="1"/>
  <c r="G303" s="1"/>
  <c r="L41" i="78"/>
  <c r="E31" i="28" s="1"/>
  <c r="H120" i="78"/>
  <c r="F123" s="1"/>
  <c r="E57" i="28" s="1"/>
  <c r="L118" i="78"/>
  <c r="H43"/>
  <c r="E32" i="28" s="1"/>
  <c r="D43" i="78"/>
  <c r="H48"/>
  <c r="E86" i="28" s="1"/>
  <c r="H60" i="78"/>
  <c r="F59"/>
  <c r="F122"/>
  <c r="J122" s="1"/>
  <c r="E56" i="28" s="1"/>
  <c r="F121" i="78"/>
  <c r="D121"/>
  <c r="J119"/>
  <c r="E49" i="28" s="1"/>
  <c r="H117" i="78"/>
  <c r="L117" s="1"/>
  <c r="H110"/>
  <c r="L110" s="1"/>
  <c r="E48" i="28" s="1"/>
  <c r="F115" i="78"/>
  <c r="D115"/>
  <c r="C66" i="28"/>
  <c r="C58" s="1"/>
  <c r="L96" i="78"/>
  <c r="P96" s="1"/>
  <c r="E61" i="28" s="1"/>
  <c r="J102" i="78"/>
  <c r="N102" s="1"/>
  <c r="R102" s="1"/>
  <c r="L106"/>
  <c r="P106" s="1"/>
  <c r="L105"/>
  <c r="P105" s="1"/>
  <c r="H104"/>
  <c r="F104"/>
  <c r="D104"/>
  <c r="L101"/>
  <c r="P101" s="1"/>
  <c r="B44" i="28"/>
  <c r="B56" s="1"/>
  <c r="F92" i="78"/>
  <c r="D92"/>
  <c r="F81"/>
  <c r="J89"/>
  <c r="N89" s="1"/>
  <c r="H87"/>
  <c r="L87" s="1"/>
  <c r="H86"/>
  <c r="L86" s="1"/>
  <c r="H80"/>
  <c r="H79"/>
  <c r="F80"/>
  <c r="F79"/>
  <c r="D80"/>
  <c r="D79"/>
  <c r="L84"/>
  <c r="P84" s="1"/>
  <c r="L85"/>
  <c r="P85" s="1"/>
  <c r="H83"/>
  <c r="F83"/>
  <c r="D83"/>
  <c r="J78"/>
  <c r="N78" s="1"/>
  <c r="R78" s="1"/>
  <c r="L77"/>
  <c r="P77" s="1"/>
  <c r="L71"/>
  <c r="P71" s="1"/>
  <c r="E35" i="28" s="1"/>
  <c r="H66" i="78"/>
  <c r="E90" i="28" s="1"/>
  <c r="H68" i="78"/>
  <c r="E91" i="28" s="1"/>
  <c r="H64" i="78"/>
  <c r="E89" i="28" s="1"/>
  <c r="B94"/>
  <c r="B91"/>
  <c r="G380" i="77"/>
  <c r="G378"/>
  <c r="D382"/>
  <c r="E379"/>
  <c r="G379" s="1"/>
  <c r="B90" i="28"/>
  <c r="G372" i="77"/>
  <c r="D374"/>
  <c r="E371"/>
  <c r="G371" s="1"/>
  <c r="G370"/>
  <c r="B89" i="28"/>
  <c r="E363" i="77"/>
  <c r="G363" s="1"/>
  <c r="G364"/>
  <c r="D366"/>
  <c r="G362"/>
  <c r="B86" i="28"/>
  <c r="B85"/>
  <c r="B84"/>
  <c r="D336" i="77"/>
  <c r="E334"/>
  <c r="G334" s="1"/>
  <c r="G333"/>
  <c r="G332"/>
  <c r="G331"/>
  <c r="G330"/>
  <c r="G329"/>
  <c r="E345"/>
  <c r="G345" s="1"/>
  <c r="D358"/>
  <c r="G356"/>
  <c r="G355"/>
  <c r="G354"/>
  <c r="G353"/>
  <c r="G352"/>
  <c r="G351"/>
  <c r="D347"/>
  <c r="G344"/>
  <c r="G343"/>
  <c r="G342"/>
  <c r="G341"/>
  <c r="G340"/>
  <c r="B81" i="28"/>
  <c r="B80"/>
  <c r="B311" i="77"/>
  <c r="E318"/>
  <c r="I317"/>
  <c r="I318" s="1"/>
  <c r="I319" s="1"/>
  <c r="E321"/>
  <c r="E320"/>
  <c r="I323"/>
  <c r="I322"/>
  <c r="B321"/>
  <c r="B320"/>
  <c r="B319"/>
  <c r="B318"/>
  <c r="B310" s="1"/>
  <c r="B317"/>
  <c r="B323"/>
  <c r="B322"/>
  <c r="B79" i="28"/>
  <c r="G297" i="77"/>
  <c r="G296"/>
  <c r="G295"/>
  <c r="F299"/>
  <c r="D302"/>
  <c r="B78" i="28"/>
  <c r="G289" i="77"/>
  <c r="G287"/>
  <c r="G288"/>
  <c r="G286"/>
  <c r="B77" i="28"/>
  <c r="G278" i="77"/>
  <c r="G279"/>
  <c r="G280"/>
  <c r="G277"/>
  <c r="D282"/>
  <c r="B74" i="28"/>
  <c r="G271" i="77"/>
  <c r="G269"/>
  <c r="G268"/>
  <c r="G267"/>
  <c r="B73" i="28"/>
  <c r="B70"/>
  <c r="B69"/>
  <c r="G245" i="77"/>
  <c r="G244"/>
  <c r="G243"/>
  <c r="G242"/>
  <c r="G241"/>
  <c r="G240"/>
  <c r="G239"/>
  <c r="G238"/>
  <c r="G237"/>
  <c r="G252"/>
  <c r="G251"/>
  <c r="F253"/>
  <c r="F300" s="1"/>
  <c r="D255"/>
  <c r="B54" i="28"/>
  <c r="D247" i="77"/>
  <c r="B50" i="28"/>
  <c r="B49"/>
  <c r="B41" s="1"/>
  <c r="G193" i="77"/>
  <c r="G192"/>
  <c r="F55" i="28" s="1"/>
  <c r="G191" i="77"/>
  <c r="B45" i="28"/>
  <c r="B66" s="1"/>
  <c r="B58" s="1"/>
  <c r="D195" i="77"/>
  <c r="B43" i="28"/>
  <c r="B55" s="1"/>
  <c r="B40"/>
  <c r="B53" s="1"/>
  <c r="B39"/>
  <c r="B52" s="1"/>
  <c r="B38"/>
  <c r="B51" s="1"/>
  <c r="G145" i="77"/>
  <c r="G144"/>
  <c r="G143"/>
  <c r="G142"/>
  <c r="G141"/>
  <c r="B37" i="28"/>
  <c r="B36"/>
  <c r="B62" s="1"/>
  <c r="B35"/>
  <c r="B48" s="1"/>
  <c r="B32"/>
  <c r="B57" s="1"/>
  <c r="G109" i="77"/>
  <c r="G108"/>
  <c r="G107"/>
  <c r="D111"/>
  <c r="B30" i="28"/>
  <c r="G101" i="77"/>
  <c r="G100"/>
  <c r="G99"/>
  <c r="G98"/>
  <c r="G97"/>
  <c r="G96"/>
  <c r="G95"/>
  <c r="G94"/>
  <c r="G93"/>
  <c r="B29" i="28"/>
  <c r="G85" i="77"/>
  <c r="G86"/>
  <c r="G87"/>
  <c r="G84"/>
  <c r="B28" i="28"/>
  <c r="B31" s="1"/>
  <c r="B27"/>
  <c r="G57" i="77"/>
  <c r="G56"/>
  <c r="G54"/>
  <c r="G53"/>
  <c r="G52"/>
  <c r="F55"/>
  <c r="G55" s="1"/>
  <c r="B24" i="28"/>
  <c r="B20"/>
  <c r="B19"/>
  <c r="B18"/>
  <c r="B17"/>
  <c r="B16"/>
  <c r="E54" l="1"/>
  <c r="F116" i="78"/>
  <c r="E53" i="28" s="1"/>
  <c r="J121" i="78"/>
  <c r="E55" i="28" s="1"/>
  <c r="G55" s="1"/>
  <c r="F100" i="78"/>
  <c r="F107" s="1"/>
  <c r="E66" i="28" s="1"/>
  <c r="H115" i="78"/>
  <c r="E52" i="28" s="1"/>
  <c r="H92" i="78"/>
  <c r="E42" i="28" s="1"/>
  <c r="L104" i="78"/>
  <c r="P104" s="1"/>
  <c r="B42" i="28"/>
  <c r="L83" i="78"/>
  <c r="P83" s="1"/>
  <c r="J80"/>
  <c r="N80" s="1"/>
  <c r="R80" s="1"/>
  <c r="R89"/>
  <c r="D88"/>
  <c r="J79"/>
  <c r="N79" s="1"/>
  <c r="R79" s="1"/>
  <c r="G365" i="77"/>
  <c r="G381"/>
  <c r="G382" s="1"/>
  <c r="G383" s="1"/>
  <c r="F91" i="28" s="1"/>
  <c r="G91" s="1"/>
  <c r="G373" i="77"/>
  <c r="G374" s="1"/>
  <c r="G375" s="1"/>
  <c r="F90" i="28" s="1"/>
  <c r="G90" s="1"/>
  <c r="G335" i="77"/>
  <c r="G336" s="1"/>
  <c r="G337" s="1"/>
  <c r="F84" i="28" s="1"/>
  <c r="G357" i="77"/>
  <c r="G358" s="1"/>
  <c r="G359" s="1"/>
  <c r="F86" i="28" s="1"/>
  <c r="G86" s="1"/>
  <c r="G253" i="77"/>
  <c r="G254" s="1"/>
  <c r="G255" s="1"/>
  <c r="G256" s="1"/>
  <c r="F69" i="28" s="1"/>
  <c r="G346" i="77"/>
  <c r="G347" s="1"/>
  <c r="G348" s="1"/>
  <c r="F85" i="28" s="1"/>
  <c r="G85" s="1"/>
  <c r="F79"/>
  <c r="G79" s="1"/>
  <c r="G281" i="77"/>
  <c r="G282" s="1"/>
  <c r="G283" s="1"/>
  <c r="F77" i="28" s="1"/>
  <c r="G77" s="1"/>
  <c r="G146" i="77"/>
  <c r="G194"/>
  <c r="G195" s="1"/>
  <c r="G246"/>
  <c r="G272"/>
  <c r="G273" s="1"/>
  <c r="G274" s="1"/>
  <c r="F74" i="28" s="1"/>
  <c r="G74" s="1"/>
  <c r="G290" i="77"/>
  <c r="B61" i="28"/>
  <c r="B65"/>
  <c r="B64"/>
  <c r="B63"/>
  <c r="G88" i="77"/>
  <c r="G89" s="1"/>
  <c r="G90" s="1"/>
  <c r="F29" i="28" s="1"/>
  <c r="G102" i="77"/>
  <c r="G103" s="1"/>
  <c r="G104" s="1"/>
  <c r="F30" i="28" s="1"/>
  <c r="G110" i="77"/>
  <c r="G111" s="1"/>
  <c r="G112" s="1"/>
  <c r="G58"/>
  <c r="G59" s="1"/>
  <c r="D263"/>
  <c r="G261"/>
  <c r="G260"/>
  <c r="G259"/>
  <c r="H16" i="78"/>
  <c r="D273" i="77"/>
  <c r="H54" i="78"/>
  <c r="E73" i="28" s="1"/>
  <c r="J52" i="78"/>
  <c r="J51"/>
  <c r="E84" i="28"/>
  <c r="G84" s="1"/>
  <c r="J56" i="78"/>
  <c r="E69" i="28" s="1"/>
  <c r="G69" s="1"/>
  <c r="J37" i="78"/>
  <c r="J36"/>
  <c r="J35"/>
  <c r="J34"/>
  <c r="H33"/>
  <c r="H32"/>
  <c r="H31"/>
  <c r="H30"/>
  <c r="H29"/>
  <c r="J25"/>
  <c r="H25"/>
  <c r="F25"/>
  <c r="D25"/>
  <c r="P24"/>
  <c r="N24"/>
  <c r="L24"/>
  <c r="J24"/>
  <c r="H24"/>
  <c r="F24"/>
  <c r="D24"/>
  <c r="F11"/>
  <c r="F22"/>
  <c r="D22"/>
  <c r="N21"/>
  <c r="L20"/>
  <c r="J20"/>
  <c r="B14"/>
  <c r="H13"/>
  <c r="E20" i="28" s="1"/>
  <c r="B13" i="78"/>
  <c r="G87" i="28" l="1"/>
  <c r="L51" i="78"/>
  <c r="N50" s="1"/>
  <c r="E30" i="28" s="1"/>
  <c r="G30" s="1"/>
  <c r="E64"/>
  <c r="F124" i="78"/>
  <c r="E58" i="28" s="1"/>
  <c r="G58" s="1"/>
  <c r="F103" i="78"/>
  <c r="E65" i="28" s="1"/>
  <c r="D112" i="78"/>
  <c r="D113" s="1"/>
  <c r="H113" s="1"/>
  <c r="J113" s="1"/>
  <c r="N113" s="1"/>
  <c r="E51" i="28" s="1"/>
  <c r="E41"/>
  <c r="D90" i="78"/>
  <c r="D98"/>
  <c r="J88"/>
  <c r="F82" s="1"/>
  <c r="D81"/>
  <c r="H81" s="1"/>
  <c r="F76" s="1"/>
  <c r="G366" i="77"/>
  <c r="G367" s="1"/>
  <c r="F89" i="28" s="1"/>
  <c r="G89" s="1"/>
  <c r="G92" s="1"/>
  <c r="H22" i="78"/>
  <c r="H18" s="1"/>
  <c r="E27" i="28" s="1"/>
  <c r="L25" i="78"/>
  <c r="E29" i="28" s="1"/>
  <c r="G29" s="1"/>
  <c r="L37" i="78"/>
  <c r="F27" s="1"/>
  <c r="E28" i="28" s="1"/>
  <c r="G262" i="77"/>
  <c r="G263" s="1"/>
  <c r="G264" s="1"/>
  <c r="F70" i="28" s="1"/>
  <c r="G70" s="1"/>
  <c r="G71" s="1"/>
  <c r="G196" i="77"/>
  <c r="F45" i="28" s="1"/>
  <c r="F66" s="1"/>
  <c r="F58" s="1"/>
  <c r="G247" i="77"/>
  <c r="G248" s="1"/>
  <c r="F54" i="28" s="1"/>
  <c r="G54" s="1"/>
  <c r="F32"/>
  <c r="G147" i="77"/>
  <c r="G148" s="1"/>
  <c r="G60"/>
  <c r="F24" i="28" s="1"/>
  <c r="D388" i="77"/>
  <c r="G386"/>
  <c r="G387" s="1"/>
  <c r="D313"/>
  <c r="G309"/>
  <c r="G308"/>
  <c r="G307"/>
  <c r="G306"/>
  <c r="D291"/>
  <c r="D69"/>
  <c r="G67"/>
  <c r="G66"/>
  <c r="G65"/>
  <c r="G64"/>
  <c r="G63"/>
  <c r="D80"/>
  <c r="G78"/>
  <c r="G77"/>
  <c r="G76"/>
  <c r="G75"/>
  <c r="G74"/>
  <c r="G73"/>
  <c r="D212"/>
  <c r="G210"/>
  <c r="G209"/>
  <c r="G208"/>
  <c r="D204"/>
  <c r="G202"/>
  <c r="G201"/>
  <c r="G200"/>
  <c r="F56" i="28" s="1"/>
  <c r="G56" s="1"/>
  <c r="G199" i="77"/>
  <c r="D325"/>
  <c r="D187"/>
  <c r="G185"/>
  <c r="G184"/>
  <c r="G183"/>
  <c r="D179"/>
  <c r="G177"/>
  <c r="G176"/>
  <c r="G175"/>
  <c r="D223"/>
  <c r="G221"/>
  <c r="G220"/>
  <c r="G219"/>
  <c r="G218"/>
  <c r="G217"/>
  <c r="G216"/>
  <c r="D171"/>
  <c r="G169"/>
  <c r="G168"/>
  <c r="G167"/>
  <c r="G166"/>
  <c r="G165"/>
  <c r="G164"/>
  <c r="G163"/>
  <c r="D159"/>
  <c r="G157"/>
  <c r="G156"/>
  <c r="G155"/>
  <c r="G154"/>
  <c r="G153"/>
  <c r="G152"/>
  <c r="G151"/>
  <c r="D137"/>
  <c r="G135"/>
  <c r="G134"/>
  <c r="G133"/>
  <c r="G132"/>
  <c r="G131"/>
  <c r="D127"/>
  <c r="G125"/>
  <c r="G124"/>
  <c r="G123"/>
  <c r="G122"/>
  <c r="G121"/>
  <c r="D233"/>
  <c r="G231"/>
  <c r="G230"/>
  <c r="G229"/>
  <c r="G228"/>
  <c r="G227"/>
  <c r="D147"/>
  <c r="D117"/>
  <c r="G115"/>
  <c r="G116" s="1"/>
  <c r="D59"/>
  <c r="D48"/>
  <c r="G46"/>
  <c r="G45"/>
  <c r="G44"/>
  <c r="G43"/>
  <c r="G42"/>
  <c r="G41"/>
  <c r="G40"/>
  <c r="D26"/>
  <c r="G24"/>
  <c r="G25" s="1"/>
  <c r="D20"/>
  <c r="G16"/>
  <c r="G15"/>
  <c r="G14"/>
  <c r="G13"/>
  <c r="G12"/>
  <c r="D36"/>
  <c r="G34"/>
  <c r="G33"/>
  <c r="G32"/>
  <c r="G31"/>
  <c r="G30"/>
  <c r="C18" i="60"/>
  <c r="G66" i="28" l="1"/>
  <c r="F57"/>
  <c r="G57" s="1"/>
  <c r="G32"/>
  <c r="E24"/>
  <c r="C30" i="79"/>
  <c r="G31" s="1"/>
  <c r="H112" i="78"/>
  <c r="J112" s="1"/>
  <c r="N112" s="1"/>
  <c r="E50" i="28" s="1"/>
  <c r="D73" i="78"/>
  <c r="E40" i="28"/>
  <c r="F93" i="78"/>
  <c r="E39" i="28"/>
  <c r="D91" i="78"/>
  <c r="H91" s="1"/>
  <c r="E44" i="28" s="1"/>
  <c r="H90" i="78"/>
  <c r="H98"/>
  <c r="J98" s="1"/>
  <c r="N98" s="1"/>
  <c r="E62" i="28" s="1"/>
  <c r="D99" i="78"/>
  <c r="F322" i="77"/>
  <c r="G322" s="1"/>
  <c r="F311"/>
  <c r="G311" s="1"/>
  <c r="C22" i="79"/>
  <c r="G222" i="77"/>
  <c r="G232"/>
  <c r="G233" s="1"/>
  <c r="G234" s="1"/>
  <c r="F50" i="28" s="1"/>
  <c r="G136" i="77"/>
  <c r="G137" s="1"/>
  <c r="G138" s="1"/>
  <c r="F37" i="28" s="1"/>
  <c r="G211" i="77"/>
  <c r="G212" s="1"/>
  <c r="G213" s="1"/>
  <c r="G158"/>
  <c r="G170"/>
  <c r="F310" s="1"/>
  <c r="G178"/>
  <c r="F323" s="1"/>
  <c r="G323" s="1"/>
  <c r="G186"/>
  <c r="G203"/>
  <c r="G204" s="1"/>
  <c r="G205" s="1"/>
  <c r="G79"/>
  <c r="G80" s="1"/>
  <c r="G81" s="1"/>
  <c r="G68"/>
  <c r="G69" s="1"/>
  <c r="G70" s="1"/>
  <c r="F27" i="28" s="1"/>
  <c r="G27" s="1"/>
  <c r="G126" i="77"/>
  <c r="G35"/>
  <c r="G36" s="1"/>
  <c r="G37" s="1"/>
  <c r="F18" i="28" s="1"/>
  <c r="G291" i="77"/>
  <c r="G292" s="1"/>
  <c r="F78" i="28" s="1"/>
  <c r="G78" s="1"/>
  <c r="G47" i="77"/>
  <c r="G48" s="1"/>
  <c r="G49" s="1"/>
  <c r="F20" i="28" s="1"/>
  <c r="G20" s="1"/>
  <c r="F38"/>
  <c r="G117" i="77"/>
  <c r="G118" s="1"/>
  <c r="G17"/>
  <c r="G18" s="1"/>
  <c r="G388"/>
  <c r="G389" s="1"/>
  <c r="F94" i="28" s="1"/>
  <c r="G26" i="77"/>
  <c r="G27" s="1"/>
  <c r="F17" i="28" s="1"/>
  <c r="G17" s="1"/>
  <c r="G50" l="1"/>
  <c r="G62"/>
  <c r="E94"/>
  <c r="G94" s="1"/>
  <c r="G95" s="1"/>
  <c r="G24"/>
  <c r="G25" s="1"/>
  <c r="F23" i="79"/>
  <c r="G23"/>
  <c r="H23"/>
  <c r="I23"/>
  <c r="I31"/>
  <c r="F31"/>
  <c r="C28"/>
  <c r="H29" s="1"/>
  <c r="H31"/>
  <c r="E23"/>
  <c r="F111" i="78"/>
  <c r="D93"/>
  <c r="H93" s="1"/>
  <c r="E45" i="28" s="1"/>
  <c r="G45" s="1"/>
  <c r="E43"/>
  <c r="D75" i="78"/>
  <c r="H75" s="1"/>
  <c r="J75" s="1"/>
  <c r="N75" s="1"/>
  <c r="E38" i="28" s="1"/>
  <c r="G38" s="1"/>
  <c r="D74" i="78"/>
  <c r="H74" s="1"/>
  <c r="J74" s="1"/>
  <c r="N74" s="1"/>
  <c r="R74" s="1"/>
  <c r="H73"/>
  <c r="J73" s="1"/>
  <c r="N73" s="1"/>
  <c r="R73" s="1"/>
  <c r="E36" i="28" s="1"/>
  <c r="H99" i="78"/>
  <c r="J99" s="1"/>
  <c r="N99" s="1"/>
  <c r="G179" i="77"/>
  <c r="G180" s="1"/>
  <c r="F43" i="28" s="1"/>
  <c r="G187" i="77"/>
  <c r="G188" s="1"/>
  <c r="F44" i="28" s="1"/>
  <c r="G44" s="1"/>
  <c r="F321" i="77"/>
  <c r="G321" s="1"/>
  <c r="G127"/>
  <c r="G128" s="1"/>
  <c r="F36" i="28" s="1"/>
  <c r="F62" s="1"/>
  <c r="F319" i="77"/>
  <c r="G319" s="1"/>
  <c r="G223"/>
  <c r="G224" s="1"/>
  <c r="F49" i="28" s="1"/>
  <c r="G49" s="1"/>
  <c r="F320" i="77"/>
  <c r="G320" s="1"/>
  <c r="G171"/>
  <c r="G172" s="1"/>
  <c r="G159"/>
  <c r="G160" s="1"/>
  <c r="F39" i="28" s="1"/>
  <c r="F52" s="1"/>
  <c r="G52" s="1"/>
  <c r="F317" i="77"/>
  <c r="G317" s="1"/>
  <c r="F28" i="28"/>
  <c r="G28" s="1"/>
  <c r="F73"/>
  <c r="G73" s="1"/>
  <c r="G75" s="1"/>
  <c r="F51"/>
  <c r="G51" s="1"/>
  <c r="F63"/>
  <c r="F35"/>
  <c r="G35" s="1"/>
  <c r="F48"/>
  <c r="G48" s="1"/>
  <c r="F61"/>
  <c r="G61" s="1"/>
  <c r="F19"/>
  <c r="G19" i="77"/>
  <c r="G20" s="1"/>
  <c r="G21" s="1"/>
  <c r="F16" i="28" s="1"/>
  <c r="G16" s="1"/>
  <c r="G43" l="1"/>
  <c r="G39"/>
  <c r="G36"/>
  <c r="G29" i="79"/>
  <c r="I29"/>
  <c r="C24"/>
  <c r="G25" s="1"/>
  <c r="C11"/>
  <c r="C32"/>
  <c r="F97" i="78"/>
  <c r="E63" i="28"/>
  <c r="G63" s="1"/>
  <c r="F72" i="78"/>
  <c r="E37" i="28"/>
  <c r="G37" s="1"/>
  <c r="F42"/>
  <c r="G42" s="1"/>
  <c r="F41"/>
  <c r="G41" s="1"/>
  <c r="F40"/>
  <c r="G40" s="1"/>
  <c r="F31"/>
  <c r="G31" s="1"/>
  <c r="G33" s="1"/>
  <c r="F64"/>
  <c r="G64" s="1"/>
  <c r="G46" l="1"/>
  <c r="D13" i="79"/>
  <c r="G13"/>
  <c r="F13"/>
  <c r="E13"/>
  <c r="I33"/>
  <c r="G33"/>
  <c r="F25"/>
  <c r="H25"/>
  <c r="E25"/>
  <c r="I25"/>
  <c r="C14"/>
  <c r="F53" i="28"/>
  <c r="F65" l="1"/>
  <c r="G65" s="1"/>
  <c r="G67" s="1"/>
  <c r="C20" i="79" s="1"/>
  <c r="G53" i="28"/>
  <c r="G59" s="1"/>
  <c r="C16" i="79"/>
  <c r="E17" s="1"/>
  <c r="E15"/>
  <c r="D15"/>
  <c r="I15"/>
  <c r="H33"/>
  <c r="G17"/>
  <c r="F15"/>
  <c r="G15"/>
  <c r="H15"/>
  <c r="D17" l="1"/>
  <c r="I21"/>
  <c r="H21"/>
  <c r="F21"/>
  <c r="G21"/>
  <c r="E21"/>
  <c r="D21"/>
  <c r="C18"/>
  <c r="F17"/>
  <c r="H17"/>
  <c r="I17"/>
  <c r="A25" i="60"/>
  <c r="F25"/>
  <c r="E18" i="28" s="1"/>
  <c r="A6" i="60"/>
  <c r="E19" i="28" l="1"/>
  <c r="G19" s="1"/>
  <c r="G18"/>
  <c r="G21" s="1"/>
  <c r="D19" i="79"/>
  <c r="H19"/>
  <c r="I19"/>
  <c r="F19"/>
  <c r="G19"/>
  <c r="E19"/>
  <c r="G310" i="77"/>
  <c r="G312" s="1"/>
  <c r="F318"/>
  <c r="G318" s="1"/>
  <c r="G324" s="1"/>
  <c r="C9" i="79" l="1"/>
  <c r="G313" i="77"/>
  <c r="G314" s="1"/>
  <c r="F80" i="28" s="1"/>
  <c r="G80" s="1"/>
  <c r="G325" i="77"/>
  <c r="G326" s="1"/>
  <c r="F81" i="28" s="1"/>
  <c r="G81" s="1"/>
  <c r="D10" i="79" l="1"/>
  <c r="D34" s="1"/>
  <c r="D36" s="1"/>
  <c r="F10"/>
  <c r="I10"/>
  <c r="G10"/>
  <c r="H10"/>
  <c r="E10"/>
  <c r="G82" i="28"/>
  <c r="G96" s="1"/>
  <c r="G98" s="1"/>
  <c r="C26" i="79" l="1"/>
  <c r="G27" s="1"/>
  <c r="G34" s="1"/>
  <c r="G102" i="28"/>
  <c r="G105"/>
  <c r="F27" i="79" l="1"/>
  <c r="F34" s="1"/>
  <c r="I27"/>
  <c r="I34" s="1"/>
  <c r="H27"/>
  <c r="H34" s="1"/>
  <c r="E27"/>
  <c r="E34" s="1"/>
  <c r="E36" s="1"/>
  <c r="C34"/>
  <c r="D35" s="1"/>
  <c r="I35" l="1"/>
  <c r="F35"/>
  <c r="F36"/>
  <c r="G36" s="1"/>
  <c r="H36" s="1"/>
  <c r="I36" s="1"/>
  <c r="G35"/>
  <c r="H35"/>
  <c r="D37"/>
  <c r="E35"/>
  <c r="C36"/>
  <c r="E37" l="1"/>
  <c r="F37" s="1"/>
  <c r="G37" s="1"/>
  <c r="H37" s="1"/>
  <c r="I37" s="1"/>
</calcChain>
</file>

<file path=xl/sharedStrings.xml><?xml version="1.0" encoding="utf-8"?>
<sst xmlns="http://schemas.openxmlformats.org/spreadsheetml/2006/main" count="1821" uniqueCount="626">
  <si>
    <t>m³</t>
  </si>
  <si>
    <t>DISCRIMINAÇÃO DOS SERVIÇOS</t>
  </si>
  <si>
    <t>UND</t>
  </si>
  <si>
    <t>SERVIÇOS PRELIMINARES</t>
  </si>
  <si>
    <t xml:space="preserve">ITEM </t>
  </si>
  <si>
    <t>DISCRIMINAÇÃO</t>
  </si>
  <si>
    <t>% DO ITEM</t>
  </si>
  <si>
    <t>Total</t>
  </si>
  <si>
    <t>m</t>
  </si>
  <si>
    <t>m²</t>
  </si>
  <si>
    <t>1º  Mês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</si>
  <si>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</si>
  <si>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</si>
  <si>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</si>
  <si>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</si>
  <si>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</si>
  <si>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</si>
  <si>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</si>
  <si>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>%</t>
  </si>
  <si>
    <t xml:space="preserve">PLANILHA ORÇAMENTÁRIA </t>
  </si>
  <si>
    <t>VALOR (R$)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</si>
  <si>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</si>
  <si>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</si>
  <si>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</si>
  <si>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</si>
  <si>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</si>
  <si>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</si>
  <si>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</si>
  <si>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</si>
  <si>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</si>
  <si>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</si>
  <si>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</si>
  <si>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</si>
  <si>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88316</t>
  </si>
  <si>
    <t>AREIA FINA - POSTO JAZIDA/FORNECEDOR (RETIRADO NA JAZIDA, SEM TRANSPORTE)</t>
  </si>
  <si>
    <t/>
  </si>
  <si>
    <t>TOTAL GERAL (R$)</t>
  </si>
  <si>
    <t>ITEM</t>
  </si>
  <si>
    <t>INSTALAÇÕES ELÉTRICAS</t>
  </si>
  <si>
    <t>REFERÊNCIA</t>
  </si>
  <si>
    <t>Limpeza final da obra</t>
  </si>
  <si>
    <t>1.1</t>
  </si>
  <si>
    <t>1.2</t>
  </si>
  <si>
    <t>1.3</t>
  </si>
  <si>
    <t>2.1</t>
  </si>
  <si>
    <t>GUIAS E PAVIMENTAÇÃO</t>
  </si>
  <si>
    <t>UN</t>
  </si>
  <si>
    <t>Fabricação de fôrma para pilares e estruturas similares, em madeira serrada.</t>
  </si>
  <si>
    <t>Concreto FCK = 20MPA, traço 1:2,7:3 (cimento/areia média/brita 1)  - preparo mecânico.</t>
  </si>
  <si>
    <t>Chapisco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</si>
  <si>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</si>
  <si>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</si>
  <si>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</si>
  <si>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</si>
  <si>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</si>
  <si>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</si>
  <si>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CA-60 de 4,2mm.</t>
  </si>
  <si>
    <t>1.4</t>
  </si>
  <si>
    <t>TOTAL DO ITEM 1</t>
  </si>
  <si>
    <t>PECA DE MADEIRA NATIVA / REGIONAL 7,5 X 7,5CM (3X3) NAO APARELHADA (P/FORMA)</t>
  </si>
  <si>
    <t>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</si>
  <si>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</si>
  <si>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</si>
  <si>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</si>
  <si>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</si>
  <si>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</si>
  <si>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</si>
  <si>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</si>
  <si>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</si>
  <si>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</si>
  <si>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</si>
  <si>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</si>
  <si>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</si>
  <si>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</si>
  <si>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</si>
  <si>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</si>
  <si>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</si>
  <si>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0,0070000</t>
  </si>
  <si>
    <t>CHI</t>
  </si>
  <si>
    <t>0,0115000</t>
  </si>
  <si>
    <t>3,9560000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</si>
  <si>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</si>
  <si>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</si>
  <si>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</si>
  <si>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</si>
  <si>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</si>
  <si>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</si>
  <si>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</si>
  <si>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0,0020000</t>
  </si>
  <si>
    <t>4517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</si>
  <si>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</si>
  <si>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</si>
  <si>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</si>
  <si>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</si>
  <si>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</si>
  <si>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</si>
  <si>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</si>
  <si>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</si>
  <si>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</si>
  <si>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</si>
  <si>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</si>
  <si>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</si>
  <si>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</si>
  <si>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</si>
  <si>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</si>
  <si>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</si>
  <si>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</si>
  <si>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</si>
  <si>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</si>
  <si>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</si>
  <si>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</si>
  <si>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</si>
  <si>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</si>
  <si>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</si>
  <si>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2,8160000</t>
  </si>
  <si>
    <t>0,0310000</t>
  </si>
  <si>
    <t>CORTE E DOBRA DE AÇO CA-60, DIÂMETRO DE 4,2 MM, UTILIZADO EM LAJE. AF_12/2015</t>
  </si>
  <si>
    <t>PREGO DE ACO POLIDO COM CABECA 17 X 21 (2 X 11)</t>
  </si>
  <si>
    <t>AJUDANTE DE CARPINTEIRO COM ENCARGOS COMPLEMENTARES</t>
  </si>
  <si>
    <t>SERRA CIRCULAR DE BANCADA COM MOTOR ELÉTRICO POTÊNCIA DE 5HP, COM COIFA PARA DISCO 10" - CHP DIURNO. AF_08/2015</t>
  </si>
  <si>
    <t>SERRA CIRCULAR DE BANCADA COM MOTOR ELÉTRICO POTÊNCIA DE 5HP, COM COIFA PARA DISCO 10" - CHI DIURNO. AF_08/2015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</si>
  <si>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</si>
  <si>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</si>
  <si>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</si>
  <si>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</si>
  <si>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</si>
  <si>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</si>
  <si>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</si>
  <si>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</si>
  <si>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</si>
  <si>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</si>
  <si>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</si>
  <si>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3,0000000</t>
  </si>
  <si>
    <t>92760</t>
  </si>
  <si>
    <t>0,9700000</t>
  </si>
  <si>
    <t>0,0155000</t>
  </si>
  <si>
    <t>0,0947000</t>
  </si>
  <si>
    <t>CORTE E DOBRA DE AÇO CA-50, DIÂMETRO DE 6,3 MM, UTILIZADO EM ESTRUTURAS DIVERSAS, EXCETO LAJES. AF_12/2015</t>
  </si>
  <si>
    <t>0,0042000</t>
  </si>
  <si>
    <t>0,0700000</t>
  </si>
  <si>
    <t>0,0376000</t>
  </si>
  <si>
    <t>0,0568000</t>
  </si>
  <si>
    <t>PO DE PEDRA (POSTO PEDREIRA/FORNECEDOR, SEM FRETE)</t>
  </si>
  <si>
    <t>CALCETEIRO COM ENCARGOS COMPLEMENTARES</t>
  </si>
  <si>
    <t>PLACA VIBRATÓRIA REVERSÍVEL COM MOTOR 4 TEMPOS A GASOLINA, FORÇA CENTRÍFUGA DE 25 KN (2500 KGF), POTÊNCIA 5,5 CV - CHP DIURNO. AF_08/2015</t>
  </si>
  <si>
    <t>0,0041000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</si>
  <si>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</si>
  <si>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</si>
  <si>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</si>
  <si>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1,0174000</t>
  </si>
  <si>
    <t>0,0064000</t>
  </si>
  <si>
    <t>0,1259000</t>
  </si>
  <si>
    <t>0,0589000</t>
  </si>
  <si>
    <t>0,0135000</t>
  </si>
  <si>
    <t>0,0495000</t>
  </si>
  <si>
    <t>88264</t>
  </si>
  <si>
    <t>ELETRICISTA COM ENCARGOS COMPLEMENTARES</t>
  </si>
  <si>
    <t>un</t>
  </si>
  <si>
    <t>88247</t>
  </si>
  <si>
    <t>AUXILIAR DE ELETRICISTA COM ENCARGOS COMPLEMENTARES</t>
  </si>
  <si>
    <t>FITA ISOLANTE ADESIVA ANTICHAMA, USO ATE 750 V, EM ROLO DE 19 MM X 5 M</t>
  </si>
  <si>
    <t>0,0090000</t>
  </si>
  <si>
    <t>0,0400000</t>
  </si>
  <si>
    <t>1,0481000</t>
  </si>
  <si>
    <t>0,0200000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</si>
  <si>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</si>
  <si>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</si>
  <si>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</si>
  <si>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</si>
  <si>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</si>
  <si>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</si>
  <si>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</si>
  <si>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</si>
  <si>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</si>
  <si>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</si>
  <si>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</si>
  <si>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</si>
  <si>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</si>
  <si>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</si>
  <si>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</si>
  <si>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</si>
  <si>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</si>
  <si>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1.5</t>
  </si>
  <si>
    <t>CPU-01</t>
  </si>
  <si>
    <t>CPU-03</t>
  </si>
  <si>
    <t>CPU-04</t>
  </si>
  <si>
    <t>CPU-05</t>
  </si>
  <si>
    <t>CPU-06</t>
  </si>
  <si>
    <t>CPU-07</t>
  </si>
  <si>
    <t>CPU-08</t>
  </si>
  <si>
    <t>2.2</t>
  </si>
  <si>
    <t>2.3</t>
  </si>
  <si>
    <t>2.4</t>
  </si>
  <si>
    <t>2.5</t>
  </si>
  <si>
    <t>2.6</t>
  </si>
  <si>
    <t>2.7</t>
  </si>
  <si>
    <t>2.8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</si>
  <si>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</si>
  <si>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</si>
  <si>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</si>
  <si>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</si>
  <si>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</si>
  <si>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</si>
  <si>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</si>
  <si>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</si>
  <si>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</si>
  <si>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</si>
  <si>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</si>
  <si>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</si>
  <si>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</si>
  <si>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</si>
  <si>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</si>
  <si>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</si>
  <si>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CPU-31</t>
  </si>
  <si>
    <t>CPU-32</t>
  </si>
  <si>
    <t>CPU-34</t>
  </si>
  <si>
    <t>CPU-33</t>
  </si>
  <si>
    <t>CPU-36</t>
  </si>
  <si>
    <t>CPU-37</t>
  </si>
  <si>
    <t>CPU-38</t>
  </si>
  <si>
    <t>CPU-39</t>
  </si>
  <si>
    <t>95305</t>
  </si>
  <si>
    <t>MASSA PARA TEXTURA LISA DE BASE ACRILICA, USO INTERNO E EXTERNO</t>
  </si>
  <si>
    <t>1,1400000</t>
  </si>
  <si>
    <t>0,1880000</t>
  </si>
  <si>
    <t>0,0690000</t>
  </si>
  <si>
    <t>CPU-02</t>
  </si>
  <si>
    <t>CPU-29</t>
  </si>
  <si>
    <t>PREÇO UNITÁRIO (R$)</t>
  </si>
  <si>
    <t>2.2.1</t>
  </si>
  <si>
    <t>2.2.2</t>
  </si>
  <si>
    <t>2.2.3</t>
  </si>
  <si>
    <t>2.2.4</t>
  </si>
  <si>
    <t>2.2.5</t>
  </si>
  <si>
    <t>2.2.6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</si>
  <si>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</si>
  <si>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</si>
  <si>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</si>
  <si>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</si>
  <si>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</si>
  <si>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</si>
  <si>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</si>
  <si>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</si>
  <si>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</si>
  <si>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</si>
  <si>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</si>
  <si>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</si>
  <si>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</si>
  <si>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</si>
  <si>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</si>
  <si>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</si>
  <si>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</si>
  <si>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2.6.1</t>
  </si>
  <si>
    <t>2.7.1</t>
  </si>
  <si>
    <t>2.8.1</t>
  </si>
  <si>
    <t>2.8.2</t>
  </si>
  <si>
    <t>2.9</t>
  </si>
  <si>
    <t>2.9.1</t>
  </si>
  <si>
    <t>2.10</t>
  </si>
  <si>
    <t>2.10.1</t>
  </si>
  <si>
    <t>2.10.2</t>
  </si>
  <si>
    <t>2.10.3</t>
  </si>
  <si>
    <t>TOTAL DO SUB-ITEM 2.2</t>
  </si>
  <si>
    <t>2.3.9</t>
  </si>
  <si>
    <t>2.3.10</t>
  </si>
  <si>
    <t>0,4700000</t>
  </si>
  <si>
    <t>0,1710000</t>
  </si>
  <si>
    <t>Massa única, para recebimento de pintura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</si>
  <si>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</si>
  <si>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</si>
  <si>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</si>
  <si>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</si>
  <si>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</si>
  <si>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</si>
  <si>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2.3.11</t>
  </si>
  <si>
    <t>0,3300000</t>
  </si>
  <si>
    <t>PINO DE ACO COM FURO, HASTE = 27 MM (ACAO DIRETA)</t>
  </si>
  <si>
    <t>CENTO</t>
  </si>
  <si>
    <t>TOTAL DO SUB-ITEM 2.10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</si>
  <si>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</si>
  <si>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</si>
  <si>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</si>
  <si>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</si>
  <si>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</si>
  <si>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</si>
  <si>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</si>
  <si>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0,1600000</t>
  </si>
  <si>
    <t>1379</t>
  </si>
  <si>
    <t>MIL</t>
  </si>
  <si>
    <t>0,0350000</t>
  </si>
  <si>
    <t>2.5.3</t>
  </si>
  <si>
    <t>2.5.4</t>
  </si>
  <si>
    <t>2.5.5</t>
  </si>
  <si>
    <t>2.5.6</t>
  </si>
  <si>
    <t>2.6.2</t>
  </si>
  <si>
    <t>CPU-30</t>
  </si>
  <si>
    <t>2.11</t>
  </si>
  <si>
    <t>2.11.1</t>
  </si>
  <si>
    <t>TOTAL DO SUB-ITEM 2.11</t>
  </si>
  <si>
    <t>CPU-09</t>
  </si>
  <si>
    <t>CPU-10</t>
  </si>
  <si>
    <t>CPU-11</t>
  </si>
  <si>
    <t>CPU-12</t>
  </si>
  <si>
    <t>CPU-35</t>
  </si>
  <si>
    <t>2.1.7</t>
  </si>
  <si>
    <t>2.8.3</t>
  </si>
  <si>
    <t>2.8.4</t>
  </si>
  <si>
    <t>2.8.5</t>
  </si>
  <si>
    <t>2.9.2</t>
  </si>
  <si>
    <t>2.9.3</t>
  </si>
  <si>
    <t>OBJETO: EXECUÇÃO DE OBRAS E SERVIÇOS DE ENGENHARIA RELATIVOS À CONSTRUÇÃO DE UMA PRAÇA NO MUNICÍPIO DE CORRENTINA/BA, ÁREA DE ATUAÇÃO DA 2ª SUPERINTENDÊNCIA REGIONAL DA CODEVASF, NO ESTADO DA BAHIA.</t>
  </si>
  <si>
    <t xml:space="preserve">        2ª SUPERINTENDÊNCIA REGIONAL- Bom Jesus da Lapa/Ba.</t>
  </si>
  <si>
    <t>GERÊNCIA REGIONAL DE INFRAESTRUTURA - 2ª/GRD</t>
  </si>
  <si>
    <t xml:space="preserve">            COMPANHIA DE DESENVOLVIMENTO DOS VALES DO SÃO FRANCISCO E DO PARNAÍBA</t>
  </si>
  <si>
    <t>CONSTRUÇÃO DA PRAÇA DO POVOADO DE ROSÁRIO</t>
  </si>
  <si>
    <t xml:space="preserve">                       COMPANHIA DE DESENVOLVIMENTO DOS VALES DO SÃO FRANCISCO E DO PARNAÍBA</t>
  </si>
  <si>
    <t xml:space="preserve">  MINISTÉRIO DO DESENVOLVIMENTO REGIONAL</t>
  </si>
  <si>
    <t>Mês de Referência: SINAPI - Agosto de 2019 (SEM DESONERAÇÃO)</t>
  </si>
  <si>
    <t xml:space="preserve">  MINISTÉRIO DO DESENVOLVIMENTO REGIONAL - MDR</t>
  </si>
  <si>
    <t xml:space="preserve">       COMPANHIA DE DESENVOLVIMENTO DOS VALES DO SÃO FRANCISCO E DO PARNAÍBA</t>
  </si>
  <si>
    <t>GERÊNCIA REGIONAL DE INFRA-ESTRUTURA - 2ª/SR - Bom Jesus da Lapa/BA</t>
  </si>
  <si>
    <t>CODEVASF</t>
  </si>
  <si>
    <t>KM</t>
  </si>
  <si>
    <t>MOTORISTA DE CAMINHÃO COM ENCARGOS COMPLEMENTARES</t>
  </si>
  <si>
    <t>OLEO DIESEL COMBUSTIVEL COMUM</t>
  </si>
  <si>
    <t>OLEO LUBRIFICANTE PARA MOTORES DE EQUIPAMENTOS PESADOS (CAMINHOES, TRATORES, RETROS E ETC</t>
  </si>
  <si>
    <t>ENERGIA ELETRICA COMERCIAL, BAIXA TENSAO, RELATIVA AO CONSUMO DE ATE 100 KWH, INCLUINDO ICMS, PIS/PASEP E COFINS</t>
  </si>
  <si>
    <t>KW/H</t>
  </si>
  <si>
    <t>RODO PARA CHAO 40 CM COM CABO</t>
  </si>
  <si>
    <t>ENCARREGADO GERAL DE OBRAS COM ENCARGOS COMPLEMENTARES</t>
  </si>
  <si>
    <t>LOCACAO DE CONTAINER 2,30 X 6,00 M, ALT. 2,50 M, COM 1 SANITARIO, PARA ESCRITORIO, COMPLETO, SEM DIVISORIAS INTERNAS</t>
  </si>
  <si>
    <t>Mês</t>
  </si>
  <si>
    <t>AZULEJISTA OU LADRILHISTA COM ENCARGOS COMPLEMENTARES</t>
  </si>
  <si>
    <t>74141/1</t>
  </si>
  <si>
    <t>3741</t>
  </si>
  <si>
    <t>LAJE PRE-MOLDADA CONVENCIONAL (LAJOTAS + VIGOTAS) PARA FORRO, UNIDIRECIONAL, SOBRECARGA DE 100 KG/M2, VAO ATE 4,50 M (SEM COLOCACAO)</t>
  </si>
  <si>
    <t>4491</t>
  </si>
  <si>
    <t>PONTALETE DE MADEIRA NAO APARELHADA *7,5 X 7,5* CM (3 X 3 ") PINUS, MISTA OU EQUIVALENTE DA REGIAO</t>
  </si>
  <si>
    <t>1,1000000</t>
  </si>
  <si>
    <t>5075</t>
  </si>
  <si>
    <t>6189</t>
  </si>
  <si>
    <t>TABUA DE MADEIRA NAO APARELHADA *2,5 X 30* CM, CEDRINHO OU EQUIVALENTE DA REGIAO</t>
  </si>
  <si>
    <t>0,3000000</t>
  </si>
  <si>
    <t>0,8000000</t>
  </si>
  <si>
    <t>92874</t>
  </si>
  <si>
    <t>94970</t>
  </si>
  <si>
    <t>92270</t>
  </si>
  <si>
    <t>SARRAFO DE MADEIRA NAO APARELHADA *2,5 X 7,5* CM (1 X 3 ") PINUS, MISTA OU EQUIVALENTE DA REGIAO</t>
  </si>
  <si>
    <t>4,1180000</t>
  </si>
  <si>
    <t>5068</t>
  </si>
  <si>
    <t>3,7070000</t>
  </si>
  <si>
    <t>88239</t>
  </si>
  <si>
    <t>0,0880000</t>
  </si>
  <si>
    <t>0,4380000</t>
  </si>
  <si>
    <t>91692</t>
  </si>
  <si>
    <t>0,0500000</t>
  </si>
  <si>
    <t>91693</t>
  </si>
  <si>
    <t>0,0380000</t>
  </si>
  <si>
    <t>0,7558000</t>
  </si>
  <si>
    <t>4721</t>
  </si>
  <si>
    <t>88377</t>
  </si>
  <si>
    <t>88830</t>
  </si>
  <si>
    <t>88831</t>
  </si>
  <si>
    <t>7266</t>
  </si>
  <si>
    <t>BLOCO CERAMICO (ALVENARIA DE VEDACAO), DE 9 X 19 X 19 CM</t>
  </si>
  <si>
    <t>0,0283100</t>
  </si>
  <si>
    <t>34557</t>
  </si>
  <si>
    <t>TELA DE ACO SOLDADA GALVANIZADA/ZINCADA PARA ALVENARIA, FIO D = *1,20 A 1,70* MM, MALHA 15 X 15 MM, (C X L) *50 X 7,5* CM</t>
  </si>
  <si>
    <t>0,4200000</t>
  </si>
  <si>
    <t>37395</t>
  </si>
  <si>
    <t>0,0050000</t>
  </si>
  <si>
    <t>87292</t>
  </si>
  <si>
    <t>ARGAMASSA TRAÇO 1:2:8 (EM VOLUME DE CIMENTO, CAL E AREIA MÉDIA ÚMIDA) PARA EMBOÇO/MASSA ÚNICA/ASSENTAMENTO DE ALVENARIA DE VEDAÇÃO, PREPARO MECÂNICO COM BETONEIRA 400 L. AF_08/2019</t>
  </si>
  <si>
    <t>0,0098000</t>
  </si>
  <si>
    <t>1,5500000</t>
  </si>
  <si>
    <t>0,7750000</t>
  </si>
  <si>
    <t>M²</t>
  </si>
  <si>
    <t>87313</t>
  </si>
  <si>
    <t>REJUNTE COLORIDO, CIMENTICIO</t>
  </si>
  <si>
    <t>0,1870000</t>
  </si>
  <si>
    <t>M³</t>
  </si>
  <si>
    <t>FORMA PLANA PARA FUNDAÇÕES, EM COMPENSADO RESINADO 12MM, 02 USOS</t>
  </si>
  <si>
    <t>AÇO CA - 50 Ø 6,3 A 12,5MM, INCLUSIVE CORTE, DOBRAGEM, MONTAGEM E COLOCACAO DE FERRAGENS NAS FORMAS, PARA SUPERESTRUTURAS E FUNDAÇÕES - R1</t>
  </si>
  <si>
    <t>ESCAVAÇÃO MANUAL DE VALA OU CAVA EM MATERIAL DE 1ª CATEGORIA, PROFUNDIDADE ATÉ 1,50M</t>
  </si>
  <si>
    <t>CHAPISCO EM PAREDE COM ARGAMASSA TRAÇO T1 - 1:3 (CIMENTO / AREIA) - REVISADO 08/2015</t>
  </si>
  <si>
    <t>3767</t>
  </si>
  <si>
    <t>4056</t>
  </si>
  <si>
    <t>TINTA ACRILICA PREMIUM, COR BRANCO FOSCO</t>
  </si>
  <si>
    <t>3777</t>
  </si>
  <si>
    <t>LONA PLASTICA PRETA, E= 150 MICRA</t>
  </si>
  <si>
    <t>0,4500000</t>
  </si>
  <si>
    <t>34492</t>
  </si>
  <si>
    <t>CONCRETO USINADO BOMBEAVEL, CLASSE DE RESISTENCIA C20, COM BRITA 0 E 1, SLUMP = 100 +/- 20 MM, EXCLUI SERVICO DE BOMBEAMENTO (NBR 8953)</t>
  </si>
  <si>
    <t>0,1354000</t>
  </si>
  <si>
    <t>0,1183000</t>
  </si>
  <si>
    <t>0,2537000</t>
  </si>
  <si>
    <t>94273</t>
  </si>
  <si>
    <t>4059</t>
  </si>
  <si>
    <t>88629</t>
  </si>
  <si>
    <t>ARGAMASSA TRAÇO 1:3 (EM VOLUME DE CIMENTO E AREIA MÉDIA ÚMIDA), PREPARO MANUAL. AF_08/2019</t>
  </si>
  <si>
    <t>PLANTIO DE GRAMA ESMERALDA EM ROLO</t>
  </si>
  <si>
    <t>3322</t>
  </si>
  <si>
    <t>GRAMA ESMERALDA OU SAO CARLOS OU CURITIBANA, EM PLACAS, SEM PLANTIO</t>
  </si>
  <si>
    <t>25951</t>
  </si>
  <si>
    <t>25963</t>
  </si>
  <si>
    <t>38125</t>
  </si>
  <si>
    <t>02455/ORSE</t>
  </si>
  <si>
    <t>ALUGUEL DE CAMINHÃO GUINDAUTO 3,0T ( M. BENS - 1215 C/48- 143,0 HP)</t>
  </si>
  <si>
    <t>ESCAVAÇÃO MANUAL DE VALA OU CAVA MATERIAL DE 1ª, PROFUNDIDADE até 1,50M.</t>
  </si>
  <si>
    <t>LIMPEZA DE PISO CERÂMICO OU PORCELANATO COM PANO ÚMIDO. AF_04/2019</t>
  </si>
  <si>
    <t>0,0970000</t>
  </si>
  <si>
    <t>MEMÓRIA DE CÁLCULO</t>
  </si>
  <si>
    <t>extensão</t>
  </si>
  <si>
    <t>largura</t>
  </si>
  <si>
    <t>x</t>
  </si>
  <si>
    <t>=</t>
  </si>
  <si>
    <t>/</t>
  </si>
  <si>
    <t>km</t>
  </si>
  <si>
    <t>MINISTÉRIO DO DESENVOLVIMENTO REGIONAL - MDR</t>
  </si>
  <si>
    <t>+</t>
  </si>
  <si>
    <t>Meio fio - Guia em concreto</t>
  </si>
  <si>
    <t>-</t>
  </si>
  <si>
    <t>Piso cimentado vermelho - Pista de Cooper - área 04</t>
  </si>
  <si>
    <t>Pavimentação em bloquetes sextavados - área 05</t>
  </si>
  <si>
    <t>Pavimentação em concreto + 4 Bancos de concreto ou madeira - área 06</t>
  </si>
  <si>
    <t>Colchão de areia, espessura 15 cm - Parque infantil - área 13</t>
  </si>
  <si>
    <t xml:space="preserve">Jardinagem - área 19 </t>
  </si>
  <si>
    <t>und</t>
  </si>
  <si>
    <t>Palmeiras</t>
  </si>
  <si>
    <t>Arbusto de peqno porte</t>
  </si>
  <si>
    <t>Pavimentação em bloco pré-moldado - áreas 18/28</t>
  </si>
  <si>
    <t xml:space="preserve">Pintura da faixa de estacionamento </t>
  </si>
  <si>
    <t>Pavimentação em concreto - academia - área 14</t>
  </si>
  <si>
    <t>ENTREGA DA OBRA</t>
  </si>
  <si>
    <t>cj</t>
  </si>
  <si>
    <t>Execução do colchão de areia, esp.=15cm</t>
  </si>
  <si>
    <t>Poste de aço cônico continuo curvo duplo, flangeado, c/ janela de inspeção h=9m</t>
  </si>
  <si>
    <t>03212/ORSE</t>
  </si>
  <si>
    <t>INSTALAÇÃO DE PARQUE INFANTIL</t>
  </si>
  <si>
    <t>FORNECIMENTO E INSTALAÇÃO DE EQUIPAMENTOS PARA ACADEMIA</t>
  </si>
  <si>
    <t>11090/ORSE</t>
  </si>
  <si>
    <t>09168/ORSE</t>
  </si>
  <si>
    <t>09170/ORSE</t>
  </si>
  <si>
    <t>11109/ORSE</t>
  </si>
  <si>
    <t>11089/ORSE</t>
  </si>
  <si>
    <t>Correntina/Ba</t>
  </si>
  <si>
    <t>Rosário/Ba</t>
  </si>
  <si>
    <t>Distância da Origem à Rosário:</t>
  </si>
  <si>
    <t>CAMINHÃO TOCO, PBT 16.000 KG, CARGA ÚTIL MÁX. 10.685 KG</t>
  </si>
  <si>
    <t>Administração local e Manutenção do Canteiro</t>
  </si>
  <si>
    <t>Transporte de equipamentos - Mobilização</t>
  </si>
  <si>
    <t>Transporte de equipamentos - Desmobilização</t>
  </si>
  <si>
    <t>Placa de obra em chapa de aço galvanizada (3,00m x 2,00m)</t>
  </si>
  <si>
    <t>Execução de almoxarifado em canteiro de obra (2,30 x 6,00)m</t>
  </si>
  <si>
    <t>mês</t>
  </si>
  <si>
    <t>Container de almoxarifado em canteiro de obra (2,30 x 6,00)m</t>
  </si>
  <si>
    <t>Serviços topográficos para pavimentação</t>
  </si>
  <si>
    <t>FORNECIMENTO E INSTALAÇÃO DE EQUIPAMENTOS PARA PARQUE INFANTIL</t>
  </si>
  <si>
    <t>09159/ORSE</t>
  </si>
  <si>
    <t>09160/ORSE</t>
  </si>
  <si>
    <t>07776/ORSE</t>
  </si>
  <si>
    <t>BDI ( 22,01 ) %:</t>
  </si>
  <si>
    <t xml:space="preserve"> MINISTÉRIO DO DESENVOLVIMENTO REGIONAL - MDR</t>
  </si>
  <si>
    <t>COMPANHIA DE DESENVOLVIMENTO DOS VALES DO SÃO FRANCISCO E DO PARNAÍBA</t>
  </si>
  <si>
    <t>GERÊNCIA REGIONAL DE INFRA-ESTRUTURA - 2ª/SR - Bom Jesus da Lapa/Ba.</t>
  </si>
  <si>
    <t xml:space="preserve">CRONOGRAMA FÍSICO-FINANCEIRO </t>
  </si>
  <si>
    <t>2º Mês</t>
  </si>
  <si>
    <t>3º Mês</t>
  </si>
  <si>
    <t>4º  Mês</t>
  </si>
  <si>
    <t>5º Mês</t>
  </si>
  <si>
    <t>6º Mês</t>
  </si>
  <si>
    <t>TOTAIS (R$)</t>
  </si>
  <si>
    <t>TOTAL ACUMULADO (R$)</t>
  </si>
  <si>
    <t>% EXECUTAR</t>
  </si>
  <si>
    <t xml:space="preserve">   GERÊNCIA REGIONAL DE INFRAESTRUTURA - 2ª/GRD</t>
  </si>
  <si>
    <t>Piso solo cimento vermelho - Pista de Cooper - área 04</t>
  </si>
  <si>
    <t>CABO DE COBRE FLEXÍVEL ISOLADO, 4 MM², ANTI-CHAMA 450/750 V</t>
  </si>
  <si>
    <t>Alvenaria em bloco cerâmico 9x19x19cm - Espessura 9cm</t>
  </si>
  <si>
    <t>SERVIÇOS TOPOGRÁFICOS PARA PAVIMENTAÇÃO</t>
  </si>
  <si>
    <t>PLACA DE OBRA (PARA CONSTRUCAO CIVIL) EM CHAPA GALVANIZADA N° 22, DE 2,0 x 1,125m</t>
  </si>
  <si>
    <t>LADRILHO HIDRAULICO, *20 X 20* CM, E= 2 CM, RAMPA, NATURAL</t>
  </si>
  <si>
    <t>Guia (meio-fio) em trecho reto, confeccionado pré-fabricado, dimensões 100 x 15 x 13 x 30cm (comprimento x base inferior x base superior x altura), para vias urbanas</t>
  </si>
  <si>
    <r>
      <t xml:space="preserve">Passeio (calçada) ou piso de concreto, moldado in loco, feito na obra, acabamento convencional, não armado. </t>
    </r>
    <r>
      <rPr>
        <b/>
        <sz val="10"/>
        <rFont val="Arial"/>
        <family val="2"/>
      </rPr>
      <t>(Espessura = 4cm)</t>
    </r>
  </si>
  <si>
    <t>Pavimento em piso intertravado, com bloco sextavado de 25 x 25 cm, espessura 6 cm</t>
  </si>
  <si>
    <t>Pintura acrílica em piso de cimentado, duas demãos</t>
  </si>
  <si>
    <t>Piso em Ladrilho Hidráulico, tátil alerta ou direcional</t>
  </si>
  <si>
    <t>92393</t>
  </si>
  <si>
    <t>EXECUÇÃO DE PAVIMENTO EM PISO INTERTRAVADO, COM BLOCO SEXTAVADO DE 25 x 25 CM, ESPESSURA 6 CM</t>
  </si>
  <si>
    <t>BLOQUETE/PISO INTERTRAVADO DE CONCRETO - MODELO SEXTAVADO, 25 CM x 25 CM, E = 6 CM, RESISTENCIA DE 35 MPA (NBR 9781), COR NATURAL</t>
  </si>
  <si>
    <t>PINTURA COM TINTA ACRÍLICA SOBRE PISO, DUAS DEMÃOS</t>
  </si>
  <si>
    <t>74245/001</t>
  </si>
  <si>
    <t>Escavação manual de valas</t>
  </si>
  <si>
    <t>ARMAÇÃO DE PILAR OU VIGA DE UMA ESTRUTURA CONVENCIONAL DE CONCRETO ARMADO EM UM EDIFÍCIO DE MÚLTIPLOS PAVIMENTOS UTILIZANDO AÇO CA-50 DE 8,0 MM - MONTAGEM</t>
  </si>
  <si>
    <t>ESCAVAÇÃO MANUAL DE VALA COM PROFUNDIDADE MENOR OU IGUAL A 1,30 M</t>
  </si>
  <si>
    <t>PISO EM LADRILHO HIDRÁULICO, TÁTIL ALERTA OU DIRECIONAL</t>
  </si>
  <si>
    <t>EXECUÇÃO DE PASSEIO (CALÇADA) OU PISO DE CONCRETO COM CONCRETO MOLDADO IN LOCO, USINADO, ACABAMENTO CONVENCIONAL, ESPESSURA 4 CM, ARMADO</t>
  </si>
  <si>
    <t>ASSENTAMENTO DE GUIA (MEIO-FIO) EM TRECHO RETO, CONFECCIONADA EM CONCRETO PRÉ-FABRICADO, DIMENSÕES 100x15x13x30 CM (COMPRIMENTO x BASE INFERIOR x BASE SUPERIOR x ALTURA), PARA VIAS URBANAS (USO VIÁRIO)</t>
  </si>
  <si>
    <t>TRANSPORTE DE MÃO DE OBRA, MATERIAIS E EQUIPAMENTOS A SEREM UTILIZADOS NA OBRA, DSTÂNCIA MÉDIA DE 150KM</t>
  </si>
  <si>
    <t>ARMAÇÃO DE PILAR OU VIGA DE UMA ESTRUTURA CONVENCIONAL DE CONCRETO ARMADO EM UM EDIFÍCIO DE MÚLTIPLOS PAVIMENTOS UTILIZANDO AÇO CA-50 DE 10,0 MM - MONTAGEM</t>
  </si>
  <si>
    <t>0,0171000</t>
  </si>
  <si>
    <t>0,1048000</t>
  </si>
  <si>
    <t>Armação de uma estrutura convecional de concreto armado, utilizando aço CA-50 de 8,00mm</t>
  </si>
  <si>
    <t>Armação de uma estrutura convecional de concreto armado, utilizando aço CA-50 de 10,00mm</t>
  </si>
  <si>
    <t>Armação de uma estrutura convecional de concreto armado, utilizando aço CA-60 de 4,2mm</t>
  </si>
  <si>
    <t>Fabricação de fôrma para pilares e estruturas similares, em madeira serrada</t>
  </si>
  <si>
    <t>Concreto FCK = 20MPA, traço 1:2,7:3 (cimento/areia média/brita 1)  - preparo mecânico</t>
  </si>
  <si>
    <t>ARMAÇÃO DE LAJE DE UMA ESTRUTURA CONVENCIONAL DE CONCRETO ARMADO EM UM EDIFÍCIO DE MÚLTIPLOS PAVIMENTOS UTILIZANDO AÇO CA-60 DE 4,2 MM - MONTAGEM</t>
  </si>
  <si>
    <t>FABRICAÇÃO DE FÔRMA PARA VIGAS, COM MADEIRA SERRADA, E = 25 MM</t>
  </si>
  <si>
    <t>CONCRETO FCK = 20MPA, TRAÇO 1:2,7:3 (CIMENTO/ AREIA MÉDIA/ BRITA 1)  - PREPARO MECÂNICO COM BETONEIRA 400 L</t>
  </si>
  <si>
    <t>CHAPISCO APLICADO EM ALVENARIAS E ESTRUTURAS DE CONCRETO INTERNAS, COM COLHER DE PEDREIRO.  ARGAMASSA TRAÇO 1:3 COM PREPARO EM BETONEIRA 400L</t>
  </si>
  <si>
    <t>ARGAMASSA TRAÇO 1:3 (EM VOLUME DE CIMENTO E AREIA GROSSA ÚMIDA) PARA CHAPISCO CONVENCIONAL, PREPARO MECÂNICO COM BETONEIRA 400 L</t>
  </si>
  <si>
    <t>MASSA ÚNICA, PARA RECEBIMENTO DE PINTURA, EM ARGAMASSA TRAÇO 1:2:8, PREPARO MECÂNICO COM BETONEIRA 400L, APLICADA MANUALMENTE EM FACES INTERNAS DE PAREDES, ESPESSURA DE 20MM, COM EXECUÇÃO DE TALISCAS</t>
  </si>
  <si>
    <t xml:space="preserve">ARGAMASSA TRAÇO 1:2:8 (EM VOLUME DE CIMENTO, CAL E AREIA MÉDIA ÚMIDA) PARA EMBOÇO/MASSA ÚNICA/ASSENTAMENTO DE ALVENARIA DE VEDAÇÃO, PREPARO MECÂNICO COM BETONEIRA 400 L. </t>
  </si>
  <si>
    <t>Aplicação de textura, 01 demão</t>
  </si>
  <si>
    <t>TEXTURA ACRÍLICA, APLICAÇÃO MANUAL EM PAREDE, UMA DEMÃO</t>
  </si>
  <si>
    <t>kg</t>
  </si>
  <si>
    <t>APLICAÇÃO MANUAL DE MASSA ACRÍLICA EM PAREDES EXTERNAS DE CASAS, DUAS DEMÃOS</t>
  </si>
  <si>
    <t>APLICAÇÃO MANUAL DE PINTURA COM TINTA LÁTEX ACRÍLICA EM PAREDES, DUAS DEMÃOS</t>
  </si>
  <si>
    <t>TOTAL DO SUB-ITEM 2.9</t>
  </si>
  <si>
    <t>Armação de uma estrutura convecional de concreto armado, utilizando aço CA-50 de 6,3mm</t>
  </si>
  <si>
    <t>Laje pré-moldada, com lajotas e cap. Com concreto FCK=20MPA, escoramento e ferragem negativa</t>
  </si>
  <si>
    <t>ALVENARIA DE VEDAÇÃO DE BLOCOS CERÂMICOS FURADOS NA HORIZONTAL DE 9X19X19CM (ESPESSURA 9CM) DE PAREDES COM ÁREA LÍQUIDA MAIOR OU IGUAL A 6M² COM VÃOS E ARGAMASSA DE ASSENTAMENTO COM PREPARO EM BETONEIRA</t>
  </si>
  <si>
    <t>ARMAÇÃO DE PILAR OU VIGA DE UMA ESTRUTURA CONVENCIONAL DE CONCRETO ARMADO EM UM EDIFÍCIO DE MÚLTIPLOS PAVIMENTOS UTILIZANDO AÇO CA-50 DE 6,3 MM - MONTAGEM</t>
  </si>
  <si>
    <t>LAJE PRE-MOLD BETA 11 P/1KN/M2 VAOS 4,40M/INCL VIGOTAS TIJOLOS ARMADURA NEGATIVA CAPEAMENTO 3CM CONCRETO 20MPA ESCORAMENTO MATERIAL E MAO  DE OBRA</t>
  </si>
  <si>
    <t>CONCRETO FCK = 20MPA, TRAÇO 1:2,7:3 (CIMENTO/ AREIA MÉDIA/ BRITA 1)  - PREPARO MECÂNICO COM BETONEIRA 600 L</t>
  </si>
  <si>
    <t>LANÇAMENTO COM USO DE BOMBA, ADENSAMENTO E ACABAMENTO DE CONCRETO EM ESTRUTURAS</t>
  </si>
  <si>
    <t>83694</t>
  </si>
  <si>
    <t xml:space="preserve">COLCHAO DE AREIA </t>
  </si>
  <si>
    <t>2.7.2</t>
  </si>
  <si>
    <t>Pavimentação em Concreto - área 14</t>
  </si>
  <si>
    <t>Cabo de cobre flexível isolado 4 mm²</t>
  </si>
  <si>
    <t>Eletroduto rígido de 25mm</t>
  </si>
  <si>
    <t>Poste de aço cônico continuo curvo duplo, flangeado, com janela de inspeção h=9m</t>
  </si>
  <si>
    <t>ELETRODUTO RÍGIDO SOLDÁVEL, PVC, DN 20 MM (½), APARENTE</t>
  </si>
  <si>
    <t>ELETRODUTO DE PVC RIGIDO SOLDAVEL, CLASSE B, DE 20 MM</t>
  </si>
  <si>
    <t>0,0729000</t>
  </si>
  <si>
    <t>FIXAÇÃO DE TUBOS VERTICAIS DE PPR DIÂMETROS MENORES OU IGUAIS A 40 MM COM ABRAÇADEIRA METÁLICA RÍGIDA TIPO D 1/2", FIXADA EM PERFILADO EM ALVENARIA</t>
  </si>
  <si>
    <t>CABO DE COBRE FLEXÍVEL ISOLADO, 4 MM², ANTI-CHAMA 450/750 V, PARA CIRCUITOS TERMINAIS</t>
  </si>
  <si>
    <t>LUMINÁRIA ABERTA PARA ILUMINAÇÃO PÚBLICA, PARA LÂMPADA A VAPOR DE MERCÚRIO ATÉ 400W E MISTA ATÉ 500W, COM BRACO EM TUBO DE AÇO GALV D=50MM PROJ HOR=2.500MM E PROJ VERT= 2.200MM, COM LÂMPADA</t>
  </si>
  <si>
    <t>LÂMPADA VAPOR MERCÚRIO 400 W (BASE E40)</t>
  </si>
  <si>
    <t>AS</t>
  </si>
  <si>
    <t>BRACO P/ LUMINARIA PUBLICA 1 X 1,50M ROMAGNOLE OU EQUIV</t>
  </si>
  <si>
    <t>LUMINARIA ABERTA P/ ILUMINACAO PUBLICA, TIPO X-57 PETERCO OU EQUIV</t>
  </si>
  <si>
    <t>Luminária aberta para iluminação pública, para lâmpada a vapor de mercúrio até 400w e mista até 500w, com braço em tubo de aço galvanizado d=50mm proj hor=2.500mm e proj vert= 2.200mm, com lâmpada</t>
  </si>
  <si>
    <t>Fornecimento e instalação de equipamentos para parque infantil - Conforme projeto</t>
  </si>
  <si>
    <t>Fornecimento e instalação de equipamentos para academia - Conforme projeto</t>
  </si>
  <si>
    <t>CAIXA DE INSPEÇÃO 0.60 x 0,60 x 0,60M</t>
  </si>
  <si>
    <t>CONCRETO FABRICADO NA OBRA, FCK=20 MPA, LANÇADO E ADENSADO</t>
  </si>
  <si>
    <t>ALVENARIA TIJOLO CERÂMICO, ESP = 0,09M (SINGELA), COM ARGAMASSA TRAÇO T5 - 1:2:8 (CIMENTO / CAL / AREIA) C/ JUNTA DE 2,0CM - R1</t>
  </si>
  <si>
    <t>MASSA ÚNICA EM ARGAMASSA TRAÇO 1:2:8, PREPARO MECÂNICO COM BETONEIRA 400L, APLICADA MANUALMENTE, ESPESSURA DE 20MM</t>
  </si>
  <si>
    <t>Caixa de inspeção 60 x 60 x 60cm</t>
  </si>
  <si>
    <t>MUDA DE ARBUSTO, PINGO DE OURO/ VIOLETEIRA, H = 10 a 20CM</t>
  </si>
  <si>
    <t>PLANTIO DE MUDAS DE ARBUSTOS DIVERSOS</t>
  </si>
  <si>
    <t>PLANTIO DE MUDAS - PALMEIRAS</t>
  </si>
  <si>
    <t>MUDA DE PALMEIRA, ARECA, H= 1,50CM</t>
  </si>
  <si>
    <t>Plantio de mudas - Palmeiras médias</t>
  </si>
  <si>
    <t xml:space="preserve">Plantio de mudas de arbustos diversos </t>
  </si>
  <si>
    <t>10288/ORSE</t>
  </si>
  <si>
    <t>02410/ORSE</t>
  </si>
  <si>
    <t>10536/ORSE</t>
  </si>
  <si>
    <t>Banco simples com assento em madeira, dim:1500x300x387mm</t>
  </si>
  <si>
    <t>BANCO SIMPLES COM ASSENTO EM MADEIRA, DIM:1500x300x387MM, DA NILKO OU SIMILAR</t>
  </si>
  <si>
    <t>BANCO SIMPLES COM ASSENTO EM MADEIRA, DIM:1500x300x387MM</t>
  </si>
  <si>
    <t>Banco de concreto sem encosto de 1,50 x 0,45m</t>
  </si>
  <si>
    <t>BANCO DE CONCRETO SEM ENCOSTO DE 1,50 x 0,45M</t>
  </si>
  <si>
    <t>Lixeira em fibra de vidro, com capacidade 50l, com suporte (poste), FIOBERGLASS, ou similar</t>
  </si>
  <si>
    <t>LIXEIRA EM FIBRA DE VIDRO, COM CAPACIDADE 50L, COM SUPORTE (POSTE), FIOBERGLASS, OU SIMILAR</t>
  </si>
  <si>
    <t>LIXEIRA EM FIBRA DE VIDRO, COM CAPACIDADE 50L, COM SUPORTE (POSTE)</t>
  </si>
  <si>
    <t>GANGORRA EM ESTRUTURA DE CONCRETO, TUBO DE FERRO GALVANIZADO DE 3" E 4" E ASSENTO DE MADEIRA, COM 03 PRANCHAS</t>
  </si>
  <si>
    <t>GIRA-GIRA (CARROSSEL Ø=1,70M), EM TUBO DE FERRO GALVANIZADO DE 1 1/2" E ASSENTO EM CHAPA GALVANIZADA E=1/4"</t>
  </si>
  <si>
    <t>ESCADA HORIZONTAL EM TUBO DE FERRO GALV. Ø=2", DIM. 0,82 X 3,98 X 1,80M, INCLUSIVE APLICAÇÃO DE ZARCÃO E PINTADA COM ESMALTE SINTÉTICO</t>
  </si>
  <si>
    <t>ABDOMINAL DUPLO</t>
  </si>
  <si>
    <t>BARRA FIXA EM TUBO DE FERRO GALV. Ø=2", CONJUNTO COM 03 UNIDADES</t>
  </si>
  <si>
    <t>PRANCHA ABDOMINAL EM TUBO DE FERRO GALVANIZADO DE 1 1/2" E PRANCHÃO EM MADEIRA</t>
  </si>
  <si>
    <t>EXTENSÃO LOMBAR</t>
  </si>
  <si>
    <t>RODA OMBRO</t>
  </si>
  <si>
    <t>Lixeira em fibra de vidro, com capacidade 50l, com suporte (poste)</t>
  </si>
  <si>
    <t>Armação aço CA-50 de 10,00mm</t>
  </si>
  <si>
    <t>Armação aço CA-50 de 8,00mm</t>
  </si>
  <si>
    <t>Armação aço CA-60 de 4,2mm</t>
  </si>
  <si>
    <t>Forma para pilares e estruturas similares</t>
  </si>
  <si>
    <t>Concreto FCK = 20MPA - preparo mecânico</t>
  </si>
  <si>
    <t>Pilares 20 x 20cm</t>
  </si>
  <si>
    <t>Vigas 15 x 30cm</t>
  </si>
  <si>
    <t>Vigas de amarração 15 x 30cm</t>
  </si>
  <si>
    <t>Alvenaria em bloco cerâmico 9x19x19cm - Espessura 9cm - banco h=50cm</t>
  </si>
  <si>
    <t>Assento do banco</t>
  </si>
  <si>
    <t>Armação aço CA-50 / Armação aço CA-60</t>
  </si>
  <si>
    <t>Piso em concreto - espessura 4cm</t>
  </si>
  <si>
    <t>Pergolado em concreto - 01und - área 08</t>
  </si>
  <si>
    <t xml:space="preserve">Pórtico em concreto - 12unds </t>
  </si>
  <si>
    <t>Viga 20 x 20cm</t>
  </si>
  <si>
    <t>Escavação - sapata 60 x 60cm</t>
  </si>
  <si>
    <t>Sapata 60 x 60cm</t>
  </si>
  <si>
    <t>Mini Palco - 01und - ÁREA 17</t>
  </si>
  <si>
    <t>Laje pré-moldada</t>
  </si>
  <si>
    <t>Viga baldrame 20 x 30cm</t>
  </si>
  <si>
    <t>Escavação - Viga baldrame 20 x 30cm</t>
  </si>
  <si>
    <t>Alvenaria em bloco cerâmico 9x19x19cm - Espessura 9cm, h=1,0m</t>
  </si>
  <si>
    <t>Armação aço CA-50 de 6,3mm</t>
  </si>
  <si>
    <t xml:space="preserve">Pisos em concreto </t>
  </si>
  <si>
    <t>estacionamento - área 03</t>
  </si>
  <si>
    <t>Pavimentação em concreto + 4 Bancos de concreto - área 07 = 07unds</t>
  </si>
  <si>
    <t>Plantio de Grama - áreas 09/10/11/12/15/16/19/20/22/23/24/25/26/27</t>
  </si>
  <si>
    <t>Pat total</t>
  </si>
  <si>
    <t>2.4.8</t>
  </si>
  <si>
    <t>2.4.9</t>
  </si>
  <si>
    <t>2.4.10</t>
  </si>
  <si>
    <t>Escavação - sapata 50 x 50cm</t>
  </si>
  <si>
    <t>Sapata 50 x 50cm</t>
  </si>
  <si>
    <t>POSTE DE CONCRETO DUPLO T, TIPO B, 300 KG, H = 9 M (NBR 8451)</t>
  </si>
  <si>
    <t>CONSTRUÇÃO DE PERGOLADO - x 1</t>
  </si>
  <si>
    <t>CONSTRUÇÃO DE MINI PALCO</t>
  </si>
  <si>
    <t>CONSTRUÇÃO DE PÓRTICO DE CONCRETO - x 12</t>
  </si>
  <si>
    <t>ACADEMIA AO AR LIVRE</t>
  </si>
  <si>
    <t>JARDINAGEM / ARBORIZAÇÃO</t>
  </si>
  <si>
    <t>ELEMENTOS COMPLEMENTARES</t>
  </si>
  <si>
    <t>Pintura acrílica em piso de cimentado</t>
  </si>
  <si>
    <t>2.4.11</t>
  </si>
  <si>
    <t>Total para 6 meses:</t>
  </si>
  <si>
    <t xml:space="preserve">25%  - </t>
  </si>
  <si>
    <t>R$</t>
  </si>
  <si>
    <t>ACOMPANHAMENTO TOPOGRÁFICO</t>
  </si>
  <si>
    <t>thamar</t>
  </si>
  <si>
    <t>Referência: SINAPI - Agosto de 2019 de 2019, ORSE - Julho de 2019.</t>
  </si>
  <si>
    <t>TARIFA "A" ENTRE 0 E 20M3 FORNECIMENTO D'AGUA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</si>
</sst>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#,##0.0000000"/>
    <numFmt numFmtId="168" formatCode="_(* #,##0.00_);_(* \(#,##0.00\);_(* \-??_);_(@_)"/>
    <numFmt numFmtId="169" formatCode="0.000000"/>
    <numFmt numFmtId="170" formatCode="#,##0.0000"/>
    <numFmt numFmtId="171" formatCode="#,##0.00000"/>
    <numFmt numFmtId="172" formatCode="#,##0.000000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name val="MonoMM1_ZeroNormal"/>
    </font>
    <font>
      <sz val="10"/>
      <color rgb="FFFF000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b/>
      <sz val="9"/>
      <color rgb="FFFF0000"/>
      <name val="Verdana"/>
      <family val="2"/>
    </font>
    <font>
      <sz val="9"/>
      <color rgb="FFFF0000"/>
      <name val="Verdana"/>
      <family val="2"/>
    </font>
    <font>
      <sz val="8"/>
      <color rgb="FFFF0000"/>
      <name val="Verdana"/>
      <family val="2"/>
    </font>
    <font>
      <b/>
      <sz val="9"/>
      <name val="Arial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288">
    <xf numFmtId="0" fontId="0" fillId="0" borderId="0" xfId="0"/>
    <xf numFmtId="0" fontId="3" fillId="0" borderId="0" xfId="0" applyFont="1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2" fillId="0" borderId="0" xfId="1"/>
    <xf numFmtId="0" fontId="3" fillId="0" borderId="0" xfId="1" applyFont="1" applyBorder="1" applyAlignment="1">
      <alignment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/>
    </xf>
    <xf numFmtId="4" fontId="2" fillId="0" borderId="15" xfId="1" applyNumberFormat="1" applyFont="1" applyBorder="1" applyAlignment="1">
      <alignment horizontal="right" vertical="center"/>
    </xf>
    <xf numFmtId="4" fontId="16" fillId="4" borderId="15" xfId="1" applyNumberFormat="1" applyFont="1" applyFill="1" applyBorder="1" applyAlignment="1">
      <alignment horizontal="right" vertical="center"/>
    </xf>
    <xf numFmtId="4" fontId="4" fillId="6" borderId="18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2" fillId="0" borderId="0" xfId="1" applyBorder="1" applyAlignment="1">
      <alignment vertical="center"/>
    </xf>
    <xf numFmtId="0" fontId="2" fillId="0" borderId="0" xfId="1" applyBorder="1"/>
    <xf numFmtId="0" fontId="3" fillId="0" borderId="0" xfId="1" applyFont="1" applyBorder="1"/>
    <xf numFmtId="0" fontId="10" fillId="0" borderId="0" xfId="1" applyFont="1" applyBorder="1"/>
    <xf numFmtId="2" fontId="10" fillId="0" borderId="0" xfId="1" applyNumberFormat="1" applyFont="1" applyBorder="1"/>
    <xf numFmtId="0" fontId="11" fillId="0" borderId="0" xfId="1" applyFont="1" applyBorder="1"/>
    <xf numFmtId="0" fontId="3" fillId="0" borderId="0" xfId="0" applyFont="1" applyBorder="1" applyAlignment="1">
      <alignment horizontal="left" vertical="top"/>
    </xf>
    <xf numFmtId="0" fontId="3" fillId="0" borderId="14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10" fontId="2" fillId="0" borderId="0" xfId="1" applyNumberFormat="1" applyFont="1"/>
    <xf numFmtId="0" fontId="17" fillId="5" borderId="24" xfId="1" applyFont="1" applyFill="1" applyBorder="1" applyAlignment="1">
      <alignment horizontal="center" vertical="center"/>
    </xf>
    <xf numFmtId="0" fontId="17" fillId="5" borderId="25" xfId="1" applyFont="1" applyFill="1" applyBorder="1" applyAlignment="1">
      <alignment horizontal="center" vertical="center"/>
    </xf>
    <xf numFmtId="0" fontId="17" fillId="5" borderId="13" xfId="1" applyFont="1" applyFill="1" applyBorder="1" applyAlignment="1">
      <alignment horizontal="center" vertical="center"/>
    </xf>
    <xf numFmtId="0" fontId="17" fillId="5" borderId="0" xfId="1" applyFont="1" applyFill="1" applyBorder="1" applyAlignment="1">
      <alignment horizontal="center" vertical="center"/>
    </xf>
    <xf numFmtId="2" fontId="11" fillId="5" borderId="0" xfId="1" applyNumberFormat="1" applyFont="1" applyFill="1" applyBorder="1"/>
    <xf numFmtId="0" fontId="8" fillId="5" borderId="1" xfId="1" applyFont="1" applyFill="1" applyBorder="1" applyAlignment="1">
      <alignment horizontal="center" vertical="center"/>
    </xf>
    <xf numFmtId="164" fontId="2" fillId="5" borderId="1" xfId="2" applyFont="1" applyFill="1" applyBorder="1" applyAlignment="1">
      <alignment horizontal="center" vertical="center"/>
    </xf>
    <xf numFmtId="2" fontId="10" fillId="5" borderId="0" xfId="1" applyNumberFormat="1" applyFont="1" applyFill="1" applyBorder="1"/>
    <xf numFmtId="4" fontId="2" fillId="5" borderId="1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0" fontId="2" fillId="0" borderId="0" xfId="1" quotePrefix="1" applyBorder="1"/>
    <xf numFmtId="0" fontId="20" fillId="0" borderId="0" xfId="1" applyFont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22" fillId="0" borderId="0" xfId="1" applyFont="1" applyBorder="1" applyAlignment="1">
      <alignment vertical="center"/>
    </xf>
    <xf numFmtId="0" fontId="17" fillId="0" borderId="0" xfId="1" applyFont="1" applyBorder="1"/>
    <xf numFmtId="0" fontId="2" fillId="0" borderId="0" xfId="0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 vertical="center"/>
    </xf>
    <xf numFmtId="0" fontId="23" fillId="0" borderId="36" xfId="0" applyFont="1" applyBorder="1" applyAlignment="1">
      <alignment horizontal="right" vertical="center"/>
    </xf>
    <xf numFmtId="2" fontId="23" fillId="0" borderId="3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164" fontId="3" fillId="0" borderId="1" xfId="2" applyFont="1" applyBorder="1" applyAlignment="1">
      <alignment horizontal="center"/>
    </xf>
    <xf numFmtId="43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2" applyFont="1" applyBorder="1" applyAlignment="1">
      <alignment horizontal="center"/>
    </xf>
    <xf numFmtId="168" fontId="2" fillId="0" borderId="0" xfId="2" applyNumberFormat="1" applyFont="1" applyBorder="1" applyAlignment="1">
      <alignment horizontal="center"/>
    </xf>
    <xf numFmtId="164" fontId="26" fillId="0" borderId="1" xfId="0" applyNumberFormat="1" applyFont="1" applyBorder="1"/>
    <xf numFmtId="164" fontId="2" fillId="0" borderId="0" xfId="2" applyFont="1"/>
    <xf numFmtId="164" fontId="2" fillId="0" borderId="0" xfId="2" applyFont="1" applyAlignment="1">
      <alignment horizontal="center"/>
    </xf>
    <xf numFmtId="164" fontId="0" fillId="0" borderId="0" xfId="2" applyFont="1" applyAlignment="1">
      <alignment horizontal="center"/>
    </xf>
    <xf numFmtId="164" fontId="26" fillId="0" borderId="1" xfId="2" applyFont="1" applyBorder="1"/>
    <xf numFmtId="164" fontId="17" fillId="0" borderId="1" xfId="2" applyFont="1" applyBorder="1"/>
    <xf numFmtId="164" fontId="2" fillId="0" borderId="0" xfId="2" applyFont="1" applyAlignment="1">
      <alignment horizontal="right"/>
    </xf>
    <xf numFmtId="0" fontId="17" fillId="0" borderId="1" xfId="0" applyFont="1" applyBorder="1" applyAlignment="1">
      <alignment horizontal="right"/>
    </xf>
    <xf numFmtId="164" fontId="17" fillId="0" borderId="1" xfId="2" applyFont="1" applyBorder="1" applyAlignment="1"/>
    <xf numFmtId="164" fontId="2" fillId="0" borderId="0" xfId="2" applyFont="1" applyBorder="1" applyAlignment="1"/>
    <xf numFmtId="164" fontId="26" fillId="0" borderId="0" xfId="0" applyNumberFormat="1" applyFont="1" applyFill="1" applyBorder="1"/>
    <xf numFmtId="164" fontId="26" fillId="0" borderId="1" xfId="0" applyNumberFormat="1" applyFont="1" applyFill="1" applyBorder="1"/>
    <xf numFmtId="164" fontId="26" fillId="0" borderId="0" xfId="0" applyNumberFormat="1" applyFont="1" applyBorder="1"/>
    <xf numFmtId="164" fontId="26" fillId="0" borderId="0" xfId="2" applyFont="1" applyBorder="1"/>
    <xf numFmtId="164" fontId="2" fillId="0" borderId="1" xfId="0" applyNumberFormat="1" applyFont="1" applyFill="1" applyBorder="1"/>
    <xf numFmtId="0" fontId="17" fillId="0" borderId="0" xfId="1" applyFont="1"/>
    <xf numFmtId="0" fontId="6" fillId="2" borderId="32" xfId="10" applyFont="1" applyFill="1" applyBorder="1" applyAlignment="1">
      <alignment horizontal="center" vertical="center"/>
    </xf>
    <xf numFmtId="0" fontId="6" fillId="2" borderId="33" xfId="10" applyFont="1" applyFill="1" applyBorder="1" applyAlignment="1">
      <alignment horizontal="center" vertical="center"/>
    </xf>
    <xf numFmtId="0" fontId="6" fillId="2" borderId="33" xfId="10" applyNumberFormat="1" applyFont="1" applyFill="1" applyBorder="1" applyAlignment="1">
      <alignment horizontal="center" vertical="center"/>
    </xf>
    <xf numFmtId="0" fontId="6" fillId="2" borderId="41" xfId="10" applyNumberFormat="1" applyFont="1" applyFill="1" applyBorder="1" applyAlignment="1">
      <alignment horizontal="center" vertical="center"/>
    </xf>
    <xf numFmtId="0" fontId="6" fillId="2" borderId="34" xfId="10" applyNumberFormat="1" applyFont="1" applyFill="1" applyBorder="1" applyAlignment="1">
      <alignment horizontal="center" vertical="center"/>
    </xf>
    <xf numFmtId="9" fontId="27" fillId="0" borderId="43" xfId="11" applyNumberFormat="1" applyFont="1" applyBorder="1" applyAlignment="1">
      <alignment vertical="center"/>
    </xf>
    <xf numFmtId="43" fontId="27" fillId="0" borderId="45" xfId="11" applyNumberFormat="1" applyFont="1" applyBorder="1" applyAlignment="1">
      <alignment vertical="center"/>
    </xf>
    <xf numFmtId="43" fontId="6" fillId="0" borderId="28" xfId="10" applyNumberFormat="1" applyFont="1" applyBorder="1" applyAlignment="1">
      <alignment horizontal="right"/>
    </xf>
    <xf numFmtId="43" fontId="6" fillId="0" borderId="28" xfId="10" applyNumberFormat="1" applyFont="1" applyBorder="1" applyAlignment="1">
      <alignment horizontal="right" vertical="center"/>
    </xf>
    <xf numFmtId="9" fontId="6" fillId="0" borderId="1" xfId="10" applyNumberFormat="1" applyFont="1" applyBorder="1"/>
    <xf numFmtId="10" fontId="27" fillId="0" borderId="1" xfId="11" applyNumberFormat="1" applyFont="1" applyBorder="1"/>
    <xf numFmtId="43" fontId="6" fillId="0" borderId="1" xfId="10" applyNumberFormat="1" applyFont="1" applyBorder="1"/>
    <xf numFmtId="43" fontId="27" fillId="0" borderId="1" xfId="10" applyNumberFormat="1" applyFont="1" applyBorder="1"/>
    <xf numFmtId="164" fontId="27" fillId="0" borderId="1" xfId="10" applyNumberFormat="1" applyFont="1" applyBorder="1"/>
    <xf numFmtId="9" fontId="6" fillId="0" borderId="17" xfId="10" applyNumberFormat="1" applyFont="1" applyBorder="1"/>
    <xf numFmtId="10" fontId="6" fillId="0" borderId="17" xfId="11" applyNumberFormat="1" applyFont="1" applyBorder="1"/>
    <xf numFmtId="43" fontId="27" fillId="0" borderId="7" xfId="11" applyNumberFormat="1" applyFont="1" applyBorder="1" applyAlignment="1">
      <alignment vertical="center"/>
    </xf>
    <xf numFmtId="43" fontId="2" fillId="0" borderId="0" xfId="1" applyNumberFormat="1" applyFont="1"/>
    <xf numFmtId="0" fontId="18" fillId="0" borderId="0" xfId="0" applyFont="1" applyFill="1"/>
    <xf numFmtId="0" fontId="23" fillId="0" borderId="1" xfId="8" applyFont="1" applyFill="1" applyBorder="1" applyAlignment="1">
      <alignment horizontal="center" vertical="center" wrapText="1"/>
    </xf>
    <xf numFmtId="0" fontId="23" fillId="0" borderId="1" xfId="8" applyFont="1" applyFill="1" applyBorder="1" applyAlignment="1">
      <alignment horizontal="left" vertical="center" wrapText="1"/>
    </xf>
    <xf numFmtId="166" fontId="23" fillId="0" borderId="1" xfId="5" applyNumberFormat="1" applyFont="1" applyFill="1" applyBorder="1" applyAlignment="1">
      <alignment horizontal="center" vertical="center" wrapText="1"/>
    </xf>
    <xf numFmtId="0" fontId="18" fillId="0" borderId="1" xfId="8" applyFont="1" applyFill="1" applyBorder="1" applyAlignment="1">
      <alignment horizontal="center" vertical="center" wrapText="1"/>
    </xf>
    <xf numFmtId="0" fontId="18" fillId="0" borderId="1" xfId="8" applyFont="1" applyFill="1" applyBorder="1" applyAlignment="1">
      <alignment horizontal="left" vertical="center" wrapText="1"/>
    </xf>
    <xf numFmtId="4" fontId="18" fillId="0" borderId="1" xfId="8" applyNumberFormat="1" applyFont="1" applyFill="1" applyBorder="1" applyAlignment="1">
      <alignment horizontal="center" vertical="center" wrapText="1"/>
    </xf>
    <xf numFmtId="2" fontId="18" fillId="0" borderId="1" xfId="5" applyNumberFormat="1" applyFont="1" applyFill="1" applyBorder="1" applyAlignment="1">
      <alignment horizontal="right" vertical="center" wrapText="1"/>
    </xf>
    <xf numFmtId="0" fontId="18" fillId="0" borderId="0" xfId="0" applyFont="1" applyFill="1" applyBorder="1"/>
    <xf numFmtId="4" fontId="23" fillId="0" borderId="15" xfId="9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/>
    </xf>
    <xf numFmtId="167" fontId="18" fillId="0" borderId="1" xfId="8" applyNumberFormat="1" applyFont="1" applyFill="1" applyBorder="1" applyAlignment="1">
      <alignment horizontal="center" vertical="center" wrapText="1"/>
    </xf>
    <xf numFmtId="166" fontId="23" fillId="0" borderId="1" xfId="5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right"/>
    </xf>
    <xf numFmtId="164" fontId="18" fillId="0" borderId="1" xfId="2" applyFont="1" applyFill="1" applyBorder="1" applyAlignment="1">
      <alignment horizontal="right" vertical="center" wrapText="1"/>
    </xf>
    <xf numFmtId="0" fontId="23" fillId="0" borderId="1" xfId="0" applyFont="1" applyFill="1" applyBorder="1"/>
    <xf numFmtId="0" fontId="18" fillId="0" borderId="1" xfId="0" applyFont="1" applyFill="1" applyBorder="1"/>
    <xf numFmtId="0" fontId="18" fillId="0" borderId="1" xfId="0" applyFont="1" applyFill="1" applyBorder="1" applyAlignment="1">
      <alignment horizontal="right"/>
    </xf>
    <xf numFmtId="0" fontId="23" fillId="0" borderId="0" xfId="1" applyFont="1" applyFill="1" applyBorder="1" applyAlignment="1">
      <alignment horizontal="right" vertical="center"/>
    </xf>
    <xf numFmtId="4" fontId="23" fillId="0" borderId="0" xfId="9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4" fontId="18" fillId="0" borderId="1" xfId="5" applyNumberFormat="1" applyFont="1" applyFill="1" applyBorder="1" applyAlignment="1">
      <alignment horizontal="right" vertical="center" wrapText="1"/>
    </xf>
    <xf numFmtId="4" fontId="23" fillId="0" borderId="1" xfId="9" applyNumberFormat="1" applyFont="1" applyFill="1" applyBorder="1" applyAlignment="1">
      <alignment horizontal="right" vertical="center"/>
    </xf>
    <xf numFmtId="0" fontId="28" fillId="7" borderId="1" xfId="8" applyFont="1" applyFill="1" applyBorder="1" applyAlignment="1">
      <alignment horizontal="center" vertical="center" wrapText="1"/>
    </xf>
    <xf numFmtId="0" fontId="28" fillId="7" borderId="1" xfId="8" applyFont="1" applyFill="1" applyBorder="1" applyAlignment="1">
      <alignment horizontal="left" vertical="center" wrapText="1"/>
    </xf>
    <xf numFmtId="4" fontId="28" fillId="7" borderId="1" xfId="8" applyNumberFormat="1" applyFont="1" applyFill="1" applyBorder="1" applyAlignment="1">
      <alignment horizontal="center" vertical="center" wrapText="1"/>
    </xf>
    <xf numFmtId="166" fontId="18" fillId="0" borderId="1" xfId="5" applyNumberFormat="1" applyFont="1" applyFill="1" applyBorder="1" applyAlignment="1">
      <alignment horizontal="right" vertical="center" wrapText="1"/>
    </xf>
    <xf numFmtId="0" fontId="23" fillId="0" borderId="0" xfId="9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right"/>
    </xf>
    <xf numFmtId="2" fontId="23" fillId="0" borderId="1" xfId="0" applyNumberFormat="1" applyFont="1" applyFill="1" applyBorder="1" applyAlignment="1">
      <alignment horizontal="right"/>
    </xf>
    <xf numFmtId="170" fontId="18" fillId="0" borderId="1" xfId="8" applyNumberFormat="1" applyFont="1" applyFill="1" applyBorder="1" applyAlignment="1">
      <alignment horizontal="center" vertical="center" wrapText="1"/>
    </xf>
    <xf numFmtId="171" fontId="18" fillId="0" borderId="1" xfId="8" applyNumberFormat="1" applyFont="1" applyFill="1" applyBorder="1" applyAlignment="1">
      <alignment horizontal="center" vertical="center" wrapText="1"/>
    </xf>
    <xf numFmtId="172" fontId="18" fillId="0" borderId="1" xfId="8" applyNumberFormat="1" applyFont="1" applyFill="1" applyBorder="1" applyAlignment="1">
      <alignment horizontal="center" vertical="center" wrapText="1"/>
    </xf>
    <xf numFmtId="0" fontId="29" fillId="7" borderId="1" xfId="8" applyFont="1" applyFill="1" applyBorder="1" applyAlignment="1">
      <alignment horizontal="center" vertical="center" wrapText="1"/>
    </xf>
    <xf numFmtId="0" fontId="29" fillId="7" borderId="1" xfId="8" applyFont="1" applyFill="1" applyBorder="1" applyAlignment="1">
      <alignment horizontal="left" vertical="center" wrapText="1"/>
    </xf>
    <xf numFmtId="169" fontId="18" fillId="0" borderId="1" xfId="0" applyNumberFormat="1" applyFont="1" applyFill="1" applyBorder="1" applyAlignment="1">
      <alignment horizontal="center"/>
    </xf>
    <xf numFmtId="4" fontId="28" fillId="7" borderId="1" xfId="8" applyNumberFormat="1" applyFont="1" applyFill="1" applyBorder="1" applyAlignment="1">
      <alignment horizontal="right" vertical="center" wrapText="1"/>
    </xf>
    <xf numFmtId="167" fontId="28" fillId="7" borderId="1" xfId="8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3" fillId="0" borderId="3" xfId="8" applyFont="1" applyFill="1" applyBorder="1" applyAlignment="1">
      <alignment horizontal="left" vertical="center" wrapText="1"/>
    </xf>
    <xf numFmtId="0" fontId="18" fillId="0" borderId="3" xfId="8" applyFont="1" applyFill="1" applyBorder="1" applyAlignment="1">
      <alignment horizontal="left" vertical="center" wrapText="1"/>
    </xf>
    <xf numFmtId="4" fontId="23" fillId="0" borderId="7" xfId="9" applyNumberFormat="1" applyFont="1" applyFill="1" applyBorder="1" applyAlignment="1">
      <alignment horizontal="right" vertical="center"/>
    </xf>
    <xf numFmtId="0" fontId="18" fillId="0" borderId="3" xfId="0" applyFont="1" applyFill="1" applyBorder="1"/>
    <xf numFmtId="0" fontId="18" fillId="0" borderId="3" xfId="8" applyFont="1" applyFill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/>
    <xf numFmtId="0" fontId="18" fillId="0" borderId="1" xfId="0" applyFont="1" applyBorder="1" applyAlignment="1">
      <alignment horizontal="center" wrapText="1"/>
    </xf>
    <xf numFmtId="164" fontId="18" fillId="0" borderId="0" xfId="2" applyFont="1"/>
    <xf numFmtId="0" fontId="18" fillId="0" borderId="0" xfId="1" applyFont="1" applyBorder="1" applyAlignment="1">
      <alignment horizontal="right" vertical="center" wrapText="1"/>
    </xf>
    <xf numFmtId="0" fontId="18" fillId="0" borderId="0" xfId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wrapText="1"/>
    </xf>
    <xf numFmtId="0" fontId="28" fillId="0" borderId="40" xfId="0" applyFont="1" applyBorder="1"/>
    <xf numFmtId="164" fontId="2" fillId="0" borderId="0" xfId="0" applyNumberFormat="1" applyFont="1"/>
    <xf numFmtId="164" fontId="2" fillId="0" borderId="0" xfId="0" applyNumberFormat="1" applyFont="1" applyFill="1" applyBorder="1"/>
    <xf numFmtId="10" fontId="2" fillId="0" borderId="0" xfId="2" applyNumberFormat="1" applyFont="1" applyAlignment="1">
      <alignment horizontal="right"/>
    </xf>
    <xf numFmtId="164" fontId="17" fillId="0" borderId="1" xfId="0" applyNumberFormat="1" applyFont="1" applyFill="1" applyBorder="1"/>
    <xf numFmtId="0" fontId="18" fillId="0" borderId="0" xfId="0" applyFont="1" applyBorder="1" applyAlignment="1">
      <alignment horizontal="right" wrapText="1"/>
    </xf>
    <xf numFmtId="0" fontId="18" fillId="0" borderId="1" xfId="0" applyFont="1" applyBorder="1" applyAlignment="1">
      <alignment horizontal="left" wrapText="1"/>
    </xf>
    <xf numFmtId="0" fontId="27" fillId="0" borderId="13" xfId="9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 vertical="center"/>
    </xf>
    <xf numFmtId="49" fontId="30" fillId="0" borderId="0" xfId="10" applyNumberFormat="1" applyFont="1" applyBorder="1" applyAlignment="1">
      <alignment vertical="top" wrapText="1"/>
    </xf>
    <xf numFmtId="0" fontId="27" fillId="0" borderId="0" xfId="0" applyFont="1"/>
    <xf numFmtId="0" fontId="6" fillId="0" borderId="0" xfId="10" applyFont="1" applyBorder="1" applyAlignment="1">
      <alignment vertical="top"/>
    </xf>
    <xf numFmtId="0" fontId="6" fillId="0" borderId="0" xfId="10" applyFont="1" applyBorder="1" applyAlignment="1">
      <alignment horizontal="center" vertical="center"/>
    </xf>
    <xf numFmtId="0" fontId="6" fillId="2" borderId="0" xfId="10" applyFont="1" applyFill="1" applyBorder="1" applyAlignment="1">
      <alignment horizontal="center" vertical="center"/>
    </xf>
    <xf numFmtId="4" fontId="27" fillId="0" borderId="0" xfId="0" applyNumberFormat="1" applyFont="1"/>
    <xf numFmtId="0" fontId="27" fillId="0" borderId="1" xfId="9" applyFont="1" applyFill="1" applyBorder="1" applyAlignment="1">
      <alignment horizontal="left" vertical="center" wrapText="1"/>
    </xf>
    <xf numFmtId="43" fontId="27" fillId="0" borderId="1" xfId="11" applyNumberFormat="1" applyFont="1" applyBorder="1" applyAlignment="1">
      <alignment vertical="center"/>
    </xf>
    <xf numFmtId="9" fontId="27" fillId="0" borderId="50" xfId="11" applyNumberFormat="1" applyFont="1" applyBorder="1" applyAlignment="1">
      <alignment vertical="center"/>
    </xf>
    <xf numFmtId="43" fontId="27" fillId="0" borderId="51" xfId="11" applyNumberFormat="1" applyFont="1" applyBorder="1" applyAlignment="1">
      <alignment vertical="center"/>
    </xf>
    <xf numFmtId="43" fontId="27" fillId="0" borderId="15" xfId="11" applyNumberFormat="1" applyFont="1" applyBorder="1" applyAlignment="1">
      <alignment vertical="center"/>
    </xf>
    <xf numFmtId="43" fontId="27" fillId="0" borderId="37" xfId="11" applyNumberFormat="1" applyFont="1" applyBorder="1" applyAlignment="1">
      <alignment vertical="center"/>
    </xf>
    <xf numFmtId="43" fontId="6" fillId="0" borderId="29" xfId="10" applyNumberFormat="1" applyFont="1" applyBorder="1" applyAlignment="1">
      <alignment horizontal="right" vertical="center"/>
    </xf>
    <xf numFmtId="10" fontId="27" fillId="0" borderId="15" xfId="11" applyNumberFormat="1" applyFont="1" applyBorder="1"/>
    <xf numFmtId="164" fontId="27" fillId="0" borderId="15" xfId="10" applyNumberFormat="1" applyFont="1" applyBorder="1"/>
    <xf numFmtId="10" fontId="6" fillId="0" borderId="18" xfId="11" applyNumberFormat="1" applyFont="1" applyBorder="1"/>
    <xf numFmtId="43" fontId="27" fillId="0" borderId="0" xfId="0" applyNumberFormat="1" applyFont="1"/>
    <xf numFmtId="10" fontId="27" fillId="0" borderId="0" xfId="0" applyNumberFormat="1" applyFont="1"/>
    <xf numFmtId="9" fontId="27" fillId="0" borderId="28" xfId="11" applyNumberFormat="1" applyFont="1" applyBorder="1" applyAlignment="1">
      <alignment vertical="center"/>
    </xf>
    <xf numFmtId="9" fontId="27" fillId="0" borderId="29" xfId="11" applyNumberFormat="1" applyFont="1" applyBorder="1" applyAlignment="1">
      <alignment vertical="center"/>
    </xf>
    <xf numFmtId="9" fontId="27" fillId="0" borderId="0" xfId="0" applyNumberFormat="1" applyFont="1"/>
    <xf numFmtId="0" fontId="2" fillId="0" borderId="1" xfId="1" applyFont="1" applyFill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17" fillId="0" borderId="1" xfId="2" applyFont="1" applyBorder="1" applyAlignment="1">
      <alignment horizontal="center"/>
    </xf>
    <xf numFmtId="4" fontId="2" fillId="0" borderId="0" xfId="1" applyNumberFormat="1" applyFont="1" applyAlignment="1">
      <alignment horizontal="left"/>
    </xf>
    <xf numFmtId="0" fontId="3" fillId="3" borderId="52" xfId="1" applyFont="1" applyFill="1" applyBorder="1" applyAlignment="1">
      <alignment horizontal="center" vertical="center" wrapText="1"/>
    </xf>
    <xf numFmtId="0" fontId="3" fillId="3" borderId="53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4" fontId="3" fillId="3" borderId="28" xfId="1" applyNumberFormat="1" applyFont="1" applyFill="1" applyBorder="1" applyAlignment="1">
      <alignment horizontal="center" vertical="center" wrapText="1"/>
    </xf>
    <xf numFmtId="4" fontId="3" fillId="3" borderId="29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0" fillId="0" borderId="0" xfId="0" applyBorder="1"/>
    <xf numFmtId="0" fontId="3" fillId="0" borderId="0" xfId="1" applyFont="1" applyBorder="1" applyAlignment="1">
      <alignment vertical="top"/>
    </xf>
    <xf numFmtId="2" fontId="11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/>
    <xf numFmtId="0" fontId="2" fillId="0" borderId="0" xfId="1" applyFont="1" applyBorder="1"/>
    <xf numFmtId="0" fontId="6" fillId="0" borderId="1" xfId="0" applyFont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4" fontId="4" fillId="0" borderId="17" xfId="1" applyNumberFormat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31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3" fillId="0" borderId="24" xfId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4" fillId="0" borderId="0" xfId="0" applyNumberFormat="1" applyFont="1" applyBorder="1" applyAlignment="1">
      <alignment horizontal="center" vertical="top" wrapText="1"/>
    </xf>
    <xf numFmtId="0" fontId="25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3" fillId="0" borderId="26" xfId="9" applyFont="1" applyFill="1" applyBorder="1" applyAlignment="1">
      <alignment horizontal="right" vertical="center"/>
    </xf>
    <xf numFmtId="0" fontId="23" fillId="0" borderId="2" xfId="9" applyFont="1" applyFill="1" applyBorder="1" applyAlignment="1">
      <alignment horizontal="right" vertical="center"/>
    </xf>
    <xf numFmtId="0" fontId="23" fillId="0" borderId="49" xfId="9" applyFont="1" applyFill="1" applyBorder="1" applyAlignment="1">
      <alignment horizontal="right" vertical="center"/>
    </xf>
    <xf numFmtId="0" fontId="23" fillId="0" borderId="3" xfId="9" applyFont="1" applyFill="1" applyBorder="1" applyAlignment="1">
      <alignment horizontal="right" vertical="center"/>
    </xf>
    <xf numFmtId="0" fontId="23" fillId="0" borderId="4" xfId="9" applyFont="1" applyFill="1" applyBorder="1" applyAlignment="1">
      <alignment horizontal="right" vertical="center"/>
    </xf>
    <xf numFmtId="0" fontId="23" fillId="0" borderId="5" xfId="9" applyFont="1" applyFill="1" applyBorder="1" applyAlignment="1">
      <alignment horizontal="right" vertical="center"/>
    </xf>
    <xf numFmtId="0" fontId="23" fillId="0" borderId="3" xfId="0" applyFont="1" applyFill="1" applyBorder="1" applyAlignment="1">
      <alignment horizontal="right"/>
    </xf>
    <xf numFmtId="0" fontId="23" fillId="0" borderId="4" xfId="0" applyFont="1" applyFill="1" applyBorder="1" applyAlignment="1">
      <alignment horizontal="right"/>
    </xf>
    <xf numFmtId="0" fontId="23" fillId="0" borderId="5" xfId="0" applyFont="1" applyFill="1" applyBorder="1" applyAlignment="1">
      <alignment horizontal="right"/>
    </xf>
    <xf numFmtId="0" fontId="23" fillId="0" borderId="3" xfId="1" applyFont="1" applyFill="1" applyBorder="1" applyAlignment="1">
      <alignment horizontal="right" vertical="center"/>
    </xf>
    <xf numFmtId="0" fontId="23" fillId="0" borderId="4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right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right" vertical="center"/>
    </xf>
    <xf numFmtId="0" fontId="23" fillId="0" borderId="9" xfId="0" applyFont="1" applyBorder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6" fillId="0" borderId="46" xfId="10" applyNumberFormat="1" applyFont="1" applyBorder="1" applyAlignment="1">
      <alignment horizontal="center" vertical="center" wrapText="1"/>
    </xf>
    <xf numFmtId="4" fontId="6" fillId="0" borderId="47" xfId="10" applyNumberFormat="1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wrapText="1"/>
    </xf>
    <xf numFmtId="0" fontId="6" fillId="0" borderId="5" xfId="10" applyFont="1" applyBorder="1" applyAlignment="1">
      <alignment horizontal="center" wrapText="1"/>
    </xf>
    <xf numFmtId="0" fontId="6" fillId="0" borderId="48" xfId="10" applyFont="1" applyBorder="1" applyAlignment="1">
      <alignment horizontal="center" vertical="center" wrapText="1"/>
    </xf>
    <xf numFmtId="0" fontId="6" fillId="0" borderId="39" xfId="10" applyFont="1" applyBorder="1" applyAlignment="1">
      <alignment horizontal="center" vertical="center" wrapText="1"/>
    </xf>
    <xf numFmtId="0" fontId="27" fillId="0" borderId="27" xfId="9" applyFont="1" applyBorder="1" applyAlignment="1">
      <alignment horizontal="center" vertical="center"/>
    </xf>
    <xf numFmtId="0" fontId="27" fillId="0" borderId="44" xfId="9" applyFont="1" applyBorder="1" applyAlignment="1">
      <alignment horizontal="center" vertical="center"/>
    </xf>
    <xf numFmtId="0" fontId="27" fillId="0" borderId="6" xfId="9" applyFont="1" applyFill="1" applyBorder="1" applyAlignment="1">
      <alignment horizontal="left" vertical="center" wrapText="1"/>
    </xf>
    <xf numFmtId="0" fontId="27" fillId="0" borderId="7" xfId="9" applyFont="1" applyFill="1" applyBorder="1" applyAlignment="1">
      <alignment horizontal="left" vertical="center" wrapText="1"/>
    </xf>
    <xf numFmtId="43" fontId="6" fillId="5" borderId="6" xfId="2" applyNumberFormat="1" applyFont="1" applyFill="1" applyBorder="1" applyAlignment="1">
      <alignment horizontal="center" vertical="center"/>
    </xf>
    <xf numFmtId="43" fontId="6" fillId="5" borderId="7" xfId="2" applyNumberFormat="1" applyFont="1" applyFill="1" applyBorder="1" applyAlignment="1">
      <alignment horizontal="center" vertical="center"/>
    </xf>
    <xf numFmtId="0" fontId="27" fillId="0" borderId="23" xfId="9" applyFont="1" applyFill="1" applyBorder="1" applyAlignment="1">
      <alignment horizontal="left" vertical="center" wrapText="1"/>
    </xf>
    <xf numFmtId="43" fontId="6" fillId="5" borderId="23" xfId="2" applyNumberFormat="1" applyFont="1" applyFill="1" applyBorder="1" applyAlignment="1">
      <alignment horizontal="center" vertical="center"/>
    </xf>
    <xf numFmtId="0" fontId="27" fillId="0" borderId="35" xfId="9" applyFont="1" applyBorder="1" applyAlignment="1">
      <alignment horizontal="center" vertical="center"/>
    </xf>
    <xf numFmtId="0" fontId="27" fillId="0" borderId="42" xfId="9" applyFont="1" applyFill="1" applyBorder="1" applyAlignment="1">
      <alignment horizontal="left" vertical="center" wrapText="1"/>
    </xf>
    <xf numFmtId="43" fontId="6" fillId="5" borderId="42" xfId="2" applyNumberFormat="1" applyFont="1" applyFill="1" applyBorder="1" applyAlignment="1">
      <alignment horizontal="center" vertical="center"/>
    </xf>
    <xf numFmtId="0" fontId="6" fillId="2" borderId="0" xfId="10" applyFont="1" applyFill="1" applyBorder="1" applyAlignment="1">
      <alignment horizontal="center" vertical="center"/>
    </xf>
    <xf numFmtId="49" fontId="31" fillId="0" borderId="0" xfId="10" applyNumberFormat="1" applyFont="1" applyBorder="1" applyAlignment="1">
      <alignment horizontal="center" vertical="top" wrapText="1"/>
    </xf>
    <xf numFmtId="0" fontId="6" fillId="0" borderId="0" xfId="10" applyFont="1" applyBorder="1" applyAlignment="1">
      <alignment horizontal="center" vertical="center"/>
    </xf>
    <xf numFmtId="0" fontId="27" fillId="0" borderId="0" xfId="10" applyFont="1" applyBorder="1" applyAlignment="1">
      <alignment horizontal="left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" fontId="4" fillId="0" borderId="0" xfId="1" applyNumberFormat="1" applyFont="1" applyBorder="1" applyAlignment="1">
      <alignment horizontal="center" vertical="center"/>
    </xf>
    <xf numFmtId="0" fontId="20" fillId="0" borderId="0" xfId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12" fillId="0" borderId="0" xfId="1" applyFont="1" applyBorder="1" applyAlignment="1">
      <alignment horizontal="center" vertical="center" wrapText="1"/>
    </xf>
    <xf numFmtId="171" fontId="28" fillId="7" borderId="1" xfId="8" applyNumberFormat="1" applyFont="1" applyFill="1" applyBorder="1" applyAlignment="1">
      <alignment horizontal="center" vertical="center" wrapText="1"/>
    </xf>
    <xf numFmtId="172" fontId="28" fillId="7" borderId="1" xfId="8" applyNumberFormat="1" applyFont="1" applyFill="1" applyBorder="1" applyAlignment="1">
      <alignment horizontal="center" vertical="center" wrapText="1"/>
    </xf>
  </cellXfs>
  <cellStyles count="12">
    <cellStyle name="Moeda" xfId="5" builtinId="4"/>
    <cellStyle name="Moeda 2" xfId="4"/>
    <cellStyle name="Normal" xfId="0" builtinId="0"/>
    <cellStyle name="Normal 2" xfId="1"/>
    <cellStyle name="Normal 2 2 2" xfId="9"/>
    <cellStyle name="Normal 3" xfId="6"/>
    <cellStyle name="Normal 4" xfId="10"/>
    <cellStyle name="Normal_Pesquisa no referencial 10 de maio de 2013" xfId="8"/>
    <cellStyle name="Separador de milhares" xfId="2" builtinId="3"/>
    <cellStyle name="Separador de milhares 2" xfId="3"/>
    <cellStyle name="Separador de milhares 2 2" xfId="11"/>
    <cellStyle name="Vírgula 2" xfId="7"/>
  </cellStyles>
  <dxfs count="129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17009</xdr:colOff>
      <xdr:row>0</xdr:row>
      <xdr:rowOff>22112</xdr:rowOff>
    </xdr:from>
    <xdr:to>
      <xdr:col>1</xdr:col>
      <xdr:colOff>676275</xdr:colOff>
      <xdr:row>2</xdr:row>
      <xdr:rowOff>171450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009" y="22112"/>
          <a:ext cx="1202191" cy="5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41162</xdr:rowOff>
    </xdr:from>
    <xdr:to>
      <xdr:col>1</xdr:col>
      <xdr:colOff>523875</xdr:colOff>
      <xdr:row>3</xdr:row>
      <xdr:rowOff>47624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03087"/>
          <a:ext cx="1076325" cy="492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66675</xdr:rowOff>
    </xdr:from>
    <xdr:to>
      <xdr:col>1</xdr:col>
      <xdr:colOff>504825</xdr:colOff>
      <xdr:row>3</xdr:row>
      <xdr:rowOff>66675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66675"/>
          <a:ext cx="1285875" cy="4857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</xdr:col>
      <xdr:colOff>641350</xdr:colOff>
      <xdr:row>2</xdr:row>
      <xdr:rowOff>142875</xdr:rowOff>
    </xdr:to>
    <xdr:pic>
      <xdr:nvPicPr>
        <xdr:cNvPr id="2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1219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65597</xdr:colOff>
      <xdr:row>0</xdr:row>
      <xdr:rowOff>53915</xdr:rowOff>
    </xdr:from>
    <xdr:to>
      <xdr:col>1</xdr:col>
      <xdr:colOff>1189547</xdr:colOff>
      <xdr:row>2</xdr:row>
      <xdr:rowOff>187085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597" y="53915"/>
          <a:ext cx="1734988" cy="5015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231;amento/UEP%20-%20Thamar/Conv&#234;nios%20a%20partir%20de%202015/PM%20Ibitit&#225;/An&#225;lise%20de%20custo%20conv&#234;ni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 I"/>
      <sheetName val="Memo 1"/>
      <sheetName val="Comp"/>
      <sheetName val="Plan II"/>
    </sheetNames>
    <sheetDataSet>
      <sheetData sheetId="0" refreshError="1">
        <row r="12">
          <cell r="B12" t="str">
            <v>Serviços topográficos p/ pavimentação, inclusive acompanhamento e greide</v>
          </cell>
        </row>
        <row r="14">
          <cell r="B14" t="str">
            <v>Placa da obra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5"/>
  <sheetViews>
    <sheetView showGridLines="0" tabSelected="1" zoomScaleNormal="100" zoomScaleSheetLayoutView="100" workbookViewId="0">
      <selection activeCell="I9" sqref="I9"/>
    </sheetView>
  </sheetViews>
  <sheetFormatPr defaultRowHeight="12.75"/>
  <cols>
    <col min="1" max="1" width="8.140625" style="2" customWidth="1"/>
    <col min="2" max="2" width="12.5703125" style="2" customWidth="1"/>
    <col min="3" max="3" width="63" style="2" customWidth="1"/>
    <col min="4" max="4" width="4.85546875" style="2" bestFit="1" customWidth="1"/>
    <col min="5" max="5" width="15" style="3" bestFit="1" customWidth="1"/>
    <col min="6" max="6" width="14" style="3" bestFit="1" customWidth="1"/>
    <col min="7" max="7" width="12.7109375" style="4" bestFit="1" customWidth="1"/>
    <col min="8" max="8" width="9.140625" style="2"/>
    <col min="9" max="9" width="11.85546875" style="2" bestFit="1" customWidth="1"/>
    <col min="10" max="10" width="52.28515625" style="2" customWidth="1"/>
    <col min="11" max="16384" width="9.140625" style="2"/>
  </cols>
  <sheetData>
    <row r="1" spans="1:9" customFormat="1">
      <c r="A1" s="235" t="s">
        <v>418</v>
      </c>
      <c r="B1" s="235"/>
      <c r="C1" s="235"/>
      <c r="D1" s="235"/>
      <c r="E1" s="235"/>
      <c r="F1" s="235"/>
      <c r="G1" s="235"/>
    </row>
    <row r="2" spans="1:9" customFormat="1" ht="16.5" customHeight="1">
      <c r="A2" s="235" t="s">
        <v>313</v>
      </c>
      <c r="B2" s="235"/>
      <c r="C2" s="235"/>
      <c r="D2" s="235"/>
      <c r="E2" s="235"/>
      <c r="F2" s="235"/>
      <c r="G2" s="235"/>
    </row>
    <row r="3" spans="1:9" customFormat="1" ht="16.5" customHeight="1">
      <c r="A3" s="235" t="s">
        <v>311</v>
      </c>
      <c r="B3" s="235"/>
      <c r="C3" s="235"/>
      <c r="D3" s="235"/>
      <c r="E3" s="235"/>
      <c r="F3" s="235"/>
      <c r="G3" s="235"/>
    </row>
    <row r="4" spans="1:9" customFormat="1">
      <c r="A4" s="236" t="s">
        <v>474</v>
      </c>
      <c r="B4" s="236"/>
      <c r="C4" s="236"/>
      <c r="D4" s="236"/>
      <c r="E4" s="236"/>
      <c r="F4" s="236"/>
      <c r="G4" s="236"/>
    </row>
    <row r="5" spans="1:9" customFormat="1" ht="12" customHeight="1">
      <c r="A5" s="39"/>
      <c r="B5" s="39"/>
      <c r="C5" s="39"/>
      <c r="D5" s="39"/>
      <c r="E5" s="39"/>
      <c r="F5" s="39"/>
      <c r="G5" s="39"/>
    </row>
    <row r="6" spans="1:9" customFormat="1" ht="31.5" customHeight="1">
      <c r="A6" s="230" t="s">
        <v>310</v>
      </c>
      <c r="B6" s="230"/>
      <c r="C6" s="230"/>
      <c r="D6" s="230"/>
      <c r="E6" s="230"/>
      <c r="F6" s="230"/>
      <c r="G6" s="230"/>
    </row>
    <row r="7" spans="1:9" customFormat="1" ht="6" customHeight="1">
      <c r="A7" s="41"/>
      <c r="B7" s="41"/>
      <c r="C7" s="41"/>
      <c r="D7" s="41"/>
      <c r="E7" s="41"/>
      <c r="F7" s="41"/>
      <c r="G7" s="41"/>
    </row>
    <row r="8" spans="1:9" customFormat="1" ht="18" customHeight="1">
      <c r="A8" s="41"/>
      <c r="B8" s="25"/>
      <c r="C8" s="231" t="s">
        <v>22</v>
      </c>
      <c r="D8" s="231"/>
      <c r="E8" s="231"/>
      <c r="F8" s="232"/>
      <c r="G8" s="199">
        <v>22.01</v>
      </c>
    </row>
    <row r="9" spans="1:9" customFormat="1" ht="15">
      <c r="A9" s="41"/>
      <c r="B9" s="14"/>
      <c r="C9" s="231" t="s">
        <v>23</v>
      </c>
      <c r="D9" s="231"/>
      <c r="E9" s="231"/>
      <c r="F9" s="232"/>
      <c r="G9" s="200">
        <v>116.85</v>
      </c>
    </row>
    <row r="10" spans="1:9" customFormat="1" ht="24" customHeight="1">
      <c r="A10" s="41"/>
      <c r="B10" s="42"/>
      <c r="C10" s="233" t="s">
        <v>317</v>
      </c>
      <c r="D10" s="233"/>
      <c r="E10" s="233"/>
      <c r="F10" s="233"/>
      <c r="G10" s="233"/>
    </row>
    <row r="11" spans="1:9" ht="15.75">
      <c r="A11" s="38"/>
      <c r="B11" s="38"/>
      <c r="C11" s="38"/>
      <c r="D11" s="18"/>
      <c r="E11" s="18"/>
      <c r="F11" s="18"/>
      <c r="G11" s="18"/>
    </row>
    <row r="12" spans="1:9" ht="21" customHeight="1">
      <c r="A12" s="227" t="s">
        <v>19</v>
      </c>
      <c r="B12" s="228"/>
      <c r="C12" s="228"/>
      <c r="D12" s="228"/>
      <c r="E12" s="228"/>
      <c r="F12" s="228"/>
      <c r="G12" s="229"/>
    </row>
    <row r="13" spans="1:9" ht="21" customHeight="1" thickBot="1">
      <c r="A13" s="234"/>
      <c r="B13" s="234"/>
      <c r="C13" s="234"/>
      <c r="D13" s="234"/>
      <c r="E13" s="234"/>
      <c r="F13" s="234"/>
      <c r="G13" s="234"/>
    </row>
    <row r="14" spans="1:9" ht="27" customHeight="1">
      <c r="A14" s="188" t="s">
        <v>37</v>
      </c>
      <c r="B14" s="189" t="s">
        <v>39</v>
      </c>
      <c r="C14" s="189" t="s">
        <v>1</v>
      </c>
      <c r="D14" s="190" t="s">
        <v>2</v>
      </c>
      <c r="E14" s="191" t="s">
        <v>52</v>
      </c>
      <c r="F14" s="191" t="s">
        <v>228</v>
      </c>
      <c r="G14" s="192" t="s">
        <v>25</v>
      </c>
    </row>
    <row r="15" spans="1:9" ht="20.100000000000001" customHeight="1">
      <c r="A15" s="26">
        <v>1</v>
      </c>
      <c r="B15" s="201" t="s">
        <v>3</v>
      </c>
      <c r="C15" s="201"/>
      <c r="D15" s="202"/>
      <c r="E15" s="202"/>
      <c r="F15" s="202"/>
      <c r="G15" s="203"/>
    </row>
    <row r="16" spans="1:9" ht="18" customHeight="1">
      <c r="A16" s="184" t="s">
        <v>41</v>
      </c>
      <c r="B16" s="34" t="str">
        <f>'Compô''s'!A11</f>
        <v>CPU-01</v>
      </c>
      <c r="C16" s="10" t="s">
        <v>449</v>
      </c>
      <c r="D16" s="183" t="s">
        <v>18</v>
      </c>
      <c r="E16" s="35">
        <v>100</v>
      </c>
      <c r="F16" s="37">
        <f>'Compô''s'!G21</f>
        <v>356.53</v>
      </c>
      <c r="G16" s="15">
        <f>ROUND(E16*F16,2)</f>
        <v>35653</v>
      </c>
      <c r="I16" s="28"/>
    </row>
    <row r="17" spans="1:12" ht="18" customHeight="1">
      <c r="A17" s="184" t="s">
        <v>42</v>
      </c>
      <c r="B17" s="34" t="str">
        <f>'Compô''s'!A23</f>
        <v>CPU-02</v>
      </c>
      <c r="C17" s="10" t="s">
        <v>455</v>
      </c>
      <c r="D17" s="183" t="s">
        <v>454</v>
      </c>
      <c r="E17" s="35">
        <v>6</v>
      </c>
      <c r="F17" s="37">
        <f>'Compô''s'!G27</f>
        <v>817.47</v>
      </c>
      <c r="G17" s="15">
        <f>ROUND(E17*F17,2)</f>
        <v>4904.82</v>
      </c>
      <c r="J17" s="3"/>
    </row>
    <row r="18" spans="1:12" ht="18" customHeight="1">
      <c r="A18" s="184" t="s">
        <v>43</v>
      </c>
      <c r="B18" s="34" t="str">
        <f>'Compô''s'!A29</f>
        <v>CPU-03</v>
      </c>
      <c r="C18" s="10" t="s">
        <v>450</v>
      </c>
      <c r="D18" s="183" t="s">
        <v>417</v>
      </c>
      <c r="E18" s="35">
        <f>Mobilização!F25</f>
        <v>200</v>
      </c>
      <c r="F18" s="37">
        <f>'Compô''s'!G37</f>
        <v>5.33</v>
      </c>
      <c r="G18" s="15">
        <f>ROUND(E18*F18,2)</f>
        <v>1066</v>
      </c>
      <c r="J18" s="3"/>
    </row>
    <row r="19" spans="1:12" ht="18" customHeight="1">
      <c r="A19" s="184" t="s">
        <v>57</v>
      </c>
      <c r="B19" s="34" t="str">
        <f>'Compô''s'!A29</f>
        <v>CPU-03</v>
      </c>
      <c r="C19" s="10" t="s">
        <v>451</v>
      </c>
      <c r="D19" s="183" t="s">
        <v>417</v>
      </c>
      <c r="E19" s="35">
        <f>E18</f>
        <v>200</v>
      </c>
      <c r="F19" s="37">
        <f>F18</f>
        <v>5.33</v>
      </c>
      <c r="G19" s="15">
        <f>ROUND(E19*F19,2)</f>
        <v>1066</v>
      </c>
      <c r="L19" s="3"/>
    </row>
    <row r="20" spans="1:12" ht="18" customHeight="1">
      <c r="A20" s="184" t="s">
        <v>182</v>
      </c>
      <c r="B20" s="34" t="str">
        <f>'Compô''s'!A39</f>
        <v>CPU-04</v>
      </c>
      <c r="C20" s="10" t="s">
        <v>452</v>
      </c>
      <c r="D20" s="183" t="s">
        <v>9</v>
      </c>
      <c r="E20" s="35">
        <f>Meno!H13</f>
        <v>6</v>
      </c>
      <c r="F20" s="37">
        <f>'Compô''s'!G49</f>
        <v>342.23</v>
      </c>
      <c r="G20" s="15">
        <f>ROUND(E20*F20,2)</f>
        <v>2053.38</v>
      </c>
      <c r="J20" s="3"/>
    </row>
    <row r="21" spans="1:12" ht="20.100000000000001" customHeight="1">
      <c r="A21" s="222"/>
      <c r="B21" s="223"/>
      <c r="C21" s="223"/>
      <c r="D21" s="207" t="s">
        <v>58</v>
      </c>
      <c r="E21" s="207"/>
      <c r="F21" s="207"/>
      <c r="G21" s="16">
        <f>SUM(G16:G20)</f>
        <v>44743.199999999997</v>
      </c>
    </row>
    <row r="22" spans="1:12" ht="21.95" customHeight="1">
      <c r="A22" s="26">
        <v>2</v>
      </c>
      <c r="B22" s="201" t="s">
        <v>314</v>
      </c>
      <c r="C22" s="201"/>
      <c r="D22" s="202"/>
      <c r="E22" s="202"/>
      <c r="F22" s="202"/>
      <c r="G22" s="203"/>
      <c r="J22" s="28"/>
      <c r="K22" s="28"/>
      <c r="L22" s="28"/>
    </row>
    <row r="23" spans="1:12" ht="21.95" customHeight="1">
      <c r="A23" s="26" t="s">
        <v>44</v>
      </c>
      <c r="B23" s="201" t="s">
        <v>622</v>
      </c>
      <c r="C23" s="201"/>
      <c r="D23" s="202"/>
      <c r="E23" s="202"/>
      <c r="F23" s="202"/>
      <c r="G23" s="203"/>
    </row>
    <row r="24" spans="1:12" ht="26.25" customHeight="1">
      <c r="A24" s="184" t="s">
        <v>304</v>
      </c>
      <c r="B24" s="34" t="str">
        <f>'Compô''s'!A51</f>
        <v>CPU-05</v>
      </c>
      <c r="C24" s="10" t="s">
        <v>456</v>
      </c>
      <c r="D24" s="183" t="s">
        <v>9</v>
      </c>
      <c r="E24" s="35">
        <f>SUM(E28:E31)</f>
        <v>2074.64</v>
      </c>
      <c r="F24" s="37">
        <f>'Compô''s'!G60</f>
        <v>0.54</v>
      </c>
      <c r="G24" s="15">
        <f>ROUND(E24*F24,2)</f>
        <v>1120.31</v>
      </c>
    </row>
    <row r="25" spans="1:12" ht="21.95" customHeight="1">
      <c r="A25" s="222"/>
      <c r="B25" s="223"/>
      <c r="C25" s="223"/>
      <c r="D25" s="207" t="s">
        <v>285</v>
      </c>
      <c r="E25" s="207"/>
      <c r="F25" s="207"/>
      <c r="G25" s="16">
        <f>SUM(G24:G24)</f>
        <v>1120.31</v>
      </c>
    </row>
    <row r="26" spans="1:12" ht="21.95" customHeight="1">
      <c r="A26" s="26" t="s">
        <v>190</v>
      </c>
      <c r="B26" s="201" t="s">
        <v>45</v>
      </c>
      <c r="C26" s="201"/>
      <c r="D26" s="202"/>
      <c r="E26" s="202"/>
      <c r="F26" s="202"/>
      <c r="G26" s="203"/>
    </row>
    <row r="27" spans="1:12" ht="38.25">
      <c r="A27" s="184" t="s">
        <v>229</v>
      </c>
      <c r="B27" s="34" t="str">
        <f>'Compô''s'!A62</f>
        <v>CPU-06</v>
      </c>
      <c r="C27" s="10" t="s">
        <v>481</v>
      </c>
      <c r="D27" s="183" t="s">
        <v>8</v>
      </c>
      <c r="E27" s="35">
        <f>Meno!H18</f>
        <v>514.16999999999996</v>
      </c>
      <c r="F27" s="37">
        <f>'Compô''s'!G70</f>
        <v>45.75</v>
      </c>
      <c r="G27" s="15">
        <f t="shared" ref="G27:G32" si="0">ROUND(E27*F27,2)</f>
        <v>23523.279999999999</v>
      </c>
    </row>
    <row r="28" spans="1:12" ht="27" customHeight="1">
      <c r="A28" s="184" t="s">
        <v>230</v>
      </c>
      <c r="B28" s="34" t="str">
        <f>'Compô''s'!A72</f>
        <v>CPU-07</v>
      </c>
      <c r="C28" s="10" t="s">
        <v>482</v>
      </c>
      <c r="D28" s="183" t="s">
        <v>9</v>
      </c>
      <c r="E28" s="35">
        <f>Meno!F27</f>
        <v>459.68000000000006</v>
      </c>
      <c r="F28" s="37">
        <f>'Compô''s'!G81</f>
        <v>26.73</v>
      </c>
      <c r="G28" s="15">
        <f t="shared" si="0"/>
        <v>12287.25</v>
      </c>
      <c r="I28" s="96"/>
    </row>
    <row r="29" spans="1:12" ht="18" customHeight="1">
      <c r="A29" s="184" t="s">
        <v>231</v>
      </c>
      <c r="B29" s="34" t="str">
        <f>'Compô''s'!A83</f>
        <v>CPU-08</v>
      </c>
      <c r="C29" s="10" t="s">
        <v>485</v>
      </c>
      <c r="D29" s="183" t="s">
        <v>9</v>
      </c>
      <c r="E29" s="35">
        <f>Meno!L25</f>
        <v>7.6</v>
      </c>
      <c r="F29" s="37">
        <f>'Compô''s'!G90</f>
        <v>82.34</v>
      </c>
      <c r="G29" s="15">
        <f t="shared" si="0"/>
        <v>625.78</v>
      </c>
    </row>
    <row r="30" spans="1:12" ht="25.5">
      <c r="A30" s="184" t="s">
        <v>232</v>
      </c>
      <c r="B30" s="34" t="str">
        <f>'Compô''s'!A92</f>
        <v>CPU-09</v>
      </c>
      <c r="C30" s="10" t="s">
        <v>483</v>
      </c>
      <c r="D30" s="183" t="s">
        <v>9</v>
      </c>
      <c r="E30" s="35">
        <f>Meno!N50</f>
        <v>901.45</v>
      </c>
      <c r="F30" s="37">
        <f>'Compô''s'!G104</f>
        <v>60.71</v>
      </c>
      <c r="G30" s="15">
        <f t="shared" si="0"/>
        <v>54727.03</v>
      </c>
    </row>
    <row r="31" spans="1:12" ht="17.25" customHeight="1">
      <c r="A31" s="184" t="s">
        <v>233</v>
      </c>
      <c r="B31" s="34" t="str">
        <f>B28</f>
        <v>CPU-07</v>
      </c>
      <c r="C31" s="10" t="s">
        <v>422</v>
      </c>
      <c r="D31" s="183" t="s">
        <v>9</v>
      </c>
      <c r="E31" s="35">
        <f>Meno!L41</f>
        <v>705.90999999999985</v>
      </c>
      <c r="F31" s="37">
        <f>F28</f>
        <v>26.73</v>
      </c>
      <c r="G31" s="15">
        <f t="shared" si="0"/>
        <v>18868.97</v>
      </c>
    </row>
    <row r="32" spans="1:12" ht="18" customHeight="1">
      <c r="A32" s="184" t="s">
        <v>234</v>
      </c>
      <c r="B32" s="34" t="str">
        <f>'Compô''s'!A106</f>
        <v>CPU-10</v>
      </c>
      <c r="C32" s="10" t="s">
        <v>484</v>
      </c>
      <c r="D32" s="183" t="s">
        <v>9</v>
      </c>
      <c r="E32" s="161">
        <f>Meno!H43</f>
        <v>152.20000000000002</v>
      </c>
      <c r="F32" s="37">
        <f>'Compô''s'!G112</f>
        <v>17.510000000000002</v>
      </c>
      <c r="G32" s="15">
        <f t="shared" si="0"/>
        <v>2665.02</v>
      </c>
    </row>
    <row r="33" spans="1:7" ht="21.95" customHeight="1">
      <c r="A33" s="222"/>
      <c r="B33" s="223"/>
      <c r="C33" s="223"/>
      <c r="D33" s="207" t="s">
        <v>262</v>
      </c>
      <c r="E33" s="207"/>
      <c r="F33" s="207"/>
      <c r="G33" s="16">
        <f>SUM(G27:G32)</f>
        <v>112697.33</v>
      </c>
    </row>
    <row r="34" spans="1:7" ht="21.95" customHeight="1">
      <c r="A34" s="26" t="s">
        <v>191</v>
      </c>
      <c r="B34" s="201" t="s">
        <v>611</v>
      </c>
      <c r="C34" s="201"/>
      <c r="D34" s="224"/>
      <c r="E34" s="225"/>
      <c r="F34" s="225"/>
      <c r="G34" s="226"/>
    </row>
    <row r="35" spans="1:7" ht="18" customHeight="1">
      <c r="A35" s="184" t="s">
        <v>235</v>
      </c>
      <c r="B35" s="34" t="str">
        <f>'Compô''s'!A114</f>
        <v>CPU-11</v>
      </c>
      <c r="C35" s="10" t="s">
        <v>491</v>
      </c>
      <c r="D35" s="183" t="s">
        <v>0</v>
      </c>
      <c r="E35" s="35">
        <f>Meno!P71</f>
        <v>12.542400000000001</v>
      </c>
      <c r="F35" s="37">
        <f>'Compô''s'!G118</f>
        <v>77.28</v>
      </c>
      <c r="G35" s="15">
        <f t="shared" ref="G35:G45" si="1">ROUND(E35*F35,2)</f>
        <v>969.28</v>
      </c>
    </row>
    <row r="36" spans="1:7" ht="27" customHeight="1">
      <c r="A36" s="184" t="s">
        <v>236</v>
      </c>
      <c r="B36" s="34" t="str">
        <f>'Compô''s'!A120</f>
        <v>CPU-12</v>
      </c>
      <c r="C36" s="10" t="s">
        <v>501</v>
      </c>
      <c r="D36" s="183" t="s">
        <v>515</v>
      </c>
      <c r="E36" s="35">
        <f>Meno!R73</f>
        <v>14.945742000000001</v>
      </c>
      <c r="F36" s="37">
        <f>'Compô''s'!G128</f>
        <v>10.36</v>
      </c>
      <c r="G36" s="15">
        <f t="shared" si="1"/>
        <v>154.84</v>
      </c>
    </row>
    <row r="37" spans="1:7" ht="27" customHeight="1">
      <c r="A37" s="184" t="s">
        <v>237</v>
      </c>
      <c r="B37" s="34" t="str">
        <f>'Compô''s'!A130</f>
        <v>CPU-13</v>
      </c>
      <c r="C37" s="10" t="s">
        <v>502</v>
      </c>
      <c r="D37" s="183" t="s">
        <v>515</v>
      </c>
      <c r="E37" s="35">
        <f>Meno!R74</f>
        <v>14.945742000000001</v>
      </c>
      <c r="F37" s="37">
        <f>'Compô''s'!G138</f>
        <v>8.42</v>
      </c>
      <c r="G37" s="15">
        <f t="shared" si="1"/>
        <v>125.84</v>
      </c>
    </row>
    <row r="38" spans="1:7" ht="27" customHeight="1">
      <c r="A38" s="184" t="s">
        <v>238</v>
      </c>
      <c r="B38" s="34" t="str">
        <f>'Compô''s'!A140</f>
        <v>CPU-14</v>
      </c>
      <c r="C38" s="10" t="s">
        <v>503</v>
      </c>
      <c r="D38" s="183" t="s">
        <v>515</v>
      </c>
      <c r="E38" s="35">
        <f>Meno!N75</f>
        <v>19.927656000000002</v>
      </c>
      <c r="F38" s="37">
        <f>'Compô''s'!G148</f>
        <v>12.66</v>
      </c>
      <c r="G38" s="15">
        <f t="shared" si="1"/>
        <v>252.28</v>
      </c>
    </row>
    <row r="39" spans="1:7" ht="27" customHeight="1">
      <c r="A39" s="184" t="s">
        <v>239</v>
      </c>
      <c r="B39" s="34" t="str">
        <f>'Compô''s'!A150</f>
        <v>CPU-15</v>
      </c>
      <c r="C39" s="10" t="s">
        <v>504</v>
      </c>
      <c r="D39" s="183" t="s">
        <v>9</v>
      </c>
      <c r="E39" s="35">
        <f>Meno!F76</f>
        <v>232.04999999999998</v>
      </c>
      <c r="F39" s="37">
        <f>'Compô''s'!G160</f>
        <v>84.11</v>
      </c>
      <c r="G39" s="15">
        <f t="shared" si="1"/>
        <v>19517.73</v>
      </c>
    </row>
    <row r="40" spans="1:7" ht="27" customHeight="1">
      <c r="A40" s="184" t="s">
        <v>240</v>
      </c>
      <c r="B40" s="34" t="str">
        <f>'Compô''s'!A162</f>
        <v>CPU-16</v>
      </c>
      <c r="C40" s="10" t="s">
        <v>505</v>
      </c>
      <c r="D40" s="183" t="s">
        <v>0</v>
      </c>
      <c r="E40" s="35">
        <f>Meno!F82</f>
        <v>26.220600000000001</v>
      </c>
      <c r="F40" s="37">
        <f>'Compô''s'!G172</f>
        <v>413.96</v>
      </c>
      <c r="G40" s="15">
        <f t="shared" si="1"/>
        <v>10854.28</v>
      </c>
    </row>
    <row r="41" spans="1:7" ht="21.75" customHeight="1">
      <c r="A41" s="184" t="s">
        <v>241</v>
      </c>
      <c r="B41" s="34" t="str">
        <f>B49</f>
        <v>CPU-22</v>
      </c>
      <c r="C41" s="27" t="s">
        <v>477</v>
      </c>
      <c r="D41" s="183" t="s">
        <v>9</v>
      </c>
      <c r="E41" s="35">
        <f>Meno!R89</f>
        <v>15.700000000000001</v>
      </c>
      <c r="F41" s="37">
        <f>F49</f>
        <v>81.45</v>
      </c>
      <c r="G41" s="15">
        <f t="shared" si="1"/>
        <v>1278.77</v>
      </c>
    </row>
    <row r="42" spans="1:7" ht="20.25" customHeight="1">
      <c r="A42" s="184" t="s">
        <v>242</v>
      </c>
      <c r="B42" s="34" t="str">
        <f>B28</f>
        <v>CPU-07</v>
      </c>
      <c r="C42" s="27" t="s">
        <v>588</v>
      </c>
      <c r="D42" s="183" t="s">
        <v>9</v>
      </c>
      <c r="E42" s="35">
        <f>Meno!H92</f>
        <v>62.046399999999991</v>
      </c>
      <c r="F42" s="37">
        <f>F28</f>
        <v>26.73</v>
      </c>
      <c r="G42" s="15">
        <f t="shared" si="1"/>
        <v>1658.5</v>
      </c>
    </row>
    <row r="43" spans="1:7" ht="18" customHeight="1">
      <c r="A43" s="184" t="s">
        <v>263</v>
      </c>
      <c r="B43" s="34" t="str">
        <f>'Compô''s'!A174</f>
        <v>CPU-17</v>
      </c>
      <c r="C43" s="27" t="s">
        <v>49</v>
      </c>
      <c r="D43" s="183" t="s">
        <v>9</v>
      </c>
      <c r="E43" s="35">
        <f>Meno!H90</f>
        <v>31.400000000000002</v>
      </c>
      <c r="F43" s="37">
        <f>'Compô''s'!G180</f>
        <v>4.09</v>
      </c>
      <c r="G43" s="15">
        <f t="shared" si="1"/>
        <v>128.43</v>
      </c>
    </row>
    <row r="44" spans="1:7" ht="18" customHeight="1">
      <c r="A44" s="184" t="s">
        <v>264</v>
      </c>
      <c r="B44" s="34" t="str">
        <f>'Compô''s'!A182</f>
        <v>CPU-18</v>
      </c>
      <c r="C44" s="27" t="s">
        <v>267</v>
      </c>
      <c r="D44" s="183" t="s">
        <v>9</v>
      </c>
      <c r="E44" s="35">
        <f>Meno!H91</f>
        <v>31.400000000000002</v>
      </c>
      <c r="F44" s="37">
        <f>'Compô''s'!G188</f>
        <v>36.14</v>
      </c>
      <c r="G44" s="15">
        <f t="shared" si="1"/>
        <v>1134.8</v>
      </c>
    </row>
    <row r="45" spans="1:7" ht="18" customHeight="1">
      <c r="A45" s="184" t="s">
        <v>274</v>
      </c>
      <c r="B45" s="34" t="str">
        <f>'Compô''s'!A190</f>
        <v>CPU-19</v>
      </c>
      <c r="C45" s="10" t="s">
        <v>513</v>
      </c>
      <c r="D45" s="183" t="s">
        <v>9</v>
      </c>
      <c r="E45" s="35">
        <f>Meno!H93</f>
        <v>263.45</v>
      </c>
      <c r="F45" s="37">
        <f>'Compô''s'!G196</f>
        <v>13.85</v>
      </c>
      <c r="G45" s="15">
        <f t="shared" si="1"/>
        <v>3648.78</v>
      </c>
    </row>
    <row r="46" spans="1:7" ht="21.95" customHeight="1">
      <c r="A46" s="222"/>
      <c r="B46" s="223"/>
      <c r="C46" s="223"/>
      <c r="D46" s="207" t="s">
        <v>284</v>
      </c>
      <c r="E46" s="207"/>
      <c r="F46" s="207"/>
      <c r="G46" s="16">
        <f>SUM(G35:G45)</f>
        <v>39723.53</v>
      </c>
    </row>
    <row r="47" spans="1:7" ht="21.95" customHeight="1">
      <c r="A47" s="26" t="s">
        <v>192</v>
      </c>
      <c r="B47" s="201" t="s">
        <v>612</v>
      </c>
      <c r="C47" s="201"/>
      <c r="D47" s="202"/>
      <c r="E47" s="202"/>
      <c r="F47" s="202"/>
      <c r="G47" s="203"/>
    </row>
    <row r="48" spans="1:7" ht="18" customHeight="1">
      <c r="A48" s="184" t="s">
        <v>243</v>
      </c>
      <c r="B48" s="34" t="str">
        <f>B35</f>
        <v>CPU-11</v>
      </c>
      <c r="C48" s="27" t="s">
        <v>491</v>
      </c>
      <c r="D48" s="183" t="s">
        <v>0</v>
      </c>
      <c r="E48" s="35">
        <f>Meno!L110</f>
        <v>2.1761999999999997</v>
      </c>
      <c r="F48" s="37">
        <f>'Compô''s'!G118</f>
        <v>77.28</v>
      </c>
      <c r="G48" s="15">
        <f t="shared" ref="G48:G58" si="2">ROUND(E48*F48,2)</f>
        <v>168.18</v>
      </c>
    </row>
    <row r="49" spans="1:7" ht="18" customHeight="1">
      <c r="A49" s="184" t="s">
        <v>244</v>
      </c>
      <c r="B49" s="34" t="str">
        <f>'Compô''s'!A215</f>
        <v>CPU-22</v>
      </c>
      <c r="C49" s="27" t="s">
        <v>477</v>
      </c>
      <c r="D49" s="183" t="s">
        <v>9</v>
      </c>
      <c r="E49" s="35">
        <f>Meno!J119</f>
        <v>36.269999999999996</v>
      </c>
      <c r="F49" s="37">
        <f>'Compô''s'!G224</f>
        <v>81.45</v>
      </c>
      <c r="G49" s="15">
        <f t="shared" si="2"/>
        <v>2954.19</v>
      </c>
    </row>
    <row r="50" spans="1:7" ht="25.5">
      <c r="A50" s="184" t="s">
        <v>245</v>
      </c>
      <c r="B50" s="34" t="str">
        <f>'Compô''s'!A226</f>
        <v>CPU-23</v>
      </c>
      <c r="C50" s="27" t="s">
        <v>519</v>
      </c>
      <c r="D50" s="183" t="s">
        <v>515</v>
      </c>
      <c r="E50" s="35">
        <f>Meno!N112</f>
        <v>3.2497919999999993</v>
      </c>
      <c r="F50" s="37">
        <f>'Compô''s'!G234</f>
        <v>10.79</v>
      </c>
      <c r="G50" s="15">
        <f t="shared" si="2"/>
        <v>35.07</v>
      </c>
    </row>
    <row r="51" spans="1:7" ht="27" customHeight="1">
      <c r="A51" s="184" t="s">
        <v>246</v>
      </c>
      <c r="B51" s="34" t="str">
        <f>B38</f>
        <v>CPU-14</v>
      </c>
      <c r="C51" s="27" t="s">
        <v>503</v>
      </c>
      <c r="D51" s="183" t="s">
        <v>515</v>
      </c>
      <c r="E51" s="35">
        <f>Meno!N113</f>
        <v>2.1665279999999996</v>
      </c>
      <c r="F51" s="37">
        <f>F38</f>
        <v>12.66</v>
      </c>
      <c r="G51" s="15">
        <f t="shared" si="2"/>
        <v>27.43</v>
      </c>
    </row>
    <row r="52" spans="1:7" ht="25.5">
      <c r="A52" s="184" t="s">
        <v>247</v>
      </c>
      <c r="B52" s="34" t="str">
        <f>B39</f>
        <v>CPU-15</v>
      </c>
      <c r="C52" s="27" t="s">
        <v>504</v>
      </c>
      <c r="D52" s="183" t="s">
        <v>9</v>
      </c>
      <c r="E52" s="35">
        <f>Meno!H115</f>
        <v>24.18</v>
      </c>
      <c r="F52" s="37">
        <f>F39</f>
        <v>84.11</v>
      </c>
      <c r="G52" s="15">
        <f t="shared" si="2"/>
        <v>2033.78</v>
      </c>
    </row>
    <row r="53" spans="1:7" ht="25.5">
      <c r="A53" s="184" t="s">
        <v>248</v>
      </c>
      <c r="B53" s="34" t="str">
        <f>B40</f>
        <v>CPU-16</v>
      </c>
      <c r="C53" s="27" t="s">
        <v>505</v>
      </c>
      <c r="D53" s="183" t="s">
        <v>0</v>
      </c>
      <c r="E53" s="35">
        <f>Meno!F116</f>
        <v>3.3851999999999998</v>
      </c>
      <c r="F53" s="37">
        <f>F40</f>
        <v>413.96</v>
      </c>
      <c r="G53" s="15">
        <f t="shared" si="2"/>
        <v>1401.34</v>
      </c>
    </row>
    <row r="54" spans="1:7" ht="25.5">
      <c r="A54" s="184" t="s">
        <v>249</v>
      </c>
      <c r="B54" s="34" t="str">
        <f>'Compô''s'!A236</f>
        <v>CPU-24</v>
      </c>
      <c r="C54" s="27" t="s">
        <v>520</v>
      </c>
      <c r="D54" s="183" t="s">
        <v>9</v>
      </c>
      <c r="E54" s="35">
        <f>Meno!H120</f>
        <v>24.18</v>
      </c>
      <c r="F54" s="37">
        <f>'Compô''s'!G248</f>
        <v>89.48</v>
      </c>
      <c r="G54" s="15">
        <f t="shared" si="2"/>
        <v>2163.63</v>
      </c>
    </row>
    <row r="55" spans="1:7" ht="16.5" customHeight="1">
      <c r="A55" s="184" t="s">
        <v>605</v>
      </c>
      <c r="B55" s="34" t="str">
        <f>B43</f>
        <v>CPU-17</v>
      </c>
      <c r="C55" s="27" t="s">
        <v>49</v>
      </c>
      <c r="D55" s="183" t="s">
        <v>9</v>
      </c>
      <c r="E55" s="35">
        <f>Meno!J121</f>
        <v>24.18</v>
      </c>
      <c r="F55" s="37">
        <f>'Compô''s'!G192</f>
        <v>4.57</v>
      </c>
      <c r="G55" s="15">
        <f t="shared" si="2"/>
        <v>110.5</v>
      </c>
    </row>
    <row r="56" spans="1:7" ht="18.75" customHeight="1">
      <c r="A56" s="184" t="s">
        <v>606</v>
      </c>
      <c r="B56" s="34" t="str">
        <f>B44</f>
        <v>CPU-18</v>
      </c>
      <c r="C56" s="27" t="s">
        <v>267</v>
      </c>
      <c r="D56" s="183" t="s">
        <v>9</v>
      </c>
      <c r="E56" s="35">
        <f>Meno!J122</f>
        <v>24.18</v>
      </c>
      <c r="F56" s="37">
        <f>'Compô''s'!G200</f>
        <v>5.07</v>
      </c>
      <c r="G56" s="15">
        <f t="shared" si="2"/>
        <v>122.59</v>
      </c>
    </row>
    <row r="57" spans="1:7" ht="18.75" customHeight="1">
      <c r="A57" s="184" t="s">
        <v>607</v>
      </c>
      <c r="B57" s="34" t="str">
        <f>B32</f>
        <v>CPU-10</v>
      </c>
      <c r="C57" s="27" t="str">
        <f>C32</f>
        <v>Pintura acrílica em piso de cimentado, duas demãos</v>
      </c>
      <c r="D57" s="183" t="s">
        <v>9</v>
      </c>
      <c r="E57" s="35">
        <f>Meno!F123</f>
        <v>24.18</v>
      </c>
      <c r="F57" s="37">
        <f>F32</f>
        <v>17.510000000000002</v>
      </c>
      <c r="G57" s="15">
        <f t="shared" si="2"/>
        <v>423.39</v>
      </c>
    </row>
    <row r="58" spans="1:7" ht="21.75" customHeight="1">
      <c r="A58" s="184" t="s">
        <v>618</v>
      </c>
      <c r="B58" s="34" t="str">
        <f>B66</f>
        <v>CPU-19</v>
      </c>
      <c r="C58" s="10" t="str">
        <f>C66</f>
        <v>Aplicação de textura, 01 demão</v>
      </c>
      <c r="D58" s="183" t="s">
        <v>9</v>
      </c>
      <c r="E58" s="35">
        <f>Meno!F124</f>
        <v>24.18</v>
      </c>
      <c r="F58" s="37">
        <f>F66</f>
        <v>13.85</v>
      </c>
      <c r="G58" s="15">
        <f t="shared" si="2"/>
        <v>334.89</v>
      </c>
    </row>
    <row r="59" spans="1:7" ht="21.95" customHeight="1">
      <c r="A59" s="222"/>
      <c r="B59" s="223"/>
      <c r="C59" s="223"/>
      <c r="D59" s="207" t="s">
        <v>283</v>
      </c>
      <c r="E59" s="207"/>
      <c r="F59" s="207"/>
      <c r="G59" s="16">
        <f>SUM(G48:G58)</f>
        <v>9774.989999999998</v>
      </c>
    </row>
    <row r="60" spans="1:7" ht="21.95" customHeight="1">
      <c r="A60" s="26" t="s">
        <v>193</v>
      </c>
      <c r="B60" s="201" t="s">
        <v>613</v>
      </c>
      <c r="C60" s="201"/>
      <c r="D60" s="224"/>
      <c r="E60" s="225"/>
      <c r="F60" s="225"/>
      <c r="G60" s="226"/>
    </row>
    <row r="61" spans="1:7" ht="18" customHeight="1">
      <c r="A61" s="184" t="s">
        <v>250</v>
      </c>
      <c r="B61" s="34" t="str">
        <f>B35</f>
        <v>CPU-11</v>
      </c>
      <c r="C61" s="27" t="s">
        <v>491</v>
      </c>
      <c r="D61" s="183" t="s">
        <v>0</v>
      </c>
      <c r="E61" s="35">
        <f>Meno!P96</f>
        <v>3.42</v>
      </c>
      <c r="F61" s="37">
        <f>'Compô''s'!G118</f>
        <v>77.28</v>
      </c>
      <c r="G61" s="15">
        <f t="shared" ref="G61:G66" si="3">ROUND(E61*F61,2)</f>
        <v>264.3</v>
      </c>
    </row>
    <row r="62" spans="1:7" ht="27" customHeight="1">
      <c r="A62" s="184" t="s">
        <v>251</v>
      </c>
      <c r="B62" s="34" t="str">
        <f>B36</f>
        <v>CPU-12</v>
      </c>
      <c r="C62" s="27" t="s">
        <v>55</v>
      </c>
      <c r="D62" s="183" t="s">
        <v>515</v>
      </c>
      <c r="E62" s="35">
        <f>Meno!N98</f>
        <v>7.6197599999999994</v>
      </c>
      <c r="F62" s="37">
        <f>F36</f>
        <v>10.36</v>
      </c>
      <c r="G62" s="15">
        <f t="shared" si="3"/>
        <v>78.94</v>
      </c>
    </row>
    <row r="63" spans="1:7" ht="27" customHeight="1">
      <c r="A63" s="184" t="s">
        <v>290</v>
      </c>
      <c r="B63" s="34" t="str">
        <f>B38</f>
        <v>CPU-14</v>
      </c>
      <c r="C63" s="27" t="s">
        <v>56</v>
      </c>
      <c r="D63" s="183" t="s">
        <v>515</v>
      </c>
      <c r="E63" s="35">
        <f>Meno!N99</f>
        <v>5.0798400000000008</v>
      </c>
      <c r="F63" s="37">
        <f>F38</f>
        <v>12.66</v>
      </c>
      <c r="G63" s="15">
        <f t="shared" si="3"/>
        <v>64.31</v>
      </c>
    </row>
    <row r="64" spans="1:7" ht="27" customHeight="1">
      <c r="A64" s="184" t="s">
        <v>291</v>
      </c>
      <c r="B64" s="34" t="str">
        <f>B39</f>
        <v>CPU-15</v>
      </c>
      <c r="C64" s="27" t="s">
        <v>47</v>
      </c>
      <c r="D64" s="183" t="s">
        <v>9</v>
      </c>
      <c r="E64" s="35">
        <f>Meno!F100</f>
        <v>60.480000000000004</v>
      </c>
      <c r="F64" s="37">
        <f>F52</f>
        <v>84.11</v>
      </c>
      <c r="G64" s="15">
        <f t="shared" si="3"/>
        <v>5086.97</v>
      </c>
    </row>
    <row r="65" spans="1:8" ht="27" customHeight="1">
      <c r="A65" s="184" t="s">
        <v>292</v>
      </c>
      <c r="B65" s="34" t="str">
        <f>B40</f>
        <v>CPU-16</v>
      </c>
      <c r="C65" s="27" t="s">
        <v>48</v>
      </c>
      <c r="D65" s="183" t="s">
        <v>0</v>
      </c>
      <c r="E65" s="35">
        <f>Meno!F103</f>
        <v>6.6840000000000002</v>
      </c>
      <c r="F65" s="37">
        <f>F53</f>
        <v>413.96</v>
      </c>
      <c r="G65" s="15">
        <f t="shared" si="3"/>
        <v>2766.91</v>
      </c>
    </row>
    <row r="66" spans="1:8" ht="27" customHeight="1">
      <c r="A66" s="184" t="s">
        <v>293</v>
      </c>
      <c r="B66" s="34" t="str">
        <f>B45</f>
        <v>CPU-19</v>
      </c>
      <c r="C66" s="10" t="str">
        <f>C45</f>
        <v>Aplicação de textura, 01 demão</v>
      </c>
      <c r="D66" s="183" t="s">
        <v>9</v>
      </c>
      <c r="E66" s="35">
        <f>Meno!F107</f>
        <v>60.480000000000004</v>
      </c>
      <c r="F66" s="37">
        <f>F45</f>
        <v>13.85</v>
      </c>
      <c r="G66" s="15">
        <f t="shared" si="3"/>
        <v>837.65</v>
      </c>
    </row>
    <row r="67" spans="1:8" ht="21.95" customHeight="1">
      <c r="A67" s="222"/>
      <c r="B67" s="223"/>
      <c r="C67" s="223"/>
      <c r="D67" s="207" t="s">
        <v>282</v>
      </c>
      <c r="E67" s="207"/>
      <c r="F67" s="207"/>
      <c r="G67" s="16">
        <f>SUM(G61:G66)</f>
        <v>9099.08</v>
      </c>
    </row>
    <row r="68" spans="1:8" ht="21.95" customHeight="1">
      <c r="A68" s="26" t="s">
        <v>194</v>
      </c>
      <c r="B68" s="201" t="s">
        <v>438</v>
      </c>
      <c r="C68" s="201"/>
      <c r="D68" s="224"/>
      <c r="E68" s="225"/>
      <c r="F68" s="225"/>
      <c r="G68" s="226"/>
    </row>
    <row r="69" spans="1:8" ht="18" customHeight="1">
      <c r="A69" s="184" t="s">
        <v>252</v>
      </c>
      <c r="B69" s="34" t="str">
        <f>'Compô''s'!A250</f>
        <v>CPU-25</v>
      </c>
      <c r="C69" s="10" t="s">
        <v>435</v>
      </c>
      <c r="D69" s="183" t="s">
        <v>0</v>
      </c>
      <c r="E69" s="35">
        <f>Meno!J56</f>
        <v>10.5</v>
      </c>
      <c r="F69" s="37">
        <f>'Compô''s'!G256</f>
        <v>97.25</v>
      </c>
      <c r="G69" s="15">
        <f>ROUND(E69*F69,2)</f>
        <v>1021.13</v>
      </c>
      <c r="H69" s="78"/>
    </row>
    <row r="70" spans="1:8" ht="25.5">
      <c r="A70" s="184" t="s">
        <v>294</v>
      </c>
      <c r="B70" s="34" t="str">
        <f>'Compô''s'!A258</f>
        <v>CPU-26</v>
      </c>
      <c r="C70" s="10" t="s">
        <v>544</v>
      </c>
      <c r="D70" s="183" t="s">
        <v>434</v>
      </c>
      <c r="E70" s="35">
        <v>1</v>
      </c>
      <c r="F70" s="37">
        <f>'Compô''s'!G264</f>
        <v>10727.97</v>
      </c>
      <c r="G70" s="15">
        <f>ROUND(E70*F70,2)</f>
        <v>10727.97</v>
      </c>
    </row>
    <row r="71" spans="1:8" ht="21.95" customHeight="1">
      <c r="A71" s="222"/>
      <c r="B71" s="223"/>
      <c r="C71" s="223"/>
      <c r="D71" s="207" t="s">
        <v>281</v>
      </c>
      <c r="E71" s="207"/>
      <c r="F71" s="207"/>
      <c r="G71" s="16">
        <f>SUM(G69:G70)</f>
        <v>11749.099999999999</v>
      </c>
    </row>
    <row r="72" spans="1:8" ht="21.95" customHeight="1">
      <c r="A72" s="26" t="s">
        <v>195</v>
      </c>
      <c r="B72" s="201" t="s">
        <v>614</v>
      </c>
      <c r="C72" s="201"/>
      <c r="D72" s="202"/>
      <c r="E72" s="202"/>
      <c r="F72" s="202"/>
      <c r="G72" s="203"/>
    </row>
    <row r="73" spans="1:8" ht="21.95" customHeight="1">
      <c r="A73" s="184" t="s">
        <v>253</v>
      </c>
      <c r="B73" s="34" t="str">
        <f>'Compô''s'!A72</f>
        <v>CPU-07</v>
      </c>
      <c r="C73" s="10" t="s">
        <v>529</v>
      </c>
      <c r="D73" s="183" t="s">
        <v>9</v>
      </c>
      <c r="E73" s="35">
        <f>Meno!H54</f>
        <v>70</v>
      </c>
      <c r="F73" s="37">
        <f>'Compô''s'!G81</f>
        <v>26.73</v>
      </c>
      <c r="G73" s="15">
        <f>ROUND(E73*F73,2)</f>
        <v>1871.1</v>
      </c>
    </row>
    <row r="74" spans="1:8" ht="25.5">
      <c r="A74" s="184" t="s">
        <v>528</v>
      </c>
      <c r="B74" s="34" t="str">
        <f>'Compô''s'!A266</f>
        <v>CPU-27</v>
      </c>
      <c r="C74" s="10" t="s">
        <v>545</v>
      </c>
      <c r="D74" s="183" t="s">
        <v>434</v>
      </c>
      <c r="E74" s="35">
        <v>1</v>
      </c>
      <c r="F74" s="37">
        <f>'Compô''s'!G274</f>
        <v>10589.27</v>
      </c>
      <c r="G74" s="15">
        <f>ROUND(E74*F74,2)</f>
        <v>10589.27</v>
      </c>
    </row>
    <row r="75" spans="1:8" ht="21.95" customHeight="1">
      <c r="A75" s="222"/>
      <c r="B75" s="223"/>
      <c r="C75" s="223"/>
      <c r="D75" s="207" t="s">
        <v>280</v>
      </c>
      <c r="E75" s="207"/>
      <c r="F75" s="207"/>
      <c r="G75" s="16">
        <f>SUM(G73:G74)</f>
        <v>12460.37</v>
      </c>
    </row>
    <row r="76" spans="1:8" ht="21.95" customHeight="1">
      <c r="A76" s="26" t="s">
        <v>196</v>
      </c>
      <c r="B76" s="201" t="s">
        <v>38</v>
      </c>
      <c r="C76" s="201"/>
      <c r="D76" s="202"/>
      <c r="E76" s="202"/>
      <c r="F76" s="202"/>
      <c r="G76" s="203"/>
    </row>
    <row r="77" spans="1:8" ht="15.75" customHeight="1">
      <c r="A77" s="184" t="s">
        <v>254</v>
      </c>
      <c r="B77" s="34" t="str">
        <f>'Compô''s'!A276</f>
        <v>CPU-28</v>
      </c>
      <c r="C77" s="10" t="s">
        <v>531</v>
      </c>
      <c r="D77" s="183" t="s">
        <v>8</v>
      </c>
      <c r="E77" s="35">
        <v>50</v>
      </c>
      <c r="F77" s="37">
        <f>'Compô''s'!G283</f>
        <v>8.16</v>
      </c>
      <c r="G77" s="15">
        <f>ROUND(E77*F77,2)</f>
        <v>408</v>
      </c>
    </row>
    <row r="78" spans="1:8" ht="17.25" customHeight="1">
      <c r="A78" s="184" t="s">
        <v>255</v>
      </c>
      <c r="B78" s="34" t="str">
        <f>'Compô''s'!A285</f>
        <v>CPU-29</v>
      </c>
      <c r="C78" s="10" t="s">
        <v>530</v>
      </c>
      <c r="D78" s="183" t="s">
        <v>8</v>
      </c>
      <c r="E78" s="35">
        <f>E77</f>
        <v>50</v>
      </c>
      <c r="F78" s="37">
        <f>'Compô''s'!G292</f>
        <v>5.19</v>
      </c>
      <c r="G78" s="15">
        <f>ROUND(E78*F78,2)</f>
        <v>259.5</v>
      </c>
    </row>
    <row r="79" spans="1:8" ht="51">
      <c r="A79" s="184" t="s">
        <v>305</v>
      </c>
      <c r="B79" s="34" t="str">
        <f>'Compô''s'!A294</f>
        <v>CPU-30</v>
      </c>
      <c r="C79" s="10" t="s">
        <v>543</v>
      </c>
      <c r="D79" s="185" t="s">
        <v>157</v>
      </c>
      <c r="E79" s="35">
        <f>Meno!F62</f>
        <v>5</v>
      </c>
      <c r="F79" s="37">
        <f>'Compô''s'!G303</f>
        <v>259.20999999999998</v>
      </c>
      <c r="G79" s="15">
        <f>ROUND(E79*F79,2)</f>
        <v>1296.05</v>
      </c>
    </row>
    <row r="80" spans="1:8" ht="25.5">
      <c r="A80" s="184" t="s">
        <v>306</v>
      </c>
      <c r="B80" s="34" t="str">
        <f>'Compô''s'!A305</f>
        <v>CPU-31</v>
      </c>
      <c r="C80" s="10" t="s">
        <v>532</v>
      </c>
      <c r="D80" s="185" t="s">
        <v>157</v>
      </c>
      <c r="E80" s="35">
        <f>Meno!F62</f>
        <v>5</v>
      </c>
      <c r="F80" s="37">
        <f>'Compô''s'!G314</f>
        <v>1042.82</v>
      </c>
      <c r="G80" s="15">
        <f>ROUND(E80*F80,2)</f>
        <v>5214.1000000000004</v>
      </c>
    </row>
    <row r="81" spans="1:11">
      <c r="A81" s="184" t="s">
        <v>307</v>
      </c>
      <c r="B81" s="34" t="str">
        <f>'Compô''s'!A316</f>
        <v>CPU-32</v>
      </c>
      <c r="C81" s="10" t="s">
        <v>550</v>
      </c>
      <c r="D81" s="185" t="s">
        <v>157</v>
      </c>
      <c r="E81" s="35">
        <f>Meno!F62</f>
        <v>5</v>
      </c>
      <c r="F81" s="37">
        <f>'Compô''s'!G326</f>
        <v>274.36</v>
      </c>
      <c r="G81" s="15">
        <f>ROUND(E81*F81,2)</f>
        <v>1371.8</v>
      </c>
    </row>
    <row r="82" spans="1:11" ht="21.95" customHeight="1">
      <c r="A82" s="204"/>
      <c r="B82" s="205"/>
      <c r="C82" s="206"/>
      <c r="D82" s="207" t="s">
        <v>279</v>
      </c>
      <c r="E82" s="207"/>
      <c r="F82" s="207"/>
      <c r="G82" s="16">
        <f>SUM(G77:G81)</f>
        <v>8549.4500000000007</v>
      </c>
    </row>
    <row r="83" spans="1:11" ht="21.95" customHeight="1">
      <c r="A83" s="26" t="s">
        <v>256</v>
      </c>
      <c r="B83" s="201" t="s">
        <v>615</v>
      </c>
      <c r="C83" s="201"/>
      <c r="D83" s="208"/>
      <c r="E83" s="208"/>
      <c r="F83" s="208"/>
      <c r="G83" s="209"/>
    </row>
    <row r="84" spans="1:11" ht="18" customHeight="1">
      <c r="A84" s="184" t="s">
        <v>257</v>
      </c>
      <c r="B84" s="34" t="str">
        <f>'Compô''s'!A328</f>
        <v>CPU-33</v>
      </c>
      <c r="C84" s="11" t="s">
        <v>555</v>
      </c>
      <c r="D84" s="185" t="s">
        <v>157</v>
      </c>
      <c r="E84" s="35">
        <f>Meno!F59</f>
        <v>8</v>
      </c>
      <c r="F84" s="37">
        <f>'Compô''s'!G337</f>
        <v>106.49</v>
      </c>
      <c r="G84" s="15">
        <f>ROUND(E84*F84,2)</f>
        <v>851.92</v>
      </c>
    </row>
    <row r="85" spans="1:11" ht="18" customHeight="1">
      <c r="A85" s="184" t="s">
        <v>308</v>
      </c>
      <c r="B85" s="34" t="str">
        <f>'Compô''s'!A339</f>
        <v>CPU-34</v>
      </c>
      <c r="C85" s="11" t="s">
        <v>556</v>
      </c>
      <c r="D85" s="185" t="s">
        <v>157</v>
      </c>
      <c r="E85" s="35">
        <v>60</v>
      </c>
      <c r="F85" s="37">
        <f>'Compô''s'!G348</f>
        <v>3.83</v>
      </c>
      <c r="G85" s="15">
        <f>ROUND(E85*F85,2)</f>
        <v>229.8</v>
      </c>
    </row>
    <row r="86" spans="1:11" ht="18" customHeight="1">
      <c r="A86" s="184" t="s">
        <v>309</v>
      </c>
      <c r="B86" s="34" t="str">
        <f>'Compô''s'!A350</f>
        <v>CPU-35</v>
      </c>
      <c r="C86" s="11" t="s">
        <v>181</v>
      </c>
      <c r="D86" s="183" t="s">
        <v>9</v>
      </c>
      <c r="E86" s="35">
        <f>Meno!H48</f>
        <v>1410.5700000000002</v>
      </c>
      <c r="F86" s="37">
        <f>'Compô''s'!G359</f>
        <v>17.8</v>
      </c>
      <c r="G86" s="15">
        <f>ROUND(E86*F86,2)</f>
        <v>25108.15</v>
      </c>
    </row>
    <row r="87" spans="1:11" ht="21.95" customHeight="1">
      <c r="A87" s="214"/>
      <c r="B87" s="215"/>
      <c r="C87" s="215"/>
      <c r="D87" s="207" t="s">
        <v>518</v>
      </c>
      <c r="E87" s="207"/>
      <c r="F87" s="207"/>
      <c r="G87" s="16">
        <f>SUM(G84:G86)</f>
        <v>26189.870000000003</v>
      </c>
    </row>
    <row r="88" spans="1:11" ht="21.95" customHeight="1">
      <c r="A88" s="26" t="s">
        <v>258</v>
      </c>
      <c r="B88" s="201" t="s">
        <v>616</v>
      </c>
      <c r="C88" s="201"/>
      <c r="D88" s="208"/>
      <c r="E88" s="208"/>
      <c r="F88" s="208"/>
      <c r="G88" s="209"/>
    </row>
    <row r="89" spans="1:11" ht="23.25" customHeight="1">
      <c r="A89" s="184" t="s">
        <v>259</v>
      </c>
      <c r="B89" s="34" t="str">
        <f>'Compô''s'!A361</f>
        <v>CPU-36</v>
      </c>
      <c r="C89" s="11" t="s">
        <v>560</v>
      </c>
      <c r="D89" s="185" t="s">
        <v>157</v>
      </c>
      <c r="E89" s="35">
        <f>Meno!H64</f>
        <v>8</v>
      </c>
      <c r="F89" s="37">
        <f>'Compô''s'!G367</f>
        <v>595.66999999999996</v>
      </c>
      <c r="G89" s="15">
        <f>ROUND(E89*F89,2)</f>
        <v>4765.3599999999997</v>
      </c>
      <c r="J89" s="139"/>
    </row>
    <row r="90" spans="1:11" ht="21" customHeight="1">
      <c r="A90" s="184" t="s">
        <v>260</v>
      </c>
      <c r="B90" s="34" t="str">
        <f>'Compô''s'!A369</f>
        <v>CPU-37</v>
      </c>
      <c r="C90" s="11" t="s">
        <v>563</v>
      </c>
      <c r="D90" s="185" t="s">
        <v>157</v>
      </c>
      <c r="E90" s="35">
        <f>Meno!H66</f>
        <v>28</v>
      </c>
      <c r="F90" s="37">
        <f>'Compô''s'!G375</f>
        <v>282.29000000000002</v>
      </c>
      <c r="G90" s="15">
        <f>ROUND(E90*F90,2)</f>
        <v>7904.12</v>
      </c>
      <c r="I90" s="139"/>
      <c r="J90" s="139"/>
    </row>
    <row r="91" spans="1:11" ht="30" customHeight="1">
      <c r="A91" s="184" t="s">
        <v>261</v>
      </c>
      <c r="B91" s="34" t="str">
        <f>'Compô''s'!A377</f>
        <v>CPU-38</v>
      </c>
      <c r="C91" s="10" t="s">
        <v>565</v>
      </c>
      <c r="D91" s="185" t="s">
        <v>157</v>
      </c>
      <c r="E91" s="35">
        <f>Meno!H68</f>
        <v>4</v>
      </c>
      <c r="F91" s="37">
        <f>'Compô''s'!G383</f>
        <v>436.62</v>
      </c>
      <c r="G91" s="15">
        <f>ROUND(E91*F91,2)</f>
        <v>1746.48</v>
      </c>
      <c r="J91" s="139"/>
      <c r="K91" s="5"/>
    </row>
    <row r="92" spans="1:11" ht="18" customHeight="1">
      <c r="A92" s="214"/>
      <c r="B92" s="215"/>
      <c r="C92" s="215"/>
      <c r="D92" s="207" t="s">
        <v>278</v>
      </c>
      <c r="E92" s="207"/>
      <c r="F92" s="207"/>
      <c r="G92" s="16">
        <f>SUM(G89:G91)</f>
        <v>14415.96</v>
      </c>
    </row>
    <row r="93" spans="1:11" ht="18" customHeight="1">
      <c r="A93" s="26" t="s">
        <v>296</v>
      </c>
      <c r="B93" s="201" t="s">
        <v>433</v>
      </c>
      <c r="C93" s="201"/>
      <c r="D93" s="208"/>
      <c r="E93" s="208"/>
      <c r="F93" s="208"/>
      <c r="G93" s="209"/>
    </row>
    <row r="94" spans="1:11" ht="18" customHeight="1">
      <c r="A94" s="184" t="s">
        <v>297</v>
      </c>
      <c r="B94" s="34" t="str">
        <f>'Compô''s'!A385</f>
        <v>CPU-39</v>
      </c>
      <c r="C94" s="11" t="s">
        <v>40</v>
      </c>
      <c r="D94" s="183" t="s">
        <v>9</v>
      </c>
      <c r="E94" s="35">
        <f>E24/1.8</f>
        <v>1152.5777777777778</v>
      </c>
      <c r="F94" s="37">
        <f>'Compô''s'!G389</f>
        <v>1.89</v>
      </c>
      <c r="G94" s="15">
        <f>ROUND(E94*F94,2)</f>
        <v>2178.37</v>
      </c>
    </row>
    <row r="95" spans="1:11" ht="21.95" customHeight="1">
      <c r="A95" s="216"/>
      <c r="B95" s="217"/>
      <c r="C95" s="218"/>
      <c r="D95" s="207" t="s">
        <v>298</v>
      </c>
      <c r="E95" s="207"/>
      <c r="F95" s="207"/>
      <c r="G95" s="16">
        <f>SUM(G94)</f>
        <v>2178.37</v>
      </c>
    </row>
    <row r="96" spans="1:11" ht="21.95" customHeight="1">
      <c r="A96" s="219"/>
      <c r="B96" s="220"/>
      <c r="C96" s="221"/>
      <c r="D96" s="207" t="s">
        <v>76</v>
      </c>
      <c r="E96" s="207"/>
      <c r="F96" s="207"/>
      <c r="G96" s="16">
        <f>SUM(G25,G33,G46,G59,G67,G71,G75,G82,G87,G95,G92)</f>
        <v>247958.35999999996</v>
      </c>
    </row>
    <row r="97" spans="1:7">
      <c r="A97" s="31"/>
      <c r="B97" s="32"/>
      <c r="C97" s="32"/>
      <c r="D97" s="29"/>
      <c r="E97" s="29"/>
      <c r="F97" s="29"/>
      <c r="G97" s="30"/>
    </row>
    <row r="98" spans="1:7" ht="30.75" customHeight="1" thickBot="1">
      <c r="A98" s="210"/>
      <c r="B98" s="211"/>
      <c r="C98" s="212"/>
      <c r="D98" s="213" t="s">
        <v>36</v>
      </c>
      <c r="E98" s="213"/>
      <c r="F98" s="213"/>
      <c r="G98" s="17">
        <f>SUM(G21,G96)</f>
        <v>292701.55999999994</v>
      </c>
    </row>
    <row r="100" spans="1:7">
      <c r="G100" s="4">
        <v>292753</v>
      </c>
    </row>
    <row r="102" spans="1:7">
      <c r="G102" s="4">
        <f>SUM(G98-G100)</f>
        <v>-51.440000000060536</v>
      </c>
    </row>
    <row r="104" spans="1:7">
      <c r="G104" s="187" t="s">
        <v>620</v>
      </c>
    </row>
    <row r="105" spans="1:7">
      <c r="F105" s="4" t="s">
        <v>621</v>
      </c>
      <c r="G105" s="187">
        <f>G98*25%</f>
        <v>73175.389999999985</v>
      </c>
    </row>
  </sheetData>
  <mergeCells count="64">
    <mergeCell ref="A1:G1"/>
    <mergeCell ref="A2:G2"/>
    <mergeCell ref="A3:G3"/>
    <mergeCell ref="B15:C15"/>
    <mergeCell ref="A4:G4"/>
    <mergeCell ref="A46:C46"/>
    <mergeCell ref="D46:F46"/>
    <mergeCell ref="A21:C21"/>
    <mergeCell ref="A12:G12"/>
    <mergeCell ref="A6:G6"/>
    <mergeCell ref="D15:G15"/>
    <mergeCell ref="D21:F21"/>
    <mergeCell ref="C8:F8"/>
    <mergeCell ref="C9:F9"/>
    <mergeCell ref="C10:G10"/>
    <mergeCell ref="A13:G13"/>
    <mergeCell ref="A75:C75"/>
    <mergeCell ref="D75:F75"/>
    <mergeCell ref="B23:C23"/>
    <mergeCell ref="D23:G23"/>
    <mergeCell ref="B22:C22"/>
    <mergeCell ref="D22:G22"/>
    <mergeCell ref="B34:C34"/>
    <mergeCell ref="D34:G34"/>
    <mergeCell ref="B47:C47"/>
    <mergeCell ref="D47:G47"/>
    <mergeCell ref="A25:C25"/>
    <mergeCell ref="D25:F25"/>
    <mergeCell ref="B26:C26"/>
    <mergeCell ref="D26:G26"/>
    <mergeCell ref="A33:C33"/>
    <mergeCell ref="D33:F33"/>
    <mergeCell ref="B68:C68"/>
    <mergeCell ref="D68:G68"/>
    <mergeCell ref="A71:C71"/>
    <mergeCell ref="D71:F71"/>
    <mergeCell ref="B72:C72"/>
    <mergeCell ref="D72:G72"/>
    <mergeCell ref="A59:C59"/>
    <mergeCell ref="D59:F59"/>
    <mergeCell ref="B60:C60"/>
    <mergeCell ref="D60:G60"/>
    <mergeCell ref="A67:C67"/>
    <mergeCell ref="D67:F67"/>
    <mergeCell ref="A98:C98"/>
    <mergeCell ref="D98:F98"/>
    <mergeCell ref="A87:C87"/>
    <mergeCell ref="D87:F87"/>
    <mergeCell ref="B88:C88"/>
    <mergeCell ref="D88:G88"/>
    <mergeCell ref="A95:C95"/>
    <mergeCell ref="D95:F95"/>
    <mergeCell ref="A96:C96"/>
    <mergeCell ref="D96:F96"/>
    <mergeCell ref="B93:C93"/>
    <mergeCell ref="D93:G93"/>
    <mergeCell ref="A92:C92"/>
    <mergeCell ref="D92:F92"/>
    <mergeCell ref="B76:C76"/>
    <mergeCell ref="D76:G76"/>
    <mergeCell ref="A82:C82"/>
    <mergeCell ref="D82:F82"/>
    <mergeCell ref="B83:C83"/>
    <mergeCell ref="D83:G83"/>
  </mergeCells>
  <phoneticPr fontId="8" type="noConversion"/>
  <conditionalFormatting sqref="G23:G24 G77:G81 G84:G86 G35:G45 G89:G94 G48:G58 G27:G32">
    <cfRule type="expression" dxfId="128" priority="356" stopIfTrue="1">
      <formula>LEFT($C23,5)="Total"</formula>
    </cfRule>
  </conditionalFormatting>
  <conditionalFormatting sqref="C16:C20 C23 C25:C75">
    <cfRule type="expression" dxfId="127" priority="355" stopIfTrue="1">
      <formula>OR(RIGHT($A16,2)="00",$A16="")</formula>
    </cfRule>
  </conditionalFormatting>
  <conditionalFormatting sqref="B95 A96:B96 A92:B93 A87:B88 A89:A97 A83:B83 A82 A84:A86 B16:B20 A15:A21 A22:B81">
    <cfRule type="expression" dxfId="126" priority="353" stopIfTrue="1">
      <formula>RIGHT(A15,2)="00"</formula>
    </cfRule>
  </conditionalFormatting>
  <conditionalFormatting sqref="C20 C24">
    <cfRule type="expression" dxfId="125" priority="358" stopIfTrue="1">
      <formula>OR(RIGHT(#REF!,2)="00",#REF!="")</formula>
    </cfRule>
  </conditionalFormatting>
  <conditionalFormatting sqref="G20:G21 G77:G81 G84:G86 G89:G94 G35:G75 G25:G33">
    <cfRule type="expression" dxfId="124" priority="336" stopIfTrue="1">
      <formula>OR(RIGHT(#REF!,2)="00",LEFT($C20,5)="Total")</formula>
    </cfRule>
  </conditionalFormatting>
  <conditionalFormatting sqref="G16:G22 G82:G95 G35:G76 G24:G33">
    <cfRule type="expression" dxfId="123" priority="359" stopIfTrue="1">
      <formula>OR(RIGHT($A16,2)="00",LEFT($C16,5)="Total")</formula>
    </cfRule>
  </conditionalFormatting>
  <conditionalFormatting sqref="C18:C19">
    <cfRule type="expression" dxfId="122" priority="213" stopIfTrue="1">
      <formula>OR(RIGHT($A18,2)="00",$A18="")</formula>
    </cfRule>
  </conditionalFormatting>
  <conditionalFormatting sqref="G82">
    <cfRule type="expression" dxfId="121" priority="159" stopIfTrue="1">
      <formula>OR(RIGHT(#REF!,2)="00",LEFT($C82,5)="Total")</formula>
    </cfRule>
  </conditionalFormatting>
  <conditionalFormatting sqref="G82">
    <cfRule type="expression" dxfId="120" priority="158" stopIfTrue="1">
      <formula>OR(RIGHT(#REF!,2)="00",LEFT($C82,5)="Total")</formula>
    </cfRule>
  </conditionalFormatting>
  <conditionalFormatting sqref="C87">
    <cfRule type="expression" dxfId="119" priority="154" stopIfTrue="1">
      <formula>OR(RIGHT($A87,2)="00",$A87="")</formula>
    </cfRule>
  </conditionalFormatting>
  <conditionalFormatting sqref="G87">
    <cfRule type="expression" dxfId="118" priority="153" stopIfTrue="1">
      <formula>OR(RIGHT(#REF!,2)="00",LEFT($C87,5)="Total")</formula>
    </cfRule>
  </conditionalFormatting>
  <conditionalFormatting sqref="G87">
    <cfRule type="expression" dxfId="117" priority="152" stopIfTrue="1">
      <formula>OR(RIGHT(#REF!,2)="00",LEFT($C87,5)="Total")</formula>
    </cfRule>
  </conditionalFormatting>
  <conditionalFormatting sqref="C95">
    <cfRule type="expression" dxfId="116" priority="151" stopIfTrue="1">
      <formula>OR(RIGHT($A95,2)="00",$A95="")</formula>
    </cfRule>
  </conditionalFormatting>
  <conditionalFormatting sqref="G95">
    <cfRule type="expression" dxfId="115" priority="150" stopIfTrue="1">
      <formula>OR(RIGHT(#REF!,2)="00",LEFT($C95,5)="Total")</formula>
    </cfRule>
  </conditionalFormatting>
  <conditionalFormatting sqref="G95">
    <cfRule type="expression" dxfId="114" priority="149" stopIfTrue="1">
      <formula>OR(RIGHT(#REF!,2)="00",LEFT($C95,5)="Total")</formula>
    </cfRule>
  </conditionalFormatting>
  <conditionalFormatting sqref="C76">
    <cfRule type="expression" dxfId="113" priority="148" stopIfTrue="1">
      <formula>OR(RIGHT($A76,2)="00",$A76="")</formula>
    </cfRule>
  </conditionalFormatting>
  <conditionalFormatting sqref="G76">
    <cfRule type="expression" dxfId="112" priority="147" stopIfTrue="1">
      <formula>OR(RIGHT(#REF!,2)="00",LEFT($C76,5)="Total")</formula>
    </cfRule>
  </conditionalFormatting>
  <conditionalFormatting sqref="C83">
    <cfRule type="expression" dxfId="111" priority="144" stopIfTrue="1">
      <formula>OR(RIGHT($A83,2)="00",$A83="")</formula>
    </cfRule>
  </conditionalFormatting>
  <conditionalFormatting sqref="G83">
    <cfRule type="expression" dxfId="110" priority="143" stopIfTrue="1">
      <formula>OR(RIGHT(#REF!,2)="00",LEFT($C83,5)="Total")</formula>
    </cfRule>
  </conditionalFormatting>
  <conditionalFormatting sqref="C88">
    <cfRule type="expression" dxfId="109" priority="142" stopIfTrue="1">
      <formula>OR(RIGHT($A88,2)="00",$A88="")</formula>
    </cfRule>
  </conditionalFormatting>
  <conditionalFormatting sqref="G88">
    <cfRule type="expression" dxfId="108" priority="141" stopIfTrue="1">
      <formula>OR(RIGHT(#REF!,2)="00",LEFT($C88,5)="Total")</formula>
    </cfRule>
  </conditionalFormatting>
  <conditionalFormatting sqref="G98">
    <cfRule type="expression" dxfId="107" priority="139" stopIfTrue="1">
      <formula>OR(RIGHT($A98,2)="00",LEFT($C98,5)="Total")</formula>
    </cfRule>
  </conditionalFormatting>
  <conditionalFormatting sqref="C83">
    <cfRule type="expression" dxfId="106" priority="126" stopIfTrue="1">
      <formula>OR(RIGHT($A83,2)="00",$A83="")</formula>
    </cfRule>
  </conditionalFormatting>
  <conditionalFormatting sqref="C88">
    <cfRule type="expression" dxfId="105" priority="125" stopIfTrue="1">
      <formula>OR(RIGHT($A88,2)="00",$A88="")</formula>
    </cfRule>
  </conditionalFormatting>
  <conditionalFormatting sqref="C88">
    <cfRule type="expression" dxfId="104" priority="124" stopIfTrue="1">
      <formula>OR(RIGHT($A88,2)="00",$A88="")</formula>
    </cfRule>
  </conditionalFormatting>
  <conditionalFormatting sqref="G87">
    <cfRule type="expression" dxfId="103" priority="123" stopIfTrue="1">
      <formula>OR(RIGHT(#REF!,2)="00",LEFT($C87,5)="Total")</formula>
    </cfRule>
  </conditionalFormatting>
  <conditionalFormatting sqref="G87">
    <cfRule type="expression" dxfId="102" priority="122" stopIfTrue="1">
      <formula>OR(RIGHT(#REF!,2)="00",LEFT($C87,5)="Total")</formula>
    </cfRule>
  </conditionalFormatting>
  <conditionalFormatting sqref="G95">
    <cfRule type="expression" dxfId="101" priority="121" stopIfTrue="1">
      <formula>OR(RIGHT(#REF!,2)="00",LEFT($C95,5)="Total")</formula>
    </cfRule>
  </conditionalFormatting>
  <conditionalFormatting sqref="G95">
    <cfRule type="expression" dxfId="100" priority="120" stopIfTrue="1">
      <formula>OR(RIGHT(#REF!,2)="00",LEFT($C95,5)="Total")</formula>
    </cfRule>
  </conditionalFormatting>
  <conditionalFormatting sqref="G95">
    <cfRule type="expression" dxfId="99" priority="119" stopIfTrue="1">
      <formula>OR(RIGHT(#REF!,2)="00",LEFT($C95,5)="Total")</formula>
    </cfRule>
  </conditionalFormatting>
  <conditionalFormatting sqref="G95">
    <cfRule type="expression" dxfId="98" priority="118" stopIfTrue="1">
      <formula>OR(RIGHT(#REF!,2)="00",LEFT($C95,5)="Total")</formula>
    </cfRule>
  </conditionalFormatting>
  <conditionalFormatting sqref="G94">
    <cfRule type="expression" dxfId="97" priority="117" stopIfTrue="1">
      <formula>OR(RIGHT(#REF!,2)="00",LEFT($C94,5)="Total")</formula>
    </cfRule>
  </conditionalFormatting>
  <conditionalFormatting sqref="C76">
    <cfRule type="expression" dxfId="96" priority="113" stopIfTrue="1">
      <formula>OR(RIGHT($A76,2)="00",$A76="")</formula>
    </cfRule>
  </conditionalFormatting>
  <conditionalFormatting sqref="C83">
    <cfRule type="expression" dxfId="95" priority="110" stopIfTrue="1">
      <formula>OR(RIGHT($A83,2)="00",$A83="")</formula>
    </cfRule>
  </conditionalFormatting>
  <conditionalFormatting sqref="C83">
    <cfRule type="expression" dxfId="94" priority="109" stopIfTrue="1">
      <formula>OR(RIGHT($A83,2)="00",$A83="")</formula>
    </cfRule>
  </conditionalFormatting>
  <conditionalFormatting sqref="C83">
    <cfRule type="expression" dxfId="93" priority="108" stopIfTrue="1">
      <formula>OR(RIGHT($A83,2)="00",$A83="")</formula>
    </cfRule>
  </conditionalFormatting>
  <conditionalFormatting sqref="C88">
    <cfRule type="expression" dxfId="92" priority="107" stopIfTrue="1">
      <formula>OR(RIGHT($A88,2)="00",$A88="")</formula>
    </cfRule>
  </conditionalFormatting>
  <conditionalFormatting sqref="C88">
    <cfRule type="expression" dxfId="91" priority="106" stopIfTrue="1">
      <formula>OR(RIGHT($A88,2)="00",$A88="")</formula>
    </cfRule>
  </conditionalFormatting>
  <conditionalFormatting sqref="C88">
    <cfRule type="expression" dxfId="90" priority="105" stopIfTrue="1">
      <formula>OR(RIGHT($A88,2)="00",$A88="")</formula>
    </cfRule>
  </conditionalFormatting>
  <conditionalFormatting sqref="C88">
    <cfRule type="expression" dxfId="89" priority="104" stopIfTrue="1">
      <formula>OR(RIGHT($A88,2)="00",$A88="")</formula>
    </cfRule>
  </conditionalFormatting>
  <conditionalFormatting sqref="C88">
    <cfRule type="expression" dxfId="88" priority="103" stopIfTrue="1">
      <formula>OR(RIGHT($A88,2)="00",$A88="")</formula>
    </cfRule>
  </conditionalFormatting>
  <conditionalFormatting sqref="C47">
    <cfRule type="expression" dxfId="87" priority="97" stopIfTrue="1">
      <formula>OR(RIGHT($A47,2)="00",$A47="")</formula>
    </cfRule>
  </conditionalFormatting>
  <conditionalFormatting sqref="G22">
    <cfRule type="expression" dxfId="86" priority="90" stopIfTrue="1">
      <formula>OR(RIGHT(#REF!,2)="00",LEFT($C22,5)="Total")</formula>
    </cfRule>
  </conditionalFormatting>
  <conditionalFormatting sqref="C22">
    <cfRule type="expression" dxfId="85" priority="89" stopIfTrue="1">
      <formula>OR(RIGHT($A22,2)="00",$A22="")</formula>
    </cfRule>
  </conditionalFormatting>
  <conditionalFormatting sqref="G22">
    <cfRule type="expression" dxfId="84" priority="88" stopIfTrue="1">
      <formula>OR(RIGHT(#REF!,2)="00",LEFT($C22,5)="Total")</formula>
    </cfRule>
  </conditionalFormatting>
  <conditionalFormatting sqref="G96">
    <cfRule type="expression" dxfId="83" priority="84" stopIfTrue="1">
      <formula>OR(RIGHT($A96,2)="00",LEFT($C96,5)="Total")</formula>
    </cfRule>
  </conditionalFormatting>
  <conditionalFormatting sqref="C96">
    <cfRule type="expression" dxfId="82" priority="83" stopIfTrue="1">
      <formula>OR(RIGHT($A96,2)="00",$A96="")</formula>
    </cfRule>
  </conditionalFormatting>
  <conditionalFormatting sqref="G96">
    <cfRule type="expression" dxfId="81" priority="82" stopIfTrue="1">
      <formula>OR(RIGHT(#REF!,2)="00",LEFT($C96,5)="Total")</formula>
    </cfRule>
  </conditionalFormatting>
  <conditionalFormatting sqref="G96">
    <cfRule type="expression" dxfId="80" priority="81" stopIfTrue="1">
      <formula>OR(RIGHT(#REF!,2)="00",LEFT($C96,5)="Total")</formula>
    </cfRule>
  </conditionalFormatting>
  <conditionalFormatting sqref="G96">
    <cfRule type="expression" dxfId="79" priority="80" stopIfTrue="1">
      <formula>OR(RIGHT(#REF!,2)="00",LEFT($C96,5)="Total")</formula>
    </cfRule>
  </conditionalFormatting>
  <conditionalFormatting sqref="G96">
    <cfRule type="expression" dxfId="78" priority="79" stopIfTrue="1">
      <formula>OR(RIGHT(#REF!,2)="00",LEFT($C96,5)="Total")</formula>
    </cfRule>
  </conditionalFormatting>
  <conditionalFormatting sqref="G96">
    <cfRule type="expression" dxfId="77" priority="78" stopIfTrue="1">
      <formula>OR(RIGHT(#REF!,2)="00",LEFT($C96,5)="Total")</formula>
    </cfRule>
  </conditionalFormatting>
  <conditionalFormatting sqref="G96">
    <cfRule type="expression" dxfId="76" priority="77" stopIfTrue="1">
      <formula>OR(RIGHT(#REF!,2)="00",LEFT($C96,5)="Total")</formula>
    </cfRule>
  </conditionalFormatting>
  <conditionalFormatting sqref="C60">
    <cfRule type="expression" dxfId="75" priority="65" stopIfTrue="1">
      <formula>OR(RIGHT($A60,2)="00",$A60="")</formula>
    </cfRule>
  </conditionalFormatting>
  <conditionalFormatting sqref="C58">
    <cfRule type="expression" dxfId="74" priority="60" stopIfTrue="1">
      <formula>OR(RIGHT($A58,2)="00",$A58="")</formula>
    </cfRule>
  </conditionalFormatting>
  <conditionalFormatting sqref="C48">
    <cfRule type="expression" dxfId="73" priority="58" stopIfTrue="1">
      <formula>OR(RIGHT($A48,2)="00",$A48="")</formula>
    </cfRule>
  </conditionalFormatting>
  <conditionalFormatting sqref="C49">
    <cfRule type="expression" dxfId="72" priority="57" stopIfTrue="1">
      <formula>OR(RIGHT($A49,2)="00",$A49="")</formula>
    </cfRule>
  </conditionalFormatting>
  <conditionalFormatting sqref="C50:C53">
    <cfRule type="expression" dxfId="71" priority="56" stopIfTrue="1">
      <formula>OR(RIGHT($A50,2)="00",$A50="")</formula>
    </cfRule>
  </conditionalFormatting>
  <conditionalFormatting sqref="C24">
    <cfRule type="expression" dxfId="70" priority="55" stopIfTrue="1">
      <formula>OR(RIGHT($A24,2)="00",$A24="")</formula>
    </cfRule>
  </conditionalFormatting>
  <conditionalFormatting sqref="G61:G66">
    <cfRule type="expression" dxfId="69" priority="49" stopIfTrue="1">
      <formula>OR(RIGHT(#REF!,2)="00",LEFT($C61,5)="Total")</formula>
    </cfRule>
  </conditionalFormatting>
  <conditionalFormatting sqref="G61:G66">
    <cfRule type="expression" dxfId="68" priority="48" stopIfTrue="1">
      <formula>LEFT($C61,5)="Total"</formula>
    </cfRule>
  </conditionalFormatting>
  <conditionalFormatting sqref="G69:G70">
    <cfRule type="expression" dxfId="67" priority="47" stopIfTrue="1">
      <formula>OR(RIGHT(#REF!,2)="00",LEFT($C69,5)="Total")</formula>
    </cfRule>
  </conditionalFormatting>
  <conditionalFormatting sqref="G69:G70">
    <cfRule type="expression" dxfId="66" priority="46" stopIfTrue="1">
      <formula>LEFT($C69,5)="Total"</formula>
    </cfRule>
  </conditionalFormatting>
  <conditionalFormatting sqref="G74">
    <cfRule type="expression" dxfId="65" priority="45" stopIfTrue="1">
      <formula>OR(RIGHT(#REF!,2)="00",LEFT($C74,5)="Total")</formula>
    </cfRule>
  </conditionalFormatting>
  <conditionalFormatting sqref="G74">
    <cfRule type="expression" dxfId="64" priority="44" stopIfTrue="1">
      <formula>LEFT($C74,5)="Total"</formula>
    </cfRule>
  </conditionalFormatting>
  <conditionalFormatting sqref="C93">
    <cfRule type="expression" dxfId="63" priority="21" stopIfTrue="1">
      <formula>OR(RIGHT($A93,2)="00",$A93="")</formula>
    </cfRule>
  </conditionalFormatting>
  <conditionalFormatting sqref="G93">
    <cfRule type="expression" dxfId="62" priority="20" stopIfTrue="1">
      <formula>OR(RIGHT(#REF!,2)="00",LEFT($C93,5)="Total")</formula>
    </cfRule>
  </conditionalFormatting>
  <conditionalFormatting sqref="C93">
    <cfRule type="expression" dxfId="61" priority="19" stopIfTrue="1">
      <formula>OR(RIGHT($A93,2)="00",$A93="")</formula>
    </cfRule>
  </conditionalFormatting>
  <conditionalFormatting sqref="C93">
    <cfRule type="expression" dxfId="60" priority="18" stopIfTrue="1">
      <formula>OR(RIGHT($A93,2)="00",$A93="")</formula>
    </cfRule>
  </conditionalFormatting>
  <conditionalFormatting sqref="C93">
    <cfRule type="expression" dxfId="59" priority="17" stopIfTrue="1">
      <formula>OR(RIGHT($A93,2)="00",$A93="")</formula>
    </cfRule>
  </conditionalFormatting>
  <conditionalFormatting sqref="C93">
    <cfRule type="expression" dxfId="58" priority="16" stopIfTrue="1">
      <formula>OR(RIGHT($A93,2)="00",$A93="")</formula>
    </cfRule>
  </conditionalFormatting>
  <conditionalFormatting sqref="C93">
    <cfRule type="expression" dxfId="57" priority="15" stopIfTrue="1">
      <formula>OR(RIGHT($A93,2)="00",$A93="")</formula>
    </cfRule>
  </conditionalFormatting>
  <conditionalFormatting sqref="C93">
    <cfRule type="expression" dxfId="56" priority="14" stopIfTrue="1">
      <formula>OR(RIGHT($A93,2)="00",$A93="")</formula>
    </cfRule>
  </conditionalFormatting>
  <conditionalFormatting sqref="C93">
    <cfRule type="expression" dxfId="55" priority="13" stopIfTrue="1">
      <formula>OR(RIGHT($A93,2)="00",$A93="")</formula>
    </cfRule>
  </conditionalFormatting>
  <conditionalFormatting sqref="C92">
    <cfRule type="expression" dxfId="54" priority="12" stopIfTrue="1">
      <formula>OR(RIGHT($A92,2)="00",$A92="")</formula>
    </cfRule>
  </conditionalFormatting>
  <conditionalFormatting sqref="G92">
    <cfRule type="expression" dxfId="53" priority="11" stopIfTrue="1">
      <formula>OR(RIGHT(#REF!,2)="00",LEFT($C92,5)="Total")</formula>
    </cfRule>
  </conditionalFormatting>
  <conditionalFormatting sqref="G92">
    <cfRule type="expression" dxfId="52" priority="10" stopIfTrue="1">
      <formula>OR(RIGHT(#REF!,2)="00",LEFT($C92,5)="Total")</formula>
    </cfRule>
  </conditionalFormatting>
  <conditionalFormatting sqref="G92">
    <cfRule type="expression" dxfId="51" priority="9" stopIfTrue="1">
      <formula>OR(RIGHT(#REF!,2)="00",LEFT($C92,5)="Total")</formula>
    </cfRule>
  </conditionalFormatting>
  <conditionalFormatting sqref="G92">
    <cfRule type="expression" dxfId="50" priority="8" stopIfTrue="1">
      <formula>OR(RIGHT(#REF!,2)="00",LEFT($C92,5)="Total")</formula>
    </cfRule>
  </conditionalFormatting>
  <conditionalFormatting sqref="G73">
    <cfRule type="expression" dxfId="49" priority="7" stopIfTrue="1">
      <formula>OR(RIGHT(#REF!,2)="00",LEFT($C73,5)="Total")</formula>
    </cfRule>
  </conditionalFormatting>
  <conditionalFormatting sqref="G73">
    <cfRule type="expression" dxfId="48" priority="6" stopIfTrue="1">
      <formula>LEFT($C73,5)="Total"</formula>
    </cfRule>
  </conditionalFormatting>
  <conditionalFormatting sqref="C77:C78">
    <cfRule type="expression" dxfId="47" priority="362" stopIfTrue="1">
      <formula>OR(RIGHT($A79,2)="00",$A79="")</formula>
    </cfRule>
  </conditionalFormatting>
  <conditionalFormatting sqref="G77:G78">
    <cfRule type="expression" dxfId="46" priority="379" stopIfTrue="1">
      <formula>OR(RIGHT($A79,2)="00",LEFT($C77,5)="Total")</formula>
    </cfRule>
  </conditionalFormatting>
  <conditionalFormatting sqref="C79:C81">
    <cfRule type="expression" dxfId="45" priority="386" stopIfTrue="1">
      <formula>OR(RIGHT(#REF!,2)="00",#REF!="")</formula>
    </cfRule>
  </conditionalFormatting>
  <conditionalFormatting sqref="G79:G81">
    <cfRule type="expression" dxfId="44" priority="388" stopIfTrue="1">
      <formula>OR(RIGHT(#REF!,2)="00",LEFT($C79,5)="Total")</formula>
    </cfRule>
  </conditionalFormatting>
  <conditionalFormatting sqref="G41:G45">
    <cfRule type="expression" dxfId="43" priority="3" stopIfTrue="1">
      <formula>LEFT($C41,5)="Total"</formula>
    </cfRule>
  </conditionalFormatting>
  <conditionalFormatting sqref="C41:C42">
    <cfRule type="expression" dxfId="42" priority="5" stopIfTrue="1">
      <formula>OR(RIGHT($A41,2)="00",$A41="")</formula>
    </cfRule>
  </conditionalFormatting>
  <conditionalFormatting sqref="G41:G45">
    <cfRule type="expression" dxfId="41" priority="4" stopIfTrue="1">
      <formula>OR(RIGHT(#REF!,2)="00",LEFT($C41,5)="Total")</formula>
    </cfRule>
  </conditionalFormatting>
  <conditionalFormatting sqref="G55:G57">
    <cfRule type="expression" dxfId="40" priority="2" stopIfTrue="1">
      <formula>LEFT($C55,5)="Total"</formula>
    </cfRule>
  </conditionalFormatting>
  <conditionalFormatting sqref="G55:G57">
    <cfRule type="expression" dxfId="39" priority="1" stopIfTrue="1">
      <formula>OR(RIGHT(#REF!,2)="00",LEFT($C55,5)="Total")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58" orientation="portrait" r:id="rId1"/>
  <headerFooter alignWithMargins="0"/>
  <rowBreaks count="1" manualBreakCount="1">
    <brk id="5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80"/>
  <sheetViews>
    <sheetView zoomScaleNormal="100" workbookViewId="0">
      <selection activeCell="P2" sqref="P2"/>
    </sheetView>
  </sheetViews>
  <sheetFormatPr defaultRowHeight="12.75"/>
  <cols>
    <col min="1" max="1" width="9.140625" style="48"/>
    <col min="2" max="2" width="65.5703125" style="5" customWidth="1"/>
    <col min="3" max="3" width="5.140625" style="13" bestFit="1" customWidth="1"/>
    <col min="4" max="4" width="10.140625" style="13" bestFit="1" customWidth="1"/>
    <col min="5" max="5" width="2" style="13" bestFit="1" customWidth="1"/>
    <col min="6" max="6" width="10.7109375" style="5" bestFit="1" customWidth="1"/>
    <col min="7" max="7" width="3.28515625" style="13" bestFit="1" customWidth="1"/>
    <col min="8" max="8" width="10" style="5" bestFit="1" customWidth="1"/>
    <col min="9" max="9" width="2.140625" style="13" bestFit="1" customWidth="1"/>
    <col min="10" max="10" width="8" style="5" bestFit="1" customWidth="1"/>
    <col min="11" max="11" width="3.5703125" style="13" bestFit="1" customWidth="1"/>
    <col min="12" max="12" width="8" style="5" bestFit="1" customWidth="1"/>
    <col min="13" max="13" width="2" style="5" bestFit="1" customWidth="1"/>
    <col min="14" max="14" width="8" style="5" bestFit="1" customWidth="1"/>
    <col min="15" max="15" width="2.140625" style="5" bestFit="1" customWidth="1"/>
    <col min="16" max="16" width="9.5703125" style="5" bestFit="1" customWidth="1"/>
    <col min="17" max="17" width="2.140625" style="5" bestFit="1" customWidth="1"/>
    <col min="18" max="19" width="9.28515625" style="5" bestFit="1" customWidth="1"/>
    <col min="20" max="16384" width="9.140625" style="5"/>
  </cols>
  <sheetData>
    <row r="1" spans="1:16" customFormat="1">
      <c r="A1" s="235" t="s">
        <v>418</v>
      </c>
      <c r="B1" s="235"/>
      <c r="C1" s="235"/>
      <c r="D1" s="235"/>
      <c r="E1" s="235"/>
      <c r="F1" s="235"/>
      <c r="G1" s="235"/>
    </row>
    <row r="2" spans="1:16" customFormat="1">
      <c r="A2" s="235" t="s">
        <v>313</v>
      </c>
      <c r="B2" s="235"/>
      <c r="C2" s="235"/>
      <c r="D2" s="235"/>
      <c r="E2" s="235"/>
      <c r="F2" s="235"/>
      <c r="G2" s="235"/>
      <c r="H2" s="235"/>
    </row>
    <row r="3" spans="1:16" customFormat="1">
      <c r="A3" s="235" t="s">
        <v>311</v>
      </c>
      <c r="B3" s="235"/>
      <c r="C3" s="235"/>
      <c r="D3" s="235"/>
      <c r="E3" s="235"/>
      <c r="F3" s="235"/>
      <c r="G3" s="235"/>
    </row>
    <row r="4" spans="1:16" customFormat="1">
      <c r="A4" s="236" t="s">
        <v>312</v>
      </c>
      <c r="B4" s="236"/>
      <c r="C4" s="236"/>
      <c r="D4" s="236"/>
      <c r="E4" s="236"/>
      <c r="F4" s="236"/>
      <c r="G4" s="236"/>
    </row>
    <row r="5" spans="1:16" customFormat="1">
      <c r="A5" s="40"/>
      <c r="B5" s="40"/>
      <c r="C5" s="40"/>
      <c r="D5" s="40"/>
      <c r="E5" s="40"/>
      <c r="F5" s="40"/>
      <c r="G5" s="40"/>
    </row>
    <row r="6" spans="1:16" customFormat="1" ht="43.5" customHeight="1">
      <c r="A6" s="230" t="s">
        <v>310</v>
      </c>
      <c r="B6" s="230"/>
      <c r="C6" s="230"/>
      <c r="D6" s="230"/>
      <c r="E6" s="230"/>
      <c r="F6" s="230"/>
      <c r="G6" s="230"/>
      <c r="H6" s="230"/>
    </row>
    <row r="7" spans="1:16">
      <c r="B7" s="237"/>
      <c r="C7" s="237"/>
      <c r="D7" s="237"/>
      <c r="E7" s="237"/>
      <c r="F7" s="237"/>
    </row>
    <row r="8" spans="1:16">
      <c r="B8" s="238" t="s">
        <v>411</v>
      </c>
      <c r="C8" s="238"/>
      <c r="D8" s="238"/>
      <c r="E8" s="238"/>
      <c r="F8" s="238"/>
    </row>
    <row r="9" spans="1:16">
      <c r="A9" s="239"/>
      <c r="B9" s="239"/>
      <c r="C9" s="239"/>
      <c r="D9" s="239"/>
      <c r="E9" s="239"/>
      <c r="F9" s="239"/>
      <c r="K9" s="5"/>
    </row>
    <row r="10" spans="1:16">
      <c r="A10" s="52"/>
      <c r="B10" s="50" t="s">
        <v>412</v>
      </c>
      <c r="C10" s="56" t="s">
        <v>8</v>
      </c>
      <c r="D10" s="57">
        <v>99.21</v>
      </c>
      <c r="K10" s="12"/>
      <c r="M10"/>
      <c r="N10"/>
      <c r="P10" s="58"/>
    </row>
    <row r="11" spans="1:16">
      <c r="A11" s="52"/>
      <c r="B11" s="50" t="s">
        <v>413</v>
      </c>
      <c r="C11" s="56" t="s">
        <v>8</v>
      </c>
      <c r="D11" s="57">
        <v>60.5</v>
      </c>
      <c r="E11" s="13" t="s">
        <v>415</v>
      </c>
      <c r="F11" s="68">
        <f>D10*D11</f>
        <v>6002.2049999999999</v>
      </c>
      <c r="J11"/>
      <c r="K11" s="12"/>
      <c r="M11"/>
      <c r="N11"/>
    </row>
    <row r="12" spans="1:16">
      <c r="A12" s="151"/>
      <c r="B12" s="153"/>
      <c r="C12" s="59"/>
      <c r="F12" s="1"/>
      <c r="I12" s="12"/>
      <c r="J12"/>
      <c r="K12" s="12"/>
      <c r="M12"/>
      <c r="N12"/>
    </row>
    <row r="13" spans="1:16">
      <c r="A13" s="151"/>
      <c r="B13" s="145" t="str">
        <f>'[1]Plan I'!B14</f>
        <v>Placa da obra</v>
      </c>
      <c r="C13" s="60" t="s">
        <v>9</v>
      </c>
      <c r="D13" s="61">
        <v>2</v>
      </c>
      <c r="E13" s="12" t="s">
        <v>414</v>
      </c>
      <c r="F13" s="62">
        <v>3</v>
      </c>
      <c r="G13" s="12" t="s">
        <v>415</v>
      </c>
      <c r="H13" s="63">
        <f>SUM(D13*F13)</f>
        <v>6</v>
      </c>
      <c r="I13" s="12"/>
      <c r="J13"/>
      <c r="K13" s="12"/>
      <c r="M13"/>
      <c r="N13"/>
    </row>
    <row r="14" spans="1:16">
      <c r="A14" s="151"/>
      <c r="B14" s="145" t="str">
        <f>'[1]Plan I'!B12</f>
        <v>Serviços topográficos p/ pavimentação, inclusive acompanhamento e greide</v>
      </c>
      <c r="C14" s="60" t="s">
        <v>9</v>
      </c>
      <c r="D14" s="61"/>
      <c r="E14" s="61"/>
      <c r="F14" s="61"/>
      <c r="G14" s="12" t="s">
        <v>415</v>
      </c>
      <c r="H14" s="63">
        <v>5731.05</v>
      </c>
      <c r="I14" s="12"/>
      <c r="J14" s="64"/>
      <c r="K14" s="12"/>
      <c r="M14"/>
      <c r="N14"/>
    </row>
    <row r="15" spans="1:16">
      <c r="A15" s="151"/>
      <c r="B15" s="145"/>
      <c r="C15" s="61"/>
      <c r="D15" s="61"/>
      <c r="E15" s="12"/>
      <c r="F15" s="62"/>
      <c r="G15" s="12"/>
      <c r="H15" s="63"/>
      <c r="I15" s="12"/>
      <c r="J15" s="64"/>
      <c r="K15" s="12"/>
      <c r="M15"/>
      <c r="N15"/>
    </row>
    <row r="16" spans="1:16">
      <c r="A16" s="151"/>
      <c r="B16" s="145" t="s">
        <v>453</v>
      </c>
      <c r="C16" s="60" t="s">
        <v>9</v>
      </c>
      <c r="D16" s="61">
        <v>2.2999999999999998</v>
      </c>
      <c r="E16" s="12" t="s">
        <v>414</v>
      </c>
      <c r="F16" s="62">
        <v>6</v>
      </c>
      <c r="G16" s="12" t="s">
        <v>415</v>
      </c>
      <c r="H16" s="63">
        <f>SUM(D16*F16)</f>
        <v>13.799999999999999</v>
      </c>
      <c r="I16" s="12"/>
      <c r="J16" s="64"/>
      <c r="K16" s="12"/>
      <c r="M16"/>
      <c r="N16"/>
    </row>
    <row r="17" spans="1:17">
      <c r="A17" s="50"/>
      <c r="B17" s="49"/>
    </row>
    <row r="18" spans="1:17">
      <c r="A18" s="50"/>
      <c r="B18" s="145" t="s">
        <v>420</v>
      </c>
      <c r="C18" s="60" t="s">
        <v>8</v>
      </c>
      <c r="D18" s="48" t="s">
        <v>623</v>
      </c>
      <c r="E18" s="13" t="s">
        <v>421</v>
      </c>
      <c r="F18" s="64">
        <v>16</v>
      </c>
      <c r="G18" s="12" t="s">
        <v>415</v>
      </c>
      <c r="H18" s="63">
        <f>SUM(H22-F18)</f>
        <v>514.16999999999996</v>
      </c>
      <c r="I18" s="5"/>
      <c r="K18" s="5"/>
    </row>
    <row r="19" spans="1:17">
      <c r="A19" s="50"/>
      <c r="B19" s="158" t="s">
        <v>604</v>
      </c>
      <c r="C19" s="59"/>
      <c r="D19" s="65">
        <v>60.5</v>
      </c>
      <c r="E19" s="65" t="s">
        <v>419</v>
      </c>
      <c r="F19" s="64">
        <v>95</v>
      </c>
      <c r="G19" s="65" t="s">
        <v>419</v>
      </c>
      <c r="H19" s="64">
        <v>58.8</v>
      </c>
      <c r="I19" s="65" t="s">
        <v>419</v>
      </c>
      <c r="J19" s="64">
        <v>99.21</v>
      </c>
      <c r="K19" s="65" t="s">
        <v>419</v>
      </c>
      <c r="L19" s="64">
        <v>2.34</v>
      </c>
      <c r="M19" s="65" t="s">
        <v>419</v>
      </c>
      <c r="N19" s="64">
        <v>2.34</v>
      </c>
      <c r="O19" s="65" t="s">
        <v>419</v>
      </c>
      <c r="P19" s="64">
        <v>30</v>
      </c>
      <c r="Q19" s="13" t="s">
        <v>419</v>
      </c>
    </row>
    <row r="20" spans="1:17">
      <c r="A20" s="50"/>
      <c r="B20" s="49"/>
      <c r="D20" s="65">
        <v>30</v>
      </c>
      <c r="E20" s="65" t="s">
        <v>419</v>
      </c>
      <c r="F20" s="64">
        <v>7.41</v>
      </c>
      <c r="G20" s="65" t="s">
        <v>419</v>
      </c>
      <c r="H20" s="64">
        <v>5.3</v>
      </c>
      <c r="I20" s="65" t="s">
        <v>419</v>
      </c>
      <c r="J20" s="64">
        <f>(2.5*10*2)</f>
        <v>50</v>
      </c>
      <c r="K20" s="65" t="s">
        <v>419</v>
      </c>
      <c r="L20" s="64">
        <f>((2.4+1.53+1.52)*2)</f>
        <v>10.899999999999999</v>
      </c>
      <c r="M20" s="65" t="s">
        <v>419</v>
      </c>
      <c r="N20" s="64">
        <v>6.8</v>
      </c>
      <c r="O20" s="65" t="s">
        <v>419</v>
      </c>
      <c r="P20" s="64">
        <v>2.2999999999999998</v>
      </c>
      <c r="Q20" s="13" t="s">
        <v>419</v>
      </c>
    </row>
    <row r="21" spans="1:17">
      <c r="A21" s="50"/>
      <c r="B21" s="49"/>
      <c r="D21" s="65">
        <v>0.8</v>
      </c>
      <c r="E21" s="65" t="s">
        <v>419</v>
      </c>
      <c r="F21" s="64">
        <v>10.55</v>
      </c>
      <c r="G21" s="65" t="s">
        <v>419</v>
      </c>
      <c r="H21" s="64">
        <v>8.9</v>
      </c>
      <c r="I21" s="65" t="s">
        <v>419</v>
      </c>
      <c r="J21" s="64">
        <v>5</v>
      </c>
      <c r="K21" s="65" t="s">
        <v>419</v>
      </c>
      <c r="L21" s="64">
        <v>8.02</v>
      </c>
      <c r="M21" s="65" t="s">
        <v>419</v>
      </c>
      <c r="N21" s="64">
        <f>4.9*2</f>
        <v>9.8000000000000007</v>
      </c>
      <c r="O21" s="65" t="s">
        <v>419</v>
      </c>
      <c r="P21" s="64">
        <v>2.5</v>
      </c>
      <c r="Q21" s="13" t="s">
        <v>419</v>
      </c>
    </row>
    <row r="22" spans="1:17">
      <c r="A22" s="50"/>
      <c r="B22" s="49"/>
      <c r="D22" s="65">
        <f>1.45*6</f>
        <v>8.6999999999999993</v>
      </c>
      <c r="E22" s="65" t="s">
        <v>419</v>
      </c>
      <c r="F22" s="64">
        <f>2.5*6</f>
        <v>15</v>
      </c>
      <c r="G22" s="66" t="s">
        <v>415</v>
      </c>
      <c r="H22" s="67">
        <f>SUM(D19+F19+H19+J19+L19+N19+P19+D20+F20+H20+J20+L20+N20+P20+D21+F21+H21+J21+L21+N21+P21+D22+F22)</f>
        <v>530.16999999999996</v>
      </c>
      <c r="I22" s="65"/>
      <c r="J22" s="64"/>
      <c r="K22" s="65"/>
      <c r="L22" s="64"/>
      <c r="M22" s="64"/>
      <c r="N22" s="64"/>
      <c r="O22" s="64"/>
      <c r="P22" s="64"/>
    </row>
    <row r="23" spans="1:17">
      <c r="A23" s="50"/>
      <c r="B23" s="49"/>
      <c r="D23" s="65"/>
      <c r="E23" s="65"/>
      <c r="F23" s="64"/>
      <c r="G23" s="66"/>
      <c r="H23" s="76"/>
      <c r="I23" s="65"/>
      <c r="J23" s="64"/>
      <c r="K23" s="65"/>
      <c r="L23" s="64"/>
      <c r="M23" s="64"/>
      <c r="N23" s="64"/>
      <c r="O23" s="64"/>
      <c r="P23" s="64"/>
    </row>
    <row r="24" spans="1:17">
      <c r="A24" s="50"/>
      <c r="B24" s="145" t="s">
        <v>485</v>
      </c>
      <c r="C24" s="60" t="s">
        <v>9</v>
      </c>
      <c r="D24" s="65">
        <f>1.5*0.25</f>
        <v>0.375</v>
      </c>
      <c r="E24" s="65" t="s">
        <v>419</v>
      </c>
      <c r="F24" s="64">
        <f>1.5*0.25</f>
        <v>0.375</v>
      </c>
      <c r="G24" s="65" t="s">
        <v>419</v>
      </c>
      <c r="H24" s="64">
        <f>1.2*0.25*2</f>
        <v>0.6</v>
      </c>
      <c r="I24" s="65" t="s">
        <v>419</v>
      </c>
      <c r="J24" s="64">
        <f>1.45*0.25*2</f>
        <v>0.72499999999999998</v>
      </c>
      <c r="K24" s="65" t="s">
        <v>419</v>
      </c>
      <c r="L24" s="64">
        <f>9.9*0.25</f>
        <v>2.4750000000000001</v>
      </c>
      <c r="M24" s="65" t="s">
        <v>419</v>
      </c>
      <c r="N24" s="64">
        <f>1.45*2*0.25</f>
        <v>0.72499999999999998</v>
      </c>
      <c r="O24" s="65" t="s">
        <v>419</v>
      </c>
      <c r="P24" s="64">
        <f>1.5*0.25</f>
        <v>0.375</v>
      </c>
      <c r="Q24" s="65" t="s">
        <v>419</v>
      </c>
    </row>
    <row r="25" spans="1:17">
      <c r="A25" s="50"/>
      <c r="B25" s="49"/>
      <c r="D25" s="65">
        <f>1.5*0.25</f>
        <v>0.375</v>
      </c>
      <c r="E25" s="65" t="s">
        <v>419</v>
      </c>
      <c r="F25" s="64">
        <f>1.2*0.25*2</f>
        <v>0.6</v>
      </c>
      <c r="G25" s="65" t="s">
        <v>419</v>
      </c>
      <c r="H25" s="64">
        <f>1.2*0.25*2</f>
        <v>0.6</v>
      </c>
      <c r="I25" s="65" t="s">
        <v>419</v>
      </c>
      <c r="J25" s="65">
        <f>1.5*0.25</f>
        <v>0.375</v>
      </c>
      <c r="K25" s="12" t="s">
        <v>415</v>
      </c>
      <c r="L25" s="63">
        <f>SUM(D24+F24+H24+J24+L24+N24+P24+D25+F25+H25+J25)</f>
        <v>7.6</v>
      </c>
      <c r="M25" s="64"/>
      <c r="N25" s="64"/>
      <c r="O25" s="64"/>
      <c r="P25" s="64"/>
    </row>
    <row r="26" spans="1:17">
      <c r="A26" s="50"/>
      <c r="B26" s="49"/>
      <c r="D26" s="65"/>
      <c r="E26" s="65"/>
      <c r="F26" s="64"/>
      <c r="G26" s="65"/>
      <c r="H26" s="64"/>
      <c r="I26" s="65"/>
      <c r="J26" s="65"/>
      <c r="K26" s="12"/>
      <c r="L26" s="75"/>
      <c r="M26" s="64"/>
      <c r="N26" s="64"/>
      <c r="O26" s="64"/>
    </row>
    <row r="27" spans="1:17">
      <c r="A27" s="50"/>
      <c r="B27" s="145" t="s">
        <v>600</v>
      </c>
      <c r="C27" s="60" t="s">
        <v>9</v>
      </c>
      <c r="D27" s="48"/>
      <c r="E27" s="12" t="s">
        <v>415</v>
      </c>
      <c r="F27" s="63">
        <f>SUM(L37+J36+J35+J34+H33+H32+H31+H30+H29+D28+D38)</f>
        <v>459.68000000000006</v>
      </c>
      <c r="G27" s="5"/>
    </row>
    <row r="28" spans="1:17">
      <c r="A28" s="50"/>
      <c r="B28" s="158" t="s">
        <v>601</v>
      </c>
      <c r="C28" s="59"/>
      <c r="D28" s="70">
        <v>152.78</v>
      </c>
      <c r="E28" s="65"/>
      <c r="G28" s="12"/>
      <c r="H28" s="75"/>
    </row>
    <row r="29" spans="1:17">
      <c r="A29" s="50"/>
      <c r="B29" s="158" t="s">
        <v>602</v>
      </c>
      <c r="C29" s="59"/>
      <c r="D29" s="72">
        <v>12.56</v>
      </c>
      <c r="E29" s="12" t="s">
        <v>414</v>
      </c>
      <c r="F29" s="64">
        <v>7</v>
      </c>
      <c r="G29" s="12" t="s">
        <v>415</v>
      </c>
      <c r="H29" s="63">
        <f>SUM(D29*F29)</f>
        <v>87.92</v>
      </c>
    </row>
    <row r="30" spans="1:17">
      <c r="A30" s="50"/>
      <c r="B30" s="158"/>
      <c r="C30" s="59"/>
      <c r="D30" s="65">
        <v>0.25</v>
      </c>
      <c r="E30" s="12" t="s">
        <v>414</v>
      </c>
      <c r="F30" s="64">
        <v>15</v>
      </c>
      <c r="G30" s="12" t="s">
        <v>415</v>
      </c>
      <c r="H30" s="63">
        <f>SUM(D30*F30)</f>
        <v>3.75</v>
      </c>
    </row>
    <row r="31" spans="1:17">
      <c r="A31" s="50"/>
      <c r="B31" s="158"/>
      <c r="C31" s="59"/>
      <c r="D31" s="48">
        <v>2.23</v>
      </c>
      <c r="E31" s="12" t="s">
        <v>414</v>
      </c>
      <c r="F31" s="64">
        <v>1</v>
      </c>
      <c r="G31" s="12" t="s">
        <v>415</v>
      </c>
      <c r="H31" s="63">
        <f>SUM(D31*F31)</f>
        <v>2.23</v>
      </c>
    </row>
    <row r="32" spans="1:17">
      <c r="A32" s="50"/>
      <c r="B32" s="158"/>
      <c r="C32" s="59"/>
      <c r="D32" s="48">
        <v>2.77</v>
      </c>
      <c r="E32" s="12" t="s">
        <v>414</v>
      </c>
      <c r="F32" s="64">
        <v>1</v>
      </c>
      <c r="G32" s="12" t="s">
        <v>415</v>
      </c>
      <c r="H32" s="63">
        <f>SUM(D32*F32)</f>
        <v>2.77</v>
      </c>
    </row>
    <row r="33" spans="1:15">
      <c r="A33" s="50"/>
      <c r="B33" s="158"/>
      <c r="C33" s="59"/>
      <c r="D33" s="48">
        <v>4.83</v>
      </c>
      <c r="E33" s="12" t="s">
        <v>414</v>
      </c>
      <c r="F33" s="64">
        <v>1</v>
      </c>
      <c r="G33" s="12" t="s">
        <v>415</v>
      </c>
      <c r="H33" s="63">
        <f>SUM(D33*F33)</f>
        <v>4.83</v>
      </c>
    </row>
    <row r="34" spans="1:15">
      <c r="A34" s="50"/>
      <c r="B34" s="158"/>
      <c r="C34" s="59"/>
      <c r="D34" s="65">
        <v>0.5</v>
      </c>
      <c r="E34" s="12" t="s">
        <v>414</v>
      </c>
      <c r="F34" s="64">
        <v>0.5</v>
      </c>
      <c r="G34" s="12" t="s">
        <v>414</v>
      </c>
      <c r="H34" s="64">
        <v>10</v>
      </c>
      <c r="I34" s="12" t="s">
        <v>415</v>
      </c>
      <c r="J34" s="74">
        <f>SUM(D34*F34*H34)</f>
        <v>2.5</v>
      </c>
    </row>
    <row r="35" spans="1:15">
      <c r="A35" s="50"/>
      <c r="B35" s="158"/>
      <c r="C35" s="59"/>
      <c r="D35" s="65">
        <v>0.5</v>
      </c>
      <c r="E35" s="12" t="s">
        <v>414</v>
      </c>
      <c r="F35" s="64">
        <v>0.5</v>
      </c>
      <c r="G35" s="12" t="s">
        <v>414</v>
      </c>
      <c r="H35" s="64">
        <v>18</v>
      </c>
      <c r="I35" s="12" t="s">
        <v>415</v>
      </c>
      <c r="J35" s="74">
        <f>SUM(D35*F35*H35)</f>
        <v>4.5</v>
      </c>
    </row>
    <row r="36" spans="1:15">
      <c r="A36" s="50"/>
      <c r="B36" s="158"/>
      <c r="C36" s="59"/>
      <c r="D36" s="65">
        <v>0.5</v>
      </c>
      <c r="E36" s="12" t="s">
        <v>414</v>
      </c>
      <c r="F36" s="64">
        <v>1.2</v>
      </c>
      <c r="G36" s="12" t="s">
        <v>414</v>
      </c>
      <c r="H36" s="64">
        <v>5</v>
      </c>
      <c r="I36" s="12" t="s">
        <v>415</v>
      </c>
      <c r="J36" s="74">
        <f>SUM(D36*F36*H36)</f>
        <v>3</v>
      </c>
    </row>
    <row r="37" spans="1:15">
      <c r="A37" s="50"/>
      <c r="B37" s="158"/>
      <c r="C37" s="59"/>
      <c r="D37" s="65">
        <v>0.5</v>
      </c>
      <c r="E37" s="12" t="s">
        <v>414</v>
      </c>
      <c r="F37" s="64">
        <v>1.2</v>
      </c>
      <c r="G37" s="12" t="s">
        <v>414</v>
      </c>
      <c r="H37" s="64">
        <v>9</v>
      </c>
      <c r="I37" s="12" t="s">
        <v>415</v>
      </c>
      <c r="J37" s="74">
        <f>SUM(D37*F37*H37)</f>
        <v>5.3999999999999995</v>
      </c>
      <c r="K37" s="12" t="s">
        <v>415</v>
      </c>
      <c r="L37" s="63">
        <f>SUM(H29+H30+H31+H32+H33+J34+J35+J36+J37)</f>
        <v>116.9</v>
      </c>
    </row>
    <row r="38" spans="1:15">
      <c r="A38" s="50"/>
      <c r="B38" s="158" t="s">
        <v>424</v>
      </c>
      <c r="C38" s="59"/>
      <c r="D38" s="71">
        <v>78.5</v>
      </c>
      <c r="E38" s="65"/>
      <c r="G38" s="12"/>
      <c r="H38" s="75"/>
    </row>
    <row r="39" spans="1:15">
      <c r="A39" s="50"/>
      <c r="B39" s="158"/>
      <c r="C39" s="59"/>
      <c r="D39" s="48"/>
      <c r="E39" s="65"/>
      <c r="G39" s="12"/>
      <c r="H39" s="75"/>
    </row>
    <row r="40" spans="1:15">
      <c r="A40" s="50"/>
      <c r="B40" s="159" t="s">
        <v>475</v>
      </c>
      <c r="C40" s="60" t="s">
        <v>9</v>
      </c>
      <c r="D40" s="5"/>
      <c r="E40" s="5"/>
      <c r="G40" s="5"/>
      <c r="I40" s="5"/>
      <c r="K40" s="5"/>
    </row>
    <row r="41" spans="1:15">
      <c r="A41" s="50"/>
      <c r="B41" s="158" t="s">
        <v>604</v>
      </c>
      <c r="C41" s="59"/>
      <c r="D41" s="65">
        <v>623.4</v>
      </c>
      <c r="E41" s="65" t="s">
        <v>419</v>
      </c>
      <c r="F41" s="5">
        <v>431.93</v>
      </c>
      <c r="G41" s="13" t="s">
        <v>421</v>
      </c>
      <c r="H41" s="5">
        <v>266.17</v>
      </c>
      <c r="I41" s="13" t="s">
        <v>421</v>
      </c>
      <c r="J41" s="5">
        <v>83.25</v>
      </c>
      <c r="K41" s="12" t="s">
        <v>415</v>
      </c>
      <c r="L41" s="63">
        <f>SUM(D41+F41-H41-J41)</f>
        <v>705.90999999999985</v>
      </c>
    </row>
    <row r="42" spans="1:15">
      <c r="A42" s="50"/>
      <c r="B42" s="49"/>
    </row>
    <row r="43" spans="1:15">
      <c r="A43" s="50"/>
      <c r="B43" s="145" t="s">
        <v>431</v>
      </c>
      <c r="C43" s="60" t="s">
        <v>8</v>
      </c>
      <c r="D43" s="5">
        <f>(5.11*2)+(2.5*2)</f>
        <v>15.22</v>
      </c>
      <c r="E43" s="12" t="s">
        <v>414</v>
      </c>
      <c r="F43" s="64">
        <v>10</v>
      </c>
      <c r="G43" s="12" t="s">
        <v>415</v>
      </c>
      <c r="H43" s="74">
        <f>SUM(D43*F43)</f>
        <v>152.20000000000002</v>
      </c>
      <c r="I43" s="5"/>
      <c r="K43" s="5"/>
    </row>
    <row r="44" spans="1:15">
      <c r="A44" s="50"/>
      <c r="B44" s="49"/>
      <c r="E44" s="65"/>
    </row>
    <row r="45" spans="1:15">
      <c r="A45" s="50"/>
      <c r="B45" s="145" t="s">
        <v>603</v>
      </c>
      <c r="C45" s="60" t="s">
        <v>9</v>
      </c>
      <c r="D45" s="5"/>
      <c r="E45" s="5"/>
      <c r="G45" s="5"/>
      <c r="I45" s="5"/>
      <c r="K45" s="5"/>
    </row>
    <row r="46" spans="1:15">
      <c r="A46" s="50"/>
      <c r="B46" s="158" t="s">
        <v>604</v>
      </c>
      <c r="C46" s="59"/>
      <c r="D46" s="48">
        <v>90.28</v>
      </c>
      <c r="E46" s="65" t="s">
        <v>419</v>
      </c>
      <c r="F46" s="5">
        <v>774.72</v>
      </c>
      <c r="G46" s="65" t="s">
        <v>419</v>
      </c>
      <c r="H46" s="5">
        <v>16.75</v>
      </c>
      <c r="I46" s="65" t="s">
        <v>419</v>
      </c>
      <c r="J46" s="5">
        <v>17.78</v>
      </c>
      <c r="K46" s="65" t="s">
        <v>419</v>
      </c>
      <c r="L46" s="64">
        <v>15.6</v>
      </c>
      <c r="M46" s="65" t="s">
        <v>419</v>
      </c>
      <c r="N46" s="64">
        <v>15.9</v>
      </c>
      <c r="O46" s="65" t="s">
        <v>419</v>
      </c>
    </row>
    <row r="47" spans="1:15">
      <c r="A47" s="50"/>
      <c r="B47" s="49"/>
      <c r="D47" s="48">
        <v>83.25</v>
      </c>
      <c r="E47" s="65" t="s">
        <v>419</v>
      </c>
      <c r="F47" s="5">
        <v>266.17</v>
      </c>
      <c r="G47" s="65"/>
      <c r="H47" s="5">
        <v>12.31</v>
      </c>
      <c r="I47" s="13" t="s">
        <v>419</v>
      </c>
      <c r="J47" s="64">
        <v>6.4</v>
      </c>
      <c r="K47" s="65" t="s">
        <v>419</v>
      </c>
      <c r="L47" s="5">
        <v>6.44</v>
      </c>
      <c r="M47" s="65" t="s">
        <v>419</v>
      </c>
      <c r="N47" s="5">
        <v>12.04</v>
      </c>
      <c r="O47" s="65" t="s">
        <v>419</v>
      </c>
    </row>
    <row r="48" spans="1:15">
      <c r="A48" s="50"/>
      <c r="B48" s="49"/>
      <c r="D48" s="48">
        <v>38.76</v>
      </c>
      <c r="E48" s="65" t="s">
        <v>419</v>
      </c>
      <c r="F48" s="5">
        <v>54.17</v>
      </c>
      <c r="G48" s="12" t="s">
        <v>415</v>
      </c>
      <c r="H48" s="63">
        <f>SUM(D46+F46+H46+J46+L46+N46+D47+F47+H47+J47+L47+N47+D48+F48)</f>
        <v>1410.5700000000002</v>
      </c>
      <c r="M48" s="12"/>
      <c r="N48" s="75"/>
    </row>
    <row r="49" spans="1:14">
      <c r="A49" s="50"/>
      <c r="B49" s="49"/>
      <c r="D49" s="48"/>
      <c r="E49" s="65"/>
      <c r="G49" s="12"/>
      <c r="H49" s="75"/>
      <c r="M49" s="12"/>
      <c r="N49" s="75"/>
    </row>
    <row r="50" spans="1:14">
      <c r="A50" s="50"/>
      <c r="B50" s="145" t="s">
        <v>423</v>
      </c>
      <c r="C50" s="60" t="s">
        <v>9</v>
      </c>
      <c r="D50" s="70">
        <v>460.79</v>
      </c>
      <c r="M50" s="12" t="s">
        <v>415</v>
      </c>
      <c r="N50" s="63">
        <f>SUM(D50+L51)</f>
        <v>901.45</v>
      </c>
    </row>
    <row r="51" spans="1:14">
      <c r="A51" s="50"/>
      <c r="B51" s="145" t="s">
        <v>430</v>
      </c>
      <c r="C51" s="60" t="s">
        <v>9</v>
      </c>
      <c r="D51" s="48">
        <v>218.34</v>
      </c>
      <c r="E51" s="13" t="s">
        <v>421</v>
      </c>
      <c r="F51" s="64">
        <v>17.72</v>
      </c>
      <c r="G51" s="13" t="s">
        <v>421</v>
      </c>
      <c r="H51" s="64">
        <v>7.08</v>
      </c>
      <c r="I51" s="12" t="s">
        <v>415</v>
      </c>
      <c r="J51" s="77">
        <f>SUM(D51-F51-H51)</f>
        <v>193.54</v>
      </c>
      <c r="K51" s="12" t="s">
        <v>415</v>
      </c>
      <c r="L51" s="63">
        <f>SUM(J51+J52)</f>
        <v>440.65999999999997</v>
      </c>
    </row>
    <row r="52" spans="1:14">
      <c r="A52" s="50"/>
      <c r="B52" s="152"/>
      <c r="C52" s="59"/>
      <c r="D52" s="48">
        <v>272.24</v>
      </c>
      <c r="E52" s="13" t="s">
        <v>421</v>
      </c>
      <c r="F52" s="64">
        <v>12.56</v>
      </c>
      <c r="G52" s="13" t="s">
        <v>421</v>
      </c>
      <c r="H52" s="64">
        <v>12.56</v>
      </c>
      <c r="I52" s="12" t="s">
        <v>415</v>
      </c>
      <c r="J52" s="77">
        <f>SUM(D52-F52-H52)</f>
        <v>247.12</v>
      </c>
    </row>
    <row r="53" spans="1:14">
      <c r="A53" s="50"/>
      <c r="B53" s="49"/>
      <c r="D53" s="65"/>
      <c r="E53" s="12"/>
      <c r="F53" s="64"/>
      <c r="G53" s="12"/>
      <c r="H53" s="64"/>
      <c r="I53" s="12"/>
      <c r="J53" s="73"/>
      <c r="K53" s="12"/>
      <c r="L53" s="75"/>
    </row>
    <row r="54" spans="1:14">
      <c r="A54" s="50"/>
      <c r="B54" s="145" t="s">
        <v>432</v>
      </c>
      <c r="C54" s="60" t="s">
        <v>9</v>
      </c>
      <c r="D54" s="72">
        <v>10</v>
      </c>
      <c r="E54" s="12" t="s">
        <v>414</v>
      </c>
      <c r="F54" s="64">
        <v>7</v>
      </c>
      <c r="G54" s="12" t="s">
        <v>415</v>
      </c>
      <c r="H54" s="63">
        <f>SUM(D54*F54)</f>
        <v>70</v>
      </c>
      <c r="I54" s="5"/>
      <c r="K54" s="5"/>
    </row>
    <row r="55" spans="1:14">
      <c r="A55" s="50"/>
      <c r="B55" s="49"/>
      <c r="C55" s="5"/>
      <c r="D55" s="5"/>
      <c r="E55" s="5"/>
      <c r="G55" s="5"/>
      <c r="I55" s="5"/>
      <c r="K55" s="5"/>
    </row>
    <row r="56" spans="1:14">
      <c r="A56" s="50"/>
      <c r="B56" s="145" t="s">
        <v>425</v>
      </c>
      <c r="C56" s="60" t="s">
        <v>0</v>
      </c>
      <c r="D56" s="69">
        <v>10</v>
      </c>
      <c r="E56" s="12" t="s">
        <v>414</v>
      </c>
      <c r="F56" s="69">
        <v>7</v>
      </c>
      <c r="G56" s="12" t="s">
        <v>414</v>
      </c>
      <c r="H56" s="69">
        <v>0.15</v>
      </c>
      <c r="I56" s="12" t="s">
        <v>415</v>
      </c>
      <c r="J56" s="74">
        <f>SUM(D56*F56*H56)</f>
        <v>10.5</v>
      </c>
    </row>
    <row r="57" spans="1:14">
      <c r="A57" s="50"/>
      <c r="B57" s="49"/>
    </row>
    <row r="58" spans="1:14">
      <c r="A58" s="50"/>
      <c r="B58" s="146" t="s">
        <v>426</v>
      </c>
      <c r="C58" s="60" t="s">
        <v>9</v>
      </c>
    </row>
    <row r="59" spans="1:14">
      <c r="A59" s="50"/>
      <c r="B59" s="107" t="s">
        <v>428</v>
      </c>
      <c r="C59" s="59" t="s">
        <v>427</v>
      </c>
      <c r="D59" s="69">
        <v>8</v>
      </c>
      <c r="E59" s="12" t="s">
        <v>415</v>
      </c>
      <c r="F59" s="63">
        <f>SUM(D59)</f>
        <v>8</v>
      </c>
      <c r="G59" s="65"/>
      <c r="H59" s="64"/>
      <c r="I59" s="65"/>
      <c r="J59" s="64"/>
      <c r="K59" s="5"/>
    </row>
    <row r="60" spans="1:14">
      <c r="A60" s="50"/>
      <c r="B60" s="107" t="s">
        <v>429</v>
      </c>
      <c r="C60" s="13" t="s">
        <v>9</v>
      </c>
      <c r="D60" s="65">
        <v>15.9</v>
      </c>
      <c r="E60" s="65" t="s">
        <v>419</v>
      </c>
      <c r="F60" s="64">
        <v>15.6</v>
      </c>
      <c r="G60" s="12" t="s">
        <v>415</v>
      </c>
      <c r="H60" s="63">
        <f>SUM(D60+F60)</f>
        <v>31.5</v>
      </c>
      <c r="I60" s="65"/>
      <c r="J60" s="64"/>
      <c r="K60" s="5"/>
    </row>
    <row r="61" spans="1:14">
      <c r="A61" s="50"/>
      <c r="B61" s="49"/>
    </row>
    <row r="62" spans="1:14" ht="24">
      <c r="A62" s="50"/>
      <c r="B62" s="145" t="s">
        <v>436</v>
      </c>
      <c r="C62" s="60" t="s">
        <v>427</v>
      </c>
      <c r="E62" s="12" t="s">
        <v>415</v>
      </c>
      <c r="F62" s="186">
        <v>5</v>
      </c>
    </row>
    <row r="63" spans="1:14">
      <c r="A63" s="50"/>
      <c r="B63" s="49"/>
    </row>
    <row r="64" spans="1:14">
      <c r="A64" s="50"/>
      <c r="B64" s="145" t="s">
        <v>560</v>
      </c>
      <c r="C64" s="60" t="s">
        <v>427</v>
      </c>
      <c r="D64" s="65">
        <v>4</v>
      </c>
      <c r="E64" s="13" t="s">
        <v>419</v>
      </c>
      <c r="F64" s="64">
        <v>4</v>
      </c>
      <c r="G64" s="12" t="s">
        <v>415</v>
      </c>
      <c r="H64" s="63">
        <f>SUM(D64+F64)</f>
        <v>8</v>
      </c>
    </row>
    <row r="65" spans="1:18">
      <c r="A65" s="50"/>
      <c r="B65" s="49"/>
    </row>
    <row r="66" spans="1:18">
      <c r="A66" s="50"/>
      <c r="B66" s="145" t="s">
        <v>563</v>
      </c>
      <c r="C66" s="60" t="s">
        <v>427</v>
      </c>
      <c r="D66" s="65">
        <v>4</v>
      </c>
      <c r="E66" s="12" t="s">
        <v>414</v>
      </c>
      <c r="F66" s="64">
        <v>7</v>
      </c>
      <c r="G66" s="12" t="s">
        <v>415</v>
      </c>
      <c r="H66" s="63">
        <f>SUM(D66*F66)</f>
        <v>28</v>
      </c>
    </row>
    <row r="67" spans="1:18">
      <c r="A67" s="50"/>
      <c r="B67" s="49"/>
    </row>
    <row r="68" spans="1:18">
      <c r="A68" s="50"/>
      <c r="B68" s="145" t="s">
        <v>576</v>
      </c>
      <c r="C68" s="60" t="s">
        <v>427</v>
      </c>
      <c r="D68" s="65">
        <v>2</v>
      </c>
      <c r="E68" s="13" t="s">
        <v>419</v>
      </c>
      <c r="F68" s="64">
        <v>2</v>
      </c>
      <c r="G68" s="12" t="s">
        <v>415</v>
      </c>
      <c r="H68" s="63">
        <f>SUM(D68+F68)</f>
        <v>4</v>
      </c>
    </row>
    <row r="69" spans="1:18">
      <c r="A69" s="50"/>
      <c r="B69" s="49"/>
    </row>
    <row r="70" spans="1:18">
      <c r="A70" s="50"/>
      <c r="B70" s="145" t="s">
        <v>589</v>
      </c>
      <c r="C70" s="60" t="s">
        <v>427</v>
      </c>
    </row>
    <row r="71" spans="1:18">
      <c r="A71" s="50"/>
      <c r="B71" s="107" t="s">
        <v>592</v>
      </c>
      <c r="C71" s="13" t="s">
        <v>0</v>
      </c>
      <c r="D71" s="69">
        <v>0.6</v>
      </c>
      <c r="E71" s="12" t="s">
        <v>414</v>
      </c>
      <c r="F71" s="69">
        <v>0.6</v>
      </c>
      <c r="G71" s="12" t="s">
        <v>414</v>
      </c>
      <c r="H71" s="69">
        <v>0.67</v>
      </c>
      <c r="I71" s="12" t="s">
        <v>414</v>
      </c>
      <c r="J71" s="69">
        <v>2</v>
      </c>
      <c r="K71" s="12" t="s">
        <v>415</v>
      </c>
      <c r="L71" s="77">
        <f>SUM(D71*F71*H71*J71)</f>
        <v>0.4824</v>
      </c>
      <c r="M71" s="12" t="s">
        <v>414</v>
      </c>
      <c r="N71" s="69">
        <v>26</v>
      </c>
      <c r="O71" s="12" t="s">
        <v>415</v>
      </c>
      <c r="P71" s="74">
        <f>SUM(L71*N71)</f>
        <v>12.542400000000001</v>
      </c>
    </row>
    <row r="72" spans="1:18">
      <c r="A72" s="50"/>
      <c r="B72" s="107" t="s">
        <v>587</v>
      </c>
      <c r="C72" s="13" t="s">
        <v>515</v>
      </c>
      <c r="D72" s="69"/>
      <c r="E72" s="12" t="s">
        <v>415</v>
      </c>
      <c r="F72" s="74">
        <f>SUM(R73+R74+N75)</f>
        <v>49.819140000000004</v>
      </c>
      <c r="G72" s="12"/>
      <c r="H72" s="69"/>
      <c r="I72" s="12"/>
      <c r="J72" s="69"/>
      <c r="K72" s="12"/>
      <c r="L72" s="155"/>
      <c r="M72" s="12"/>
      <c r="N72" s="69"/>
      <c r="O72" s="12"/>
      <c r="P72" s="73"/>
    </row>
    <row r="73" spans="1:18">
      <c r="A73" s="50"/>
      <c r="B73" s="149" t="s">
        <v>578</v>
      </c>
      <c r="D73" s="69">
        <f>F82</f>
        <v>26.220600000000001</v>
      </c>
      <c r="E73" s="12" t="s">
        <v>414</v>
      </c>
      <c r="F73" s="156">
        <v>0.9</v>
      </c>
      <c r="G73" s="12" t="s">
        <v>415</v>
      </c>
      <c r="H73" s="77">
        <f>SUM(D73*F73)</f>
        <v>23.59854</v>
      </c>
      <c r="I73" s="13" t="s">
        <v>415</v>
      </c>
      <c r="J73" s="77">
        <f>SUM(D73+H73)</f>
        <v>49.819140000000004</v>
      </c>
      <c r="K73" s="12" t="s">
        <v>414</v>
      </c>
      <c r="L73" s="156">
        <v>0.6</v>
      </c>
      <c r="M73" s="12" t="s">
        <v>415</v>
      </c>
      <c r="N73" s="77">
        <f>SUM(J73*L73)</f>
        <v>29.891484000000002</v>
      </c>
      <c r="O73" s="5" t="s">
        <v>416</v>
      </c>
      <c r="P73" s="69">
        <v>2</v>
      </c>
      <c r="Q73" s="12" t="s">
        <v>415</v>
      </c>
      <c r="R73" s="74">
        <f>SUM(N73/P73)</f>
        <v>14.945742000000001</v>
      </c>
    </row>
    <row r="74" spans="1:18">
      <c r="A74" s="50"/>
      <c r="B74" s="149" t="s">
        <v>577</v>
      </c>
      <c r="D74" s="69">
        <f>D73</f>
        <v>26.220600000000001</v>
      </c>
      <c r="E74" s="12" t="s">
        <v>414</v>
      </c>
      <c r="F74" s="156">
        <v>0.9</v>
      </c>
      <c r="G74" s="12" t="s">
        <v>415</v>
      </c>
      <c r="H74" s="77">
        <f>SUM(D74*F74)</f>
        <v>23.59854</v>
      </c>
      <c r="I74" s="13" t="s">
        <v>415</v>
      </c>
      <c r="J74" s="77">
        <f t="shared" ref="J74:J75" si="0">SUM(D74+H74)</f>
        <v>49.819140000000004</v>
      </c>
      <c r="K74" s="12" t="s">
        <v>414</v>
      </c>
      <c r="L74" s="156">
        <v>0.6</v>
      </c>
      <c r="M74" s="12" t="s">
        <v>415</v>
      </c>
      <c r="N74" s="77">
        <f t="shared" ref="N74:N75" si="1">SUM(J74*L74)</f>
        <v>29.891484000000002</v>
      </c>
      <c r="O74" s="13" t="s">
        <v>416</v>
      </c>
      <c r="P74" s="69">
        <v>2</v>
      </c>
      <c r="Q74" s="12" t="s">
        <v>415</v>
      </c>
      <c r="R74" s="74">
        <f>SUM(N74/P74)</f>
        <v>14.945742000000001</v>
      </c>
    </row>
    <row r="75" spans="1:18">
      <c r="A75" s="50"/>
      <c r="B75" s="149" t="s">
        <v>579</v>
      </c>
      <c r="D75" s="69">
        <f>D73</f>
        <v>26.220600000000001</v>
      </c>
      <c r="E75" s="12" t="s">
        <v>414</v>
      </c>
      <c r="F75" s="156">
        <v>0.9</v>
      </c>
      <c r="G75" s="12" t="s">
        <v>415</v>
      </c>
      <c r="H75" s="77">
        <f>SUM(D75*F75)</f>
        <v>23.59854</v>
      </c>
      <c r="I75" s="13" t="s">
        <v>415</v>
      </c>
      <c r="J75" s="77">
        <f t="shared" si="0"/>
        <v>49.819140000000004</v>
      </c>
      <c r="K75" s="12" t="s">
        <v>414</v>
      </c>
      <c r="L75" s="156">
        <v>0.4</v>
      </c>
      <c r="M75" s="12" t="s">
        <v>415</v>
      </c>
      <c r="N75" s="74">
        <f t="shared" si="1"/>
        <v>19.927656000000002</v>
      </c>
    </row>
    <row r="76" spans="1:18">
      <c r="A76" s="50"/>
      <c r="B76" s="149" t="s">
        <v>580</v>
      </c>
      <c r="C76" s="13" t="s">
        <v>9</v>
      </c>
      <c r="D76" s="69"/>
      <c r="E76" s="12" t="s">
        <v>415</v>
      </c>
      <c r="F76" s="74">
        <f>SUM(P77+R78+R79+R80+H81)</f>
        <v>232.04999999999998</v>
      </c>
      <c r="G76" s="69"/>
      <c r="H76" s="69"/>
      <c r="I76" s="69"/>
      <c r="J76" s="69"/>
      <c r="K76" s="69"/>
      <c r="L76" s="69"/>
      <c r="M76" s="69"/>
      <c r="N76" s="69"/>
    </row>
    <row r="77" spans="1:18">
      <c r="A77" s="50"/>
      <c r="B77" s="149" t="s">
        <v>582</v>
      </c>
      <c r="D77" s="69">
        <v>0.2</v>
      </c>
      <c r="E77" s="12" t="s">
        <v>414</v>
      </c>
      <c r="F77" s="69">
        <v>4</v>
      </c>
      <c r="G77" s="12" t="s">
        <v>414</v>
      </c>
      <c r="H77" s="69">
        <v>2.4</v>
      </c>
      <c r="I77" s="12" t="s">
        <v>414</v>
      </c>
      <c r="J77" s="69">
        <v>2</v>
      </c>
      <c r="K77" s="12" t="s">
        <v>415</v>
      </c>
      <c r="L77" s="77">
        <f>SUM(D77*F77*H77*J77)</f>
        <v>3.84</v>
      </c>
      <c r="M77" s="12" t="s">
        <v>414</v>
      </c>
      <c r="N77" s="69">
        <v>26</v>
      </c>
      <c r="O77" s="12" t="s">
        <v>415</v>
      </c>
      <c r="P77" s="74">
        <f>SUM(L77*N77)</f>
        <v>99.84</v>
      </c>
    </row>
    <row r="78" spans="1:18">
      <c r="A78" s="50"/>
      <c r="B78" s="149" t="s">
        <v>583</v>
      </c>
      <c r="D78" s="69">
        <v>0.3</v>
      </c>
      <c r="E78" s="12" t="s">
        <v>414</v>
      </c>
      <c r="F78" s="69">
        <v>2</v>
      </c>
      <c r="G78" s="13" t="s">
        <v>419</v>
      </c>
      <c r="H78" s="69">
        <v>0.15</v>
      </c>
      <c r="I78" s="12" t="s">
        <v>415</v>
      </c>
      <c r="J78" s="77">
        <f>SUM(D78*F78)+H78</f>
        <v>0.75</v>
      </c>
      <c r="K78" s="12" t="s">
        <v>414</v>
      </c>
      <c r="L78" s="69">
        <v>4.0199999999999996</v>
      </c>
      <c r="M78" s="12" t="s">
        <v>415</v>
      </c>
      <c r="N78" s="77">
        <f>SUM(J78*L78)</f>
        <v>3.0149999999999997</v>
      </c>
      <c r="O78" s="12" t="s">
        <v>414</v>
      </c>
      <c r="P78" s="69">
        <v>26</v>
      </c>
      <c r="Q78" s="12" t="s">
        <v>415</v>
      </c>
      <c r="R78" s="74">
        <f>SUM(N78*P78)</f>
        <v>78.389999999999986</v>
      </c>
    </row>
    <row r="79" spans="1:18">
      <c r="A79" s="50"/>
      <c r="B79" s="149" t="s">
        <v>584</v>
      </c>
      <c r="D79" s="69">
        <f>D78</f>
        <v>0.3</v>
      </c>
      <c r="E79" s="12" t="s">
        <v>414</v>
      </c>
      <c r="F79" s="69">
        <f>F78</f>
        <v>2</v>
      </c>
      <c r="G79" s="13" t="s">
        <v>419</v>
      </c>
      <c r="H79" s="69">
        <f>H78</f>
        <v>0.15</v>
      </c>
      <c r="I79" s="12" t="s">
        <v>415</v>
      </c>
      <c r="J79" s="77">
        <f t="shared" ref="J79:J80" si="2">SUM(D79*F79)+H79</f>
        <v>0.75</v>
      </c>
      <c r="K79" s="12" t="s">
        <v>414</v>
      </c>
      <c r="L79" s="69">
        <v>14.24</v>
      </c>
      <c r="M79" s="12" t="s">
        <v>415</v>
      </c>
      <c r="N79" s="77">
        <f t="shared" ref="N79:N80" si="3">SUM(J79*L79)</f>
        <v>10.68</v>
      </c>
      <c r="O79" s="12" t="s">
        <v>414</v>
      </c>
      <c r="P79" s="69">
        <v>2</v>
      </c>
      <c r="Q79" s="12" t="s">
        <v>415</v>
      </c>
      <c r="R79" s="74">
        <f t="shared" ref="R79:R80" si="4">SUM(N79*P79)</f>
        <v>21.36</v>
      </c>
    </row>
    <row r="80" spans="1:18">
      <c r="A80" s="50"/>
      <c r="B80" s="149" t="s">
        <v>584</v>
      </c>
      <c r="D80" s="69">
        <f>D78</f>
        <v>0.3</v>
      </c>
      <c r="E80" s="12" t="s">
        <v>414</v>
      </c>
      <c r="F80" s="69">
        <f>F78</f>
        <v>2</v>
      </c>
      <c r="G80" s="13" t="s">
        <v>419</v>
      </c>
      <c r="H80" s="69">
        <f>H78</f>
        <v>0.15</v>
      </c>
      <c r="I80" s="12" t="s">
        <v>415</v>
      </c>
      <c r="J80" s="77">
        <f t="shared" si="2"/>
        <v>0.75</v>
      </c>
      <c r="K80" s="12" t="s">
        <v>414</v>
      </c>
      <c r="L80" s="69">
        <v>9.08</v>
      </c>
      <c r="M80" s="12" t="s">
        <v>415</v>
      </c>
      <c r="N80" s="77">
        <f t="shared" si="3"/>
        <v>6.8100000000000005</v>
      </c>
      <c r="O80" s="12" t="s">
        <v>414</v>
      </c>
      <c r="P80" s="69">
        <v>2</v>
      </c>
      <c r="Q80" s="12" t="s">
        <v>415</v>
      </c>
      <c r="R80" s="74">
        <f t="shared" si="4"/>
        <v>13.620000000000001</v>
      </c>
    </row>
    <row r="81" spans="1:18">
      <c r="A81" s="50"/>
      <c r="B81" s="149" t="s">
        <v>586</v>
      </c>
      <c r="D81" s="69">
        <f>D88</f>
        <v>31.400000000000002</v>
      </c>
      <c r="E81" s="12" t="s">
        <v>414</v>
      </c>
      <c r="F81" s="69">
        <f>F88</f>
        <v>0.6</v>
      </c>
      <c r="G81" s="12" t="s">
        <v>415</v>
      </c>
      <c r="H81" s="74">
        <f>SUM(D81*F81)</f>
        <v>18.84</v>
      </c>
      <c r="I81" s="12"/>
      <c r="J81" s="155"/>
      <c r="K81" s="12"/>
      <c r="L81" s="69"/>
      <c r="M81" s="12"/>
      <c r="N81" s="155"/>
      <c r="O81" s="12"/>
      <c r="P81" s="69"/>
      <c r="Q81" s="12"/>
      <c r="R81" s="73"/>
    </row>
    <row r="82" spans="1:18">
      <c r="A82" s="50"/>
      <c r="B82" s="149" t="s">
        <v>581</v>
      </c>
      <c r="C82" s="13" t="s">
        <v>0</v>
      </c>
      <c r="D82" s="5"/>
      <c r="E82" s="12" t="s">
        <v>415</v>
      </c>
      <c r="F82" s="74">
        <f>SUM(P83+P84+P85+L86+L87+J88)</f>
        <v>26.220600000000001</v>
      </c>
      <c r="G82" s="5"/>
      <c r="I82" s="5"/>
      <c r="K82" s="5"/>
    </row>
    <row r="83" spans="1:18">
      <c r="A83" s="50"/>
      <c r="B83" s="149" t="s">
        <v>593</v>
      </c>
      <c r="D83" s="154">
        <f>D71</f>
        <v>0.6</v>
      </c>
      <c r="E83" s="12" t="s">
        <v>414</v>
      </c>
      <c r="F83" s="155">
        <f>F71</f>
        <v>0.6</v>
      </c>
      <c r="G83" s="12" t="s">
        <v>414</v>
      </c>
      <c r="H83" s="69">
        <f>H71</f>
        <v>0.67</v>
      </c>
      <c r="I83" s="12" t="s">
        <v>414</v>
      </c>
      <c r="J83" s="69">
        <v>2</v>
      </c>
      <c r="K83" s="12" t="s">
        <v>415</v>
      </c>
      <c r="L83" s="74">
        <f>SUM(D83*F83*H83*J83)</f>
        <v>0.4824</v>
      </c>
      <c r="M83" s="12" t="s">
        <v>414</v>
      </c>
      <c r="N83" s="69">
        <v>26</v>
      </c>
      <c r="O83" s="12" t="s">
        <v>415</v>
      </c>
      <c r="P83" s="74">
        <f>SUM(L83*N83)</f>
        <v>12.542400000000001</v>
      </c>
    </row>
    <row r="84" spans="1:18">
      <c r="A84" s="50"/>
      <c r="B84" s="149" t="s">
        <v>582</v>
      </c>
      <c r="D84" s="154">
        <v>0.2</v>
      </c>
      <c r="E84" s="12" t="s">
        <v>414</v>
      </c>
      <c r="F84" s="155">
        <v>0.2</v>
      </c>
      <c r="G84" s="12" t="s">
        <v>414</v>
      </c>
      <c r="H84" s="69">
        <v>2.4</v>
      </c>
      <c r="I84" s="12" t="s">
        <v>414</v>
      </c>
      <c r="J84" s="69">
        <v>2</v>
      </c>
      <c r="K84" s="12" t="s">
        <v>415</v>
      </c>
      <c r="L84" s="74">
        <f>SUM(D84*F84*H84*J84)</f>
        <v>0.19200000000000003</v>
      </c>
      <c r="M84" s="12" t="s">
        <v>414</v>
      </c>
      <c r="N84" s="69">
        <v>26</v>
      </c>
      <c r="O84" s="12" t="s">
        <v>415</v>
      </c>
      <c r="P84" s="74">
        <f>SUM(L84*N84)</f>
        <v>4.9920000000000009</v>
      </c>
    </row>
    <row r="85" spans="1:18">
      <c r="A85" s="50"/>
      <c r="B85" s="149" t="s">
        <v>583</v>
      </c>
      <c r="D85" s="154">
        <v>0.15</v>
      </c>
      <c r="E85" s="12" t="s">
        <v>414</v>
      </c>
      <c r="F85" s="155">
        <v>0.3</v>
      </c>
      <c r="G85" s="12" t="s">
        <v>414</v>
      </c>
      <c r="H85" s="69">
        <v>4.0199999999999996</v>
      </c>
      <c r="I85" s="12" t="s">
        <v>414</v>
      </c>
      <c r="J85" s="69">
        <v>1</v>
      </c>
      <c r="K85" s="12" t="s">
        <v>415</v>
      </c>
      <c r="L85" s="74">
        <f t="shared" ref="L85" si="5">SUM(D85*F85*H85*J85)</f>
        <v>0.18089999999999998</v>
      </c>
      <c r="M85" s="12" t="s">
        <v>414</v>
      </c>
      <c r="N85" s="69">
        <v>26</v>
      </c>
      <c r="O85" s="12" t="s">
        <v>415</v>
      </c>
      <c r="P85" s="74">
        <f>SUM(L85*N85)</f>
        <v>4.7033999999999994</v>
      </c>
    </row>
    <row r="86" spans="1:18">
      <c r="A86" s="50"/>
      <c r="B86" s="149" t="s">
        <v>584</v>
      </c>
      <c r="D86" s="154">
        <v>0.15</v>
      </c>
      <c r="E86" s="12" t="s">
        <v>414</v>
      </c>
      <c r="F86" s="155">
        <v>0.3</v>
      </c>
      <c r="G86" s="12" t="s">
        <v>414</v>
      </c>
      <c r="H86" s="69">
        <f>L79</f>
        <v>14.24</v>
      </c>
      <c r="I86" s="12" t="s">
        <v>414</v>
      </c>
      <c r="J86" s="69">
        <v>2</v>
      </c>
      <c r="K86" s="12" t="s">
        <v>415</v>
      </c>
      <c r="L86" s="74">
        <f>SUM(D86*F86*H86*J86)</f>
        <v>1.2816000000000001</v>
      </c>
    </row>
    <row r="87" spans="1:18">
      <c r="A87" s="50"/>
      <c r="B87" s="149" t="s">
        <v>584</v>
      </c>
      <c r="D87" s="154">
        <v>0.15</v>
      </c>
      <c r="E87" s="12" t="s">
        <v>414</v>
      </c>
      <c r="F87" s="155">
        <v>0.3</v>
      </c>
      <c r="G87" s="12" t="s">
        <v>414</v>
      </c>
      <c r="H87" s="69">
        <f>L80</f>
        <v>9.08</v>
      </c>
      <c r="I87" s="12" t="s">
        <v>414</v>
      </c>
      <c r="J87" s="69">
        <v>2</v>
      </c>
      <c r="K87" s="12" t="s">
        <v>415</v>
      </c>
      <c r="L87" s="74">
        <f>SUM(D87*F87*H87*J87)</f>
        <v>0.81719999999999993</v>
      </c>
    </row>
    <row r="88" spans="1:18">
      <c r="A88" s="50"/>
      <c r="B88" s="149" t="s">
        <v>586</v>
      </c>
      <c r="D88" s="154">
        <f>N89</f>
        <v>31.400000000000002</v>
      </c>
      <c r="E88" s="12" t="s">
        <v>414</v>
      </c>
      <c r="F88" s="155">
        <v>0.6</v>
      </c>
      <c r="G88" s="12" t="s">
        <v>414</v>
      </c>
      <c r="H88" s="69">
        <v>0.1</v>
      </c>
      <c r="I88" s="12" t="s">
        <v>415</v>
      </c>
      <c r="J88" s="74">
        <f>SUM(D88*F88*H88)</f>
        <v>1.8840000000000001</v>
      </c>
      <c r="K88" s="12"/>
      <c r="L88" s="73"/>
    </row>
    <row r="89" spans="1:18">
      <c r="A89" s="50"/>
      <c r="B89" s="150" t="s">
        <v>585</v>
      </c>
      <c r="C89" s="13" t="s">
        <v>9</v>
      </c>
      <c r="D89" s="69">
        <v>2.5</v>
      </c>
      <c r="E89" s="12" t="s">
        <v>414</v>
      </c>
      <c r="F89" s="69">
        <v>2</v>
      </c>
      <c r="G89" s="12" t="s">
        <v>414</v>
      </c>
      <c r="H89" s="69">
        <v>3.14</v>
      </c>
      <c r="I89" s="12" t="s">
        <v>415</v>
      </c>
      <c r="J89" s="77">
        <f>SUM(D89*F89*H89)</f>
        <v>15.700000000000001</v>
      </c>
      <c r="K89" s="12" t="s">
        <v>414</v>
      </c>
      <c r="L89" s="69">
        <v>2</v>
      </c>
      <c r="M89" s="12" t="s">
        <v>415</v>
      </c>
      <c r="N89" s="74">
        <f>SUM(J89*L89)</f>
        <v>31.400000000000002</v>
      </c>
      <c r="O89" s="12" t="s">
        <v>414</v>
      </c>
      <c r="P89" s="69">
        <v>0.5</v>
      </c>
      <c r="Q89" s="12" t="s">
        <v>415</v>
      </c>
      <c r="R89" s="74">
        <f>SUM(N89*P89)</f>
        <v>15.700000000000001</v>
      </c>
    </row>
    <row r="90" spans="1:18">
      <c r="A90" s="50"/>
      <c r="B90" s="150" t="s">
        <v>49</v>
      </c>
      <c r="C90" s="13" t="s">
        <v>9</v>
      </c>
      <c r="D90" s="69">
        <f>R89</f>
        <v>15.700000000000001</v>
      </c>
      <c r="E90" s="12" t="s">
        <v>414</v>
      </c>
      <c r="F90" s="69">
        <v>2</v>
      </c>
      <c r="G90" s="12" t="s">
        <v>415</v>
      </c>
      <c r="H90" s="74">
        <f>SUM(D90*F90)</f>
        <v>31.400000000000002</v>
      </c>
      <c r="I90" s="5"/>
      <c r="K90" s="5"/>
    </row>
    <row r="91" spans="1:18">
      <c r="A91" s="50"/>
      <c r="B91" s="150" t="s">
        <v>267</v>
      </c>
      <c r="C91" s="13" t="s">
        <v>9</v>
      </c>
      <c r="D91" s="69">
        <f>D90</f>
        <v>15.700000000000001</v>
      </c>
      <c r="E91" s="12" t="s">
        <v>414</v>
      </c>
      <c r="F91" s="69">
        <v>2</v>
      </c>
      <c r="G91" s="12" t="s">
        <v>415</v>
      </c>
      <c r="H91" s="74">
        <f>SUM(D91*F91)</f>
        <v>31.400000000000002</v>
      </c>
      <c r="I91" s="5"/>
      <c r="K91" s="5"/>
    </row>
    <row r="92" spans="1:18">
      <c r="A92" s="50"/>
      <c r="B92" s="150" t="s">
        <v>588</v>
      </c>
      <c r="C92" s="13" t="s">
        <v>9</v>
      </c>
      <c r="D92" s="5">
        <f>3.14*(5.1*5.1)</f>
        <v>81.671399999999991</v>
      </c>
      <c r="E92" s="13" t="s">
        <v>421</v>
      </c>
      <c r="F92" s="5">
        <f>3.14*(2.5*2.5)</f>
        <v>19.625</v>
      </c>
      <c r="G92" s="12" t="s">
        <v>415</v>
      </c>
      <c r="H92" s="74">
        <f>SUM(D92-F92)</f>
        <v>62.046399999999991</v>
      </c>
      <c r="I92" s="5"/>
      <c r="K92" s="5"/>
    </row>
    <row r="93" spans="1:18">
      <c r="A93" s="50"/>
      <c r="B93" s="149" t="s">
        <v>513</v>
      </c>
      <c r="C93" s="13" t="s">
        <v>9</v>
      </c>
      <c r="D93" s="69">
        <f>H90</f>
        <v>31.400000000000002</v>
      </c>
      <c r="E93" s="13" t="s">
        <v>419</v>
      </c>
      <c r="F93" s="69">
        <f>SUM(F76)</f>
        <v>232.04999999999998</v>
      </c>
      <c r="G93" s="12" t="s">
        <v>415</v>
      </c>
      <c r="H93" s="74">
        <f>SUM(D93+F93)</f>
        <v>263.45</v>
      </c>
    </row>
    <row r="94" spans="1:18">
      <c r="A94" s="50"/>
      <c r="B94" s="149"/>
      <c r="D94" s="69"/>
      <c r="E94" s="12"/>
      <c r="F94" s="69"/>
      <c r="G94" s="12"/>
      <c r="H94" s="69"/>
      <c r="I94" s="5"/>
      <c r="K94" s="5"/>
    </row>
    <row r="95" spans="1:18">
      <c r="A95" s="50"/>
      <c r="B95" s="145" t="s">
        <v>590</v>
      </c>
      <c r="C95" s="60" t="s">
        <v>427</v>
      </c>
    </row>
    <row r="96" spans="1:18">
      <c r="A96" s="50"/>
      <c r="B96" s="107" t="s">
        <v>608</v>
      </c>
      <c r="C96" s="13" t="s">
        <v>0</v>
      </c>
      <c r="D96" s="69">
        <v>0.5</v>
      </c>
      <c r="E96" s="12" t="s">
        <v>414</v>
      </c>
      <c r="F96" s="69">
        <v>0.5</v>
      </c>
      <c r="G96" s="12" t="s">
        <v>414</v>
      </c>
      <c r="H96" s="69">
        <v>0.56999999999999995</v>
      </c>
      <c r="I96" s="12" t="s">
        <v>414</v>
      </c>
      <c r="J96" s="69">
        <v>2</v>
      </c>
      <c r="K96" s="12" t="s">
        <v>415</v>
      </c>
      <c r="L96" s="77">
        <f>SUM(D96*F96*H96*J96)</f>
        <v>0.28499999999999998</v>
      </c>
      <c r="M96" s="12" t="s">
        <v>414</v>
      </c>
      <c r="N96" s="69">
        <v>12</v>
      </c>
      <c r="O96" s="12" t="s">
        <v>415</v>
      </c>
      <c r="P96" s="74">
        <f>SUM(L96*N96)</f>
        <v>3.42</v>
      </c>
    </row>
    <row r="97" spans="1:18">
      <c r="A97" s="50"/>
      <c r="B97" s="107" t="s">
        <v>587</v>
      </c>
      <c r="C97" s="13" t="s">
        <v>515</v>
      </c>
      <c r="D97" s="69"/>
      <c r="E97" s="12" t="s">
        <v>415</v>
      </c>
      <c r="F97" s="74">
        <f>SUM(N98:N99)</f>
        <v>12.6996</v>
      </c>
      <c r="G97" s="12"/>
      <c r="H97" s="69"/>
      <c r="I97" s="12"/>
      <c r="J97" s="69"/>
      <c r="K97" s="12"/>
      <c r="L97" s="155"/>
      <c r="M97" s="12"/>
      <c r="N97" s="69"/>
      <c r="O97" s="12"/>
      <c r="P97" s="73"/>
    </row>
    <row r="98" spans="1:18">
      <c r="A98" s="50"/>
      <c r="B98" s="149" t="s">
        <v>578</v>
      </c>
      <c r="D98" s="69">
        <f>F103</f>
        <v>6.6840000000000002</v>
      </c>
      <c r="E98" s="12" t="s">
        <v>414</v>
      </c>
      <c r="F98" s="156">
        <v>0.9</v>
      </c>
      <c r="G98" s="12" t="s">
        <v>415</v>
      </c>
      <c r="H98" s="77">
        <f>SUM(D98*F98)</f>
        <v>6.0156000000000001</v>
      </c>
      <c r="I98" s="13" t="s">
        <v>415</v>
      </c>
      <c r="J98" s="77">
        <f>SUM(D98+H98)</f>
        <v>12.6996</v>
      </c>
      <c r="K98" s="12" t="s">
        <v>414</v>
      </c>
      <c r="L98" s="156">
        <v>0.6</v>
      </c>
      <c r="M98" s="12" t="s">
        <v>415</v>
      </c>
      <c r="N98" s="157">
        <f>SUM(J98*L98)</f>
        <v>7.6197599999999994</v>
      </c>
    </row>
    <row r="99" spans="1:18">
      <c r="A99" s="50"/>
      <c r="B99" s="149" t="s">
        <v>579</v>
      </c>
      <c r="D99" s="69">
        <f>D98</f>
        <v>6.6840000000000002</v>
      </c>
      <c r="E99" s="12" t="s">
        <v>414</v>
      </c>
      <c r="F99" s="156">
        <v>0.9</v>
      </c>
      <c r="G99" s="12" t="s">
        <v>415</v>
      </c>
      <c r="H99" s="77">
        <f>SUM(D99*F99)</f>
        <v>6.0156000000000001</v>
      </c>
      <c r="I99" s="13" t="s">
        <v>415</v>
      </c>
      <c r="J99" s="77">
        <f t="shared" ref="J99" si="6">SUM(D99+H99)</f>
        <v>12.6996</v>
      </c>
      <c r="K99" s="12" t="s">
        <v>414</v>
      </c>
      <c r="L99" s="156">
        <v>0.4</v>
      </c>
      <c r="M99" s="12" t="s">
        <v>415</v>
      </c>
      <c r="N99" s="157">
        <f t="shared" ref="N99" si="7">SUM(J99*L99)</f>
        <v>5.0798400000000008</v>
      </c>
    </row>
    <row r="100" spans="1:18">
      <c r="A100" s="50"/>
      <c r="B100" s="149" t="s">
        <v>580</v>
      </c>
      <c r="C100" s="13" t="s">
        <v>9</v>
      </c>
      <c r="D100" s="69"/>
      <c r="E100" s="12" t="s">
        <v>415</v>
      </c>
      <c r="F100" s="74">
        <f>SUM(P101+R102)</f>
        <v>60.480000000000004</v>
      </c>
      <c r="G100" s="69"/>
      <c r="H100" s="69"/>
      <c r="I100" s="69"/>
      <c r="J100" s="69"/>
      <c r="K100" s="69"/>
      <c r="L100" s="69"/>
      <c r="M100" s="69"/>
      <c r="N100" s="69"/>
    </row>
    <row r="101" spans="1:18">
      <c r="A101" s="50"/>
      <c r="B101" s="149" t="s">
        <v>582</v>
      </c>
      <c r="D101" s="69">
        <v>0.2</v>
      </c>
      <c r="E101" s="12" t="s">
        <v>414</v>
      </c>
      <c r="F101" s="69">
        <v>4</v>
      </c>
      <c r="G101" s="12" t="s">
        <v>414</v>
      </c>
      <c r="H101" s="69">
        <v>2.4</v>
      </c>
      <c r="I101" s="12" t="s">
        <v>414</v>
      </c>
      <c r="J101" s="69">
        <v>2</v>
      </c>
      <c r="K101" s="12" t="s">
        <v>415</v>
      </c>
      <c r="L101" s="77">
        <f>SUM(D101*F101*H101*J101)</f>
        <v>3.84</v>
      </c>
      <c r="M101" s="12" t="s">
        <v>414</v>
      </c>
      <c r="N101" s="69">
        <v>12</v>
      </c>
      <c r="O101" s="12" t="s">
        <v>415</v>
      </c>
      <c r="P101" s="74">
        <f>SUM(L101*N101)</f>
        <v>46.08</v>
      </c>
    </row>
    <row r="102" spans="1:18">
      <c r="A102" s="50"/>
      <c r="B102" s="149" t="s">
        <v>591</v>
      </c>
      <c r="D102" s="69">
        <v>0.2</v>
      </c>
      <c r="E102" s="12" t="s">
        <v>414</v>
      </c>
      <c r="F102" s="69">
        <v>2</v>
      </c>
      <c r="G102" s="13" t="s">
        <v>419</v>
      </c>
      <c r="H102" s="69">
        <v>0.2</v>
      </c>
      <c r="I102" s="12" t="s">
        <v>415</v>
      </c>
      <c r="J102" s="77">
        <f>SUM(D102*F102)+H102</f>
        <v>0.60000000000000009</v>
      </c>
      <c r="K102" s="12" t="s">
        <v>414</v>
      </c>
      <c r="L102" s="69">
        <v>2</v>
      </c>
      <c r="M102" s="12" t="s">
        <v>415</v>
      </c>
      <c r="N102" s="77">
        <f>SUM(J102*L102)</f>
        <v>1.2000000000000002</v>
      </c>
      <c r="O102" s="12" t="s">
        <v>414</v>
      </c>
      <c r="P102" s="69">
        <v>12</v>
      </c>
      <c r="Q102" s="12" t="s">
        <v>415</v>
      </c>
      <c r="R102" s="74">
        <f>SUM(N102*P102)</f>
        <v>14.400000000000002</v>
      </c>
    </row>
    <row r="103" spans="1:18">
      <c r="A103" s="50"/>
      <c r="B103" s="149" t="s">
        <v>581</v>
      </c>
      <c r="C103" s="13" t="s">
        <v>0</v>
      </c>
      <c r="D103" s="5"/>
      <c r="E103" s="12" t="s">
        <v>415</v>
      </c>
      <c r="F103" s="74">
        <f>SUM(P104+P105+P106)</f>
        <v>6.6840000000000002</v>
      </c>
      <c r="G103" s="5"/>
      <c r="I103" s="5"/>
      <c r="K103" s="5"/>
    </row>
    <row r="104" spans="1:18">
      <c r="A104" s="50"/>
      <c r="B104" s="149" t="s">
        <v>609</v>
      </c>
      <c r="D104" s="154">
        <f>D96</f>
        <v>0.5</v>
      </c>
      <c r="E104" s="12" t="s">
        <v>414</v>
      </c>
      <c r="F104" s="155">
        <f>F96</f>
        <v>0.5</v>
      </c>
      <c r="G104" s="12" t="s">
        <v>414</v>
      </c>
      <c r="H104" s="69">
        <f>H96</f>
        <v>0.56999999999999995</v>
      </c>
      <c r="I104" s="12" t="s">
        <v>414</v>
      </c>
      <c r="J104" s="69">
        <v>2</v>
      </c>
      <c r="K104" s="12" t="s">
        <v>415</v>
      </c>
      <c r="L104" s="74">
        <f>SUM(D104*F104*H104*J104)</f>
        <v>0.28499999999999998</v>
      </c>
      <c r="M104" s="12" t="s">
        <v>414</v>
      </c>
      <c r="N104" s="69">
        <v>12</v>
      </c>
      <c r="O104" s="12" t="s">
        <v>415</v>
      </c>
      <c r="P104" s="74">
        <f>SUM(L104*N104)</f>
        <v>3.42</v>
      </c>
    </row>
    <row r="105" spans="1:18">
      <c r="A105" s="50"/>
      <c r="B105" s="149" t="s">
        <v>582</v>
      </c>
      <c r="D105" s="154">
        <v>0.2</v>
      </c>
      <c r="E105" s="12" t="s">
        <v>414</v>
      </c>
      <c r="F105" s="155">
        <v>0.2</v>
      </c>
      <c r="G105" s="12" t="s">
        <v>414</v>
      </c>
      <c r="H105" s="69">
        <v>2.4</v>
      </c>
      <c r="I105" s="12" t="s">
        <v>414</v>
      </c>
      <c r="J105" s="69">
        <v>2</v>
      </c>
      <c r="K105" s="12" t="s">
        <v>415</v>
      </c>
      <c r="L105" s="74">
        <f>SUM(D105*F105*H105*J105)</f>
        <v>0.19200000000000003</v>
      </c>
      <c r="M105" s="12" t="s">
        <v>414</v>
      </c>
      <c r="N105" s="69">
        <v>12</v>
      </c>
      <c r="O105" s="12" t="s">
        <v>415</v>
      </c>
      <c r="P105" s="74">
        <f>SUM(L105*N105)</f>
        <v>2.3040000000000003</v>
      </c>
    </row>
    <row r="106" spans="1:18">
      <c r="A106" s="50"/>
      <c r="B106" s="149" t="s">
        <v>591</v>
      </c>
      <c r="D106" s="154">
        <v>0.2</v>
      </c>
      <c r="E106" s="12" t="s">
        <v>414</v>
      </c>
      <c r="F106" s="155">
        <v>0.2</v>
      </c>
      <c r="G106" s="12" t="s">
        <v>414</v>
      </c>
      <c r="H106" s="69">
        <v>2</v>
      </c>
      <c r="I106" s="12" t="s">
        <v>414</v>
      </c>
      <c r="J106" s="69">
        <v>1</v>
      </c>
      <c r="K106" s="12" t="s">
        <v>415</v>
      </c>
      <c r="L106" s="74">
        <f t="shared" ref="L106" si="8">SUM(D106*F106*H106*J106)</f>
        <v>8.0000000000000016E-2</v>
      </c>
      <c r="M106" s="12" t="s">
        <v>414</v>
      </c>
      <c r="N106" s="69">
        <v>12</v>
      </c>
      <c r="O106" s="12" t="s">
        <v>415</v>
      </c>
      <c r="P106" s="74">
        <f>SUM(L106*N106)</f>
        <v>0.96000000000000019</v>
      </c>
    </row>
    <row r="107" spans="1:18">
      <c r="A107" s="50"/>
      <c r="B107" s="149" t="s">
        <v>513</v>
      </c>
      <c r="C107" s="13" t="s">
        <v>9</v>
      </c>
      <c r="D107" s="69"/>
      <c r="E107" s="12" t="s">
        <v>415</v>
      </c>
      <c r="F107" s="74">
        <f>F100</f>
        <v>60.480000000000004</v>
      </c>
      <c r="G107" s="5"/>
    </row>
    <row r="108" spans="1:18">
      <c r="A108" s="50"/>
      <c r="B108" s="49"/>
    </row>
    <row r="109" spans="1:18">
      <c r="A109" s="50"/>
      <c r="B109" s="145" t="s">
        <v>594</v>
      </c>
      <c r="C109" s="60" t="s">
        <v>427</v>
      </c>
    </row>
    <row r="110" spans="1:18">
      <c r="A110" s="50"/>
      <c r="B110" s="107" t="s">
        <v>597</v>
      </c>
      <c r="C110" s="13" t="s">
        <v>0</v>
      </c>
      <c r="D110" s="69">
        <v>0.2</v>
      </c>
      <c r="E110" s="12" t="s">
        <v>414</v>
      </c>
      <c r="F110" s="69">
        <v>0.3</v>
      </c>
      <c r="G110" s="12" t="s">
        <v>414</v>
      </c>
      <c r="H110" s="69">
        <f>3.14+5.81+3.14</f>
        <v>12.09</v>
      </c>
      <c r="I110" s="12" t="s">
        <v>414</v>
      </c>
      <c r="J110" s="69">
        <v>3</v>
      </c>
      <c r="K110" s="12" t="s">
        <v>415</v>
      </c>
      <c r="L110" s="157">
        <f>SUM(D110*F110*H110*J110)</f>
        <v>2.1761999999999997</v>
      </c>
    </row>
    <row r="111" spans="1:18">
      <c r="A111" s="50"/>
      <c r="B111" s="107" t="s">
        <v>587</v>
      </c>
      <c r="C111" s="13" t="s">
        <v>515</v>
      </c>
      <c r="D111" s="69"/>
      <c r="E111" s="12" t="s">
        <v>415</v>
      </c>
      <c r="F111" s="74">
        <f>SUM(N112:N113)</f>
        <v>5.4163199999999989</v>
      </c>
      <c r="G111" s="12"/>
      <c r="H111" s="69"/>
      <c r="I111" s="12"/>
      <c r="J111" s="69"/>
      <c r="M111" s="12"/>
      <c r="N111" s="69"/>
      <c r="O111" s="12"/>
      <c r="P111" s="73"/>
    </row>
    <row r="112" spans="1:18">
      <c r="A112" s="50"/>
      <c r="B112" s="149" t="s">
        <v>599</v>
      </c>
      <c r="D112" s="69">
        <f>F116</f>
        <v>3.3851999999999998</v>
      </c>
      <c r="E112" s="12" t="s">
        <v>414</v>
      </c>
      <c r="F112" s="156">
        <v>0.6</v>
      </c>
      <c r="G112" s="12" t="s">
        <v>415</v>
      </c>
      <c r="H112" s="77">
        <f>SUM(D112*F112)</f>
        <v>2.0311199999999996</v>
      </c>
      <c r="I112" s="13" t="s">
        <v>415</v>
      </c>
      <c r="J112" s="77">
        <f>SUM(D112+H112)</f>
        <v>5.4163199999999989</v>
      </c>
      <c r="K112" s="12" t="s">
        <v>414</v>
      </c>
      <c r="L112" s="156">
        <v>0.6</v>
      </c>
      <c r="M112" s="12" t="s">
        <v>415</v>
      </c>
      <c r="N112" s="157">
        <f>SUM(J112*L112)</f>
        <v>3.2497919999999993</v>
      </c>
    </row>
    <row r="113" spans="1:14">
      <c r="A113" s="50"/>
      <c r="B113" s="149" t="s">
        <v>579</v>
      </c>
      <c r="D113" s="69">
        <f>D112</f>
        <v>3.3851999999999998</v>
      </c>
      <c r="E113" s="12" t="s">
        <v>414</v>
      </c>
      <c r="F113" s="156">
        <v>0.6</v>
      </c>
      <c r="G113" s="12" t="s">
        <v>415</v>
      </c>
      <c r="H113" s="77">
        <f>SUM(D113*F113)</f>
        <v>2.0311199999999996</v>
      </c>
      <c r="I113" s="13" t="s">
        <v>415</v>
      </c>
      <c r="J113" s="77">
        <f t="shared" ref="J113" si="9">SUM(D113+H113)</f>
        <v>5.4163199999999989</v>
      </c>
      <c r="K113" s="12" t="s">
        <v>414</v>
      </c>
      <c r="L113" s="156">
        <v>0.4</v>
      </c>
      <c r="M113" s="12" t="s">
        <v>415</v>
      </c>
      <c r="N113" s="157">
        <f t="shared" ref="N113" si="10">SUM(J113*L113)</f>
        <v>2.1665279999999996</v>
      </c>
    </row>
    <row r="114" spans="1:14">
      <c r="A114" s="50"/>
      <c r="B114" s="149" t="s">
        <v>580</v>
      </c>
      <c r="C114" s="13" t="s">
        <v>9</v>
      </c>
      <c r="F114" s="13"/>
      <c r="H114" s="69"/>
      <c r="I114" s="69"/>
      <c r="J114" s="69"/>
      <c r="K114" s="69"/>
      <c r="L114" s="69"/>
      <c r="M114" s="69"/>
      <c r="N114" s="69"/>
    </row>
    <row r="115" spans="1:14">
      <c r="A115" s="50"/>
      <c r="B115" s="149" t="s">
        <v>595</v>
      </c>
      <c r="D115" s="69">
        <f>D120</f>
        <v>2</v>
      </c>
      <c r="E115" s="12" t="s">
        <v>414</v>
      </c>
      <c r="F115" s="69">
        <f>F120</f>
        <v>12.09</v>
      </c>
      <c r="G115" s="12" t="s">
        <v>415</v>
      </c>
      <c r="H115" s="157">
        <f>SUM(D115*F115)</f>
        <v>24.18</v>
      </c>
      <c r="I115" s="5"/>
      <c r="K115" s="5"/>
    </row>
    <row r="116" spans="1:14">
      <c r="A116" s="50"/>
      <c r="B116" s="149" t="s">
        <v>581</v>
      </c>
      <c r="C116" s="13" t="s">
        <v>0</v>
      </c>
      <c r="D116" s="5"/>
      <c r="E116" s="12" t="s">
        <v>415</v>
      </c>
      <c r="F116" s="74">
        <f>SUM(L117+L118)</f>
        <v>3.3851999999999998</v>
      </c>
      <c r="G116" s="5"/>
      <c r="I116" s="5"/>
      <c r="K116" s="5"/>
    </row>
    <row r="117" spans="1:14">
      <c r="A117" s="50"/>
      <c r="B117" s="149" t="s">
        <v>596</v>
      </c>
      <c r="D117" s="69">
        <v>0.2</v>
      </c>
      <c r="E117" s="12" t="s">
        <v>414</v>
      </c>
      <c r="F117" s="69">
        <v>0.3</v>
      </c>
      <c r="G117" s="12" t="s">
        <v>414</v>
      </c>
      <c r="H117" s="69">
        <f>3.14+5.81+3.14</f>
        <v>12.09</v>
      </c>
      <c r="I117" s="12" t="s">
        <v>414</v>
      </c>
      <c r="J117" s="69">
        <v>3</v>
      </c>
      <c r="K117" s="12" t="s">
        <v>415</v>
      </c>
      <c r="L117" s="157">
        <f>SUM(D117*F117*H117*J117)</f>
        <v>2.1761999999999997</v>
      </c>
    </row>
    <row r="118" spans="1:14">
      <c r="A118" s="50"/>
      <c r="B118" s="149" t="s">
        <v>595</v>
      </c>
      <c r="D118" s="154">
        <v>2</v>
      </c>
      <c r="E118" s="12" t="s">
        <v>414</v>
      </c>
      <c r="F118" s="155">
        <v>12.09</v>
      </c>
      <c r="G118" s="12" t="s">
        <v>414</v>
      </c>
      <c r="H118" s="69">
        <v>0.05</v>
      </c>
      <c r="I118" s="12" t="s">
        <v>414</v>
      </c>
      <c r="J118" s="69">
        <v>1</v>
      </c>
      <c r="K118" s="12" t="s">
        <v>415</v>
      </c>
      <c r="L118" s="74">
        <f>SUM(D118*F118*H118*J118)</f>
        <v>1.2090000000000001</v>
      </c>
    </row>
    <row r="119" spans="1:14">
      <c r="A119" s="50"/>
      <c r="B119" s="149" t="s">
        <v>598</v>
      </c>
      <c r="D119" s="154">
        <v>1</v>
      </c>
      <c r="E119" s="12" t="s">
        <v>414</v>
      </c>
      <c r="F119" s="155">
        <v>12.09</v>
      </c>
      <c r="G119" s="12" t="s">
        <v>414</v>
      </c>
      <c r="H119" s="69">
        <v>3</v>
      </c>
      <c r="I119" s="12" t="s">
        <v>415</v>
      </c>
      <c r="J119" s="74">
        <f>SUM(D119*F119*H119)</f>
        <v>36.269999999999996</v>
      </c>
    </row>
    <row r="120" spans="1:14">
      <c r="A120" s="50"/>
      <c r="B120" s="149" t="s">
        <v>595</v>
      </c>
      <c r="D120" s="154">
        <v>2</v>
      </c>
      <c r="E120" s="12" t="s">
        <v>414</v>
      </c>
      <c r="F120" s="155">
        <v>12.09</v>
      </c>
      <c r="G120" s="12" t="s">
        <v>415</v>
      </c>
      <c r="H120" s="157">
        <f>SUM(D120*F120)</f>
        <v>24.18</v>
      </c>
      <c r="I120" s="5"/>
      <c r="K120" s="5"/>
    </row>
    <row r="121" spans="1:14">
      <c r="A121" s="50"/>
      <c r="B121" s="150" t="s">
        <v>49</v>
      </c>
      <c r="C121" s="13" t="s">
        <v>9</v>
      </c>
      <c r="D121" s="69">
        <f>D119</f>
        <v>1</v>
      </c>
      <c r="E121" s="12" t="s">
        <v>414</v>
      </c>
      <c r="F121" s="69">
        <f>F119</f>
        <v>12.09</v>
      </c>
      <c r="G121" s="12" t="s">
        <v>414</v>
      </c>
      <c r="H121" s="69">
        <v>2</v>
      </c>
      <c r="I121" s="12" t="s">
        <v>415</v>
      </c>
      <c r="J121" s="74">
        <f>SUM(D121*F121*H121)</f>
        <v>24.18</v>
      </c>
      <c r="K121" s="12"/>
      <c r="L121" s="73"/>
    </row>
    <row r="122" spans="1:14">
      <c r="A122" s="50"/>
      <c r="B122" s="150" t="s">
        <v>267</v>
      </c>
      <c r="C122" s="13" t="s">
        <v>9</v>
      </c>
      <c r="D122" s="69">
        <v>1</v>
      </c>
      <c r="E122" s="12" t="s">
        <v>414</v>
      </c>
      <c r="F122" s="69">
        <f>F120</f>
        <v>12.09</v>
      </c>
      <c r="G122" s="12" t="s">
        <v>414</v>
      </c>
      <c r="H122" s="69">
        <v>2</v>
      </c>
      <c r="I122" s="12" t="s">
        <v>415</v>
      </c>
      <c r="J122" s="74">
        <f>SUM(D122*F122*H122)</f>
        <v>24.18</v>
      </c>
      <c r="K122" s="12"/>
      <c r="L122" s="73"/>
    </row>
    <row r="123" spans="1:14">
      <c r="A123" s="50"/>
      <c r="B123" s="150" t="s">
        <v>617</v>
      </c>
      <c r="C123" s="13" t="s">
        <v>9</v>
      </c>
      <c r="D123" s="69"/>
      <c r="E123" s="12" t="s">
        <v>415</v>
      </c>
      <c r="F123" s="157">
        <f>H120</f>
        <v>24.18</v>
      </c>
      <c r="G123" s="12"/>
      <c r="H123" s="69"/>
      <c r="I123" s="12"/>
      <c r="J123" s="73"/>
      <c r="K123" s="12"/>
      <c r="L123" s="73"/>
    </row>
    <row r="124" spans="1:14">
      <c r="A124" s="50"/>
      <c r="B124" s="149" t="s">
        <v>513</v>
      </c>
      <c r="C124" s="13" t="s">
        <v>9</v>
      </c>
      <c r="D124" s="69"/>
      <c r="E124" s="12" t="s">
        <v>415</v>
      </c>
      <c r="F124" s="74">
        <f>J121</f>
        <v>24.18</v>
      </c>
      <c r="G124" s="5"/>
    </row>
    <row r="125" spans="1:14">
      <c r="A125" s="50"/>
      <c r="B125" s="49"/>
    </row>
    <row r="126" spans="1:14">
      <c r="A126" s="50"/>
      <c r="B126" s="49"/>
    </row>
    <row r="127" spans="1:14">
      <c r="A127" s="50"/>
      <c r="B127" s="49"/>
    </row>
    <row r="128" spans="1:14">
      <c r="A128" s="50"/>
      <c r="B128" s="49"/>
    </row>
    <row r="129" spans="1:2">
      <c r="A129" s="50"/>
      <c r="B129" s="49"/>
    </row>
    <row r="130" spans="1:2">
      <c r="A130" s="50"/>
      <c r="B130" s="49"/>
    </row>
    <row r="131" spans="1:2">
      <c r="A131" s="50"/>
      <c r="B131" s="49"/>
    </row>
    <row r="132" spans="1:2">
      <c r="A132" s="50"/>
      <c r="B132" s="49"/>
    </row>
    <row r="133" spans="1:2">
      <c r="A133" s="50"/>
      <c r="B133" s="49"/>
    </row>
    <row r="134" spans="1:2">
      <c r="A134" s="50"/>
      <c r="B134" s="49"/>
    </row>
    <row r="135" spans="1:2">
      <c r="A135" s="50"/>
      <c r="B135" s="49"/>
    </row>
    <row r="136" spans="1:2">
      <c r="A136" s="50"/>
      <c r="B136" s="49"/>
    </row>
    <row r="137" spans="1:2">
      <c r="A137" s="50"/>
      <c r="B137" s="49"/>
    </row>
    <row r="138" spans="1:2">
      <c r="A138" s="50"/>
      <c r="B138" s="49"/>
    </row>
    <row r="139" spans="1:2">
      <c r="A139" s="50"/>
      <c r="B139" s="49"/>
    </row>
    <row r="140" spans="1:2">
      <c r="A140" s="50"/>
      <c r="B140" s="49"/>
    </row>
    <row r="141" spans="1:2">
      <c r="A141" s="50"/>
      <c r="B141" s="49"/>
    </row>
    <row r="142" spans="1:2">
      <c r="A142" s="50"/>
      <c r="B142" s="49"/>
    </row>
    <row r="143" spans="1:2">
      <c r="A143" s="50"/>
      <c r="B143" s="49"/>
    </row>
    <row r="144" spans="1:2">
      <c r="A144" s="50"/>
      <c r="B144" s="49"/>
    </row>
    <row r="145" spans="1:2">
      <c r="A145" s="50"/>
      <c r="B145" s="49"/>
    </row>
    <row r="146" spans="1:2">
      <c r="A146" s="50"/>
      <c r="B146" s="49"/>
    </row>
    <row r="147" spans="1:2">
      <c r="A147" s="50"/>
      <c r="B147" s="49"/>
    </row>
    <row r="148" spans="1:2">
      <c r="A148" s="50"/>
      <c r="B148" s="49"/>
    </row>
    <row r="149" spans="1:2">
      <c r="A149" s="50"/>
      <c r="B149" s="49"/>
    </row>
    <row r="150" spans="1:2">
      <c r="A150" s="50"/>
      <c r="B150" s="49"/>
    </row>
    <row r="151" spans="1:2">
      <c r="A151" s="50"/>
      <c r="B151" s="49"/>
    </row>
    <row r="152" spans="1:2">
      <c r="A152" s="50"/>
      <c r="B152" s="49"/>
    </row>
    <row r="153" spans="1:2">
      <c r="A153" s="50"/>
      <c r="B153" s="49"/>
    </row>
    <row r="154" spans="1:2">
      <c r="A154" s="50"/>
      <c r="B154" s="49"/>
    </row>
    <row r="155" spans="1:2">
      <c r="A155" s="50"/>
      <c r="B155" s="49"/>
    </row>
    <row r="156" spans="1:2">
      <c r="A156" s="50"/>
      <c r="B156" s="49"/>
    </row>
    <row r="157" spans="1:2">
      <c r="A157" s="50"/>
      <c r="B157" s="49"/>
    </row>
    <row r="158" spans="1:2">
      <c r="A158" s="50"/>
      <c r="B158" s="49"/>
    </row>
    <row r="159" spans="1:2">
      <c r="A159" s="50"/>
      <c r="B159" s="49"/>
    </row>
    <row r="160" spans="1:2">
      <c r="A160" s="50"/>
      <c r="B160" s="49"/>
    </row>
    <row r="161" spans="1:2">
      <c r="A161" s="50"/>
      <c r="B161" s="49"/>
    </row>
    <row r="162" spans="1:2">
      <c r="A162" s="50"/>
      <c r="B162" s="49"/>
    </row>
    <row r="163" spans="1:2">
      <c r="A163" s="50"/>
      <c r="B163" s="49"/>
    </row>
    <row r="164" spans="1:2">
      <c r="A164" s="50"/>
      <c r="B164" s="49"/>
    </row>
    <row r="165" spans="1:2">
      <c r="A165" s="50"/>
      <c r="B165" s="49"/>
    </row>
    <row r="166" spans="1:2">
      <c r="A166" s="50"/>
      <c r="B166" s="49"/>
    </row>
    <row r="167" spans="1:2">
      <c r="A167" s="50"/>
      <c r="B167" s="49"/>
    </row>
    <row r="168" spans="1:2">
      <c r="A168" s="50"/>
      <c r="B168" s="49"/>
    </row>
    <row r="169" spans="1:2">
      <c r="A169" s="50"/>
      <c r="B169" s="49"/>
    </row>
    <row r="170" spans="1:2">
      <c r="A170" s="50"/>
      <c r="B170" s="49"/>
    </row>
    <row r="171" spans="1:2">
      <c r="A171" s="50"/>
      <c r="B171" s="49"/>
    </row>
    <row r="172" spans="1:2">
      <c r="A172" s="50"/>
      <c r="B172" s="49"/>
    </row>
    <row r="173" spans="1:2">
      <c r="A173" s="50"/>
      <c r="B173" s="49"/>
    </row>
    <row r="174" spans="1:2">
      <c r="A174" s="50"/>
      <c r="B174" s="49"/>
    </row>
    <row r="175" spans="1:2">
      <c r="A175" s="50"/>
      <c r="B175" s="49"/>
    </row>
    <row r="176" spans="1:2">
      <c r="A176" s="50"/>
      <c r="B176" s="49"/>
    </row>
    <row r="177" spans="1:2">
      <c r="A177" s="50"/>
      <c r="B177" s="49"/>
    </row>
    <row r="178" spans="1:2">
      <c r="A178" s="50"/>
      <c r="B178" s="49"/>
    </row>
    <row r="179" spans="1:2">
      <c r="A179" s="50"/>
      <c r="B179" s="49"/>
    </row>
    <row r="180" spans="1:2">
      <c r="A180" s="50"/>
      <c r="B180" s="49"/>
    </row>
  </sheetData>
  <mergeCells count="8">
    <mergeCell ref="B7:F7"/>
    <mergeCell ref="B8:F8"/>
    <mergeCell ref="A9:F9"/>
    <mergeCell ref="A1:G1"/>
    <mergeCell ref="A3:G3"/>
    <mergeCell ref="A4:G4"/>
    <mergeCell ref="A6:H6"/>
    <mergeCell ref="A2:H2"/>
  </mergeCells>
  <conditionalFormatting sqref="B73:B95 B98:B107 B109 B112:B124">
    <cfRule type="expression" dxfId="38" priority="5" stopIfTrue="1">
      <formula>OR(RIGHT(#REF!,2)="00",#REF!="")</formula>
    </cfRule>
  </conditionalFormatting>
  <pageMargins left="0.51181102362204722" right="0.51181102362204722" top="0.78740157480314965" bottom="0.78740157480314965" header="0.31496062992125984" footer="0.31496062992125984"/>
  <pageSetup paperSize="9" scale="68" orientation="landscape" r:id="rId1"/>
  <rowBreaks count="3" manualBreakCount="3">
    <brk id="39" max="16383" man="1"/>
    <brk id="68" max="16383" man="1"/>
    <brk id="10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28"/>
  <sheetViews>
    <sheetView topLeftCell="A289" zoomScaleNormal="100" workbookViewId="0">
      <selection activeCell="J294" sqref="J294"/>
    </sheetView>
  </sheetViews>
  <sheetFormatPr defaultRowHeight="12"/>
  <cols>
    <col min="1" max="1" width="12.42578125" style="49" bestFit="1" customWidth="1"/>
    <col min="2" max="2" width="11.85546875" style="49" bestFit="1" customWidth="1"/>
    <col min="3" max="3" width="78.140625" style="49" bestFit="1" customWidth="1"/>
    <col min="4" max="4" width="7" style="49" bestFit="1" customWidth="1"/>
    <col min="5" max="5" width="13.28515625" style="49" bestFit="1" customWidth="1"/>
    <col min="6" max="6" width="13.28515625" style="50" customWidth="1"/>
    <col min="7" max="7" width="12.7109375" style="50" customWidth="1"/>
    <col min="8" max="8" width="6" style="49" bestFit="1" customWidth="1"/>
    <col min="9" max="9" width="11.28515625" style="49" bestFit="1" customWidth="1"/>
    <col min="10" max="10" width="9.140625" style="49"/>
    <col min="11" max="11" width="37.5703125" style="49" customWidth="1"/>
    <col min="12" max="12" width="9.140625" style="49"/>
    <col min="13" max="13" width="11.28515625" style="49" bestFit="1" customWidth="1"/>
    <col min="14" max="16384" width="9.140625" style="49"/>
  </cols>
  <sheetData>
    <row r="1" spans="1:7" ht="12.75" customHeight="1">
      <c r="A1" s="240" t="s">
        <v>318</v>
      </c>
      <c r="B1" s="240"/>
      <c r="C1" s="240"/>
      <c r="D1" s="240"/>
      <c r="E1" s="240"/>
      <c r="F1" s="240"/>
      <c r="G1" s="240"/>
    </row>
    <row r="2" spans="1:7" ht="12.75" customHeight="1">
      <c r="A2" s="240" t="s">
        <v>319</v>
      </c>
      <c r="B2" s="240"/>
      <c r="C2" s="240"/>
      <c r="D2" s="240"/>
      <c r="E2" s="240"/>
      <c r="F2" s="240"/>
      <c r="G2" s="240"/>
    </row>
    <row r="3" spans="1:7" ht="12.75" customHeight="1">
      <c r="A3" s="240" t="s">
        <v>320</v>
      </c>
      <c r="B3" s="240"/>
      <c r="C3" s="240"/>
      <c r="D3" s="240"/>
      <c r="E3" s="240"/>
      <c r="F3" s="240"/>
      <c r="G3" s="240"/>
    </row>
    <row r="4" spans="1:7">
      <c r="A4" s="51"/>
      <c r="B4" s="51"/>
      <c r="C4" s="51"/>
      <c r="D4" s="51"/>
      <c r="E4" s="51"/>
      <c r="F4" s="52"/>
      <c r="G4" s="52"/>
    </row>
    <row r="5" spans="1:7">
      <c r="A5" s="240" t="s">
        <v>21</v>
      </c>
      <c r="B5" s="240"/>
      <c r="C5" s="240"/>
      <c r="D5" s="240"/>
      <c r="E5" s="240"/>
      <c r="F5" s="240"/>
      <c r="G5" s="240"/>
    </row>
    <row r="6" spans="1:7" ht="12.75" thickBot="1">
      <c r="A6" s="117"/>
      <c r="B6" s="117"/>
      <c r="C6" s="117"/>
      <c r="D6" s="117"/>
      <c r="E6" s="117"/>
      <c r="F6" s="53"/>
      <c r="G6" s="49"/>
    </row>
    <row r="7" spans="1:7" ht="12.75" thickTop="1">
      <c r="A7" s="51"/>
      <c r="B7" s="51"/>
      <c r="C7" s="51"/>
      <c r="D7" s="51"/>
      <c r="E7" s="256" t="s">
        <v>22</v>
      </c>
      <c r="F7" s="257"/>
      <c r="G7" s="54">
        <v>22.01</v>
      </c>
    </row>
    <row r="8" spans="1:7">
      <c r="A8" s="51"/>
      <c r="B8" s="51"/>
      <c r="C8" s="51"/>
      <c r="D8" s="51"/>
      <c r="E8" s="258" t="s">
        <v>23</v>
      </c>
      <c r="F8" s="259"/>
      <c r="G8" s="55">
        <v>116.85</v>
      </c>
    </row>
    <row r="9" spans="1:7" ht="23.25" customHeight="1" thickBot="1">
      <c r="A9" s="51"/>
      <c r="B9" s="51"/>
      <c r="C9" s="51"/>
      <c r="D9" s="51"/>
      <c r="E9" s="253" t="s">
        <v>624</v>
      </c>
      <c r="F9" s="254"/>
      <c r="G9" s="255"/>
    </row>
    <row r="10" spans="1:7" ht="12.75" thickTop="1">
      <c r="F10" s="49"/>
      <c r="G10" s="49"/>
    </row>
    <row r="11" spans="1:7" s="97" customFormat="1" ht="24">
      <c r="A11" s="98" t="s">
        <v>183</v>
      </c>
      <c r="B11" s="98" t="s">
        <v>321</v>
      </c>
      <c r="C11" s="99" t="s">
        <v>50</v>
      </c>
      <c r="D11" s="98" t="s">
        <v>18</v>
      </c>
      <c r="E11" s="100" t="s">
        <v>52</v>
      </c>
      <c r="F11" s="100" t="s">
        <v>24</v>
      </c>
      <c r="G11" s="100" t="s">
        <v>25</v>
      </c>
    </row>
    <row r="12" spans="1:7" s="97" customFormat="1" ht="24">
      <c r="A12" s="101" t="s">
        <v>26</v>
      </c>
      <c r="B12" s="101">
        <v>14250</v>
      </c>
      <c r="C12" s="102" t="s">
        <v>326</v>
      </c>
      <c r="D12" s="101" t="s">
        <v>327</v>
      </c>
      <c r="E12" s="131">
        <v>100</v>
      </c>
      <c r="F12" s="104">
        <v>0.78</v>
      </c>
      <c r="G12" s="118">
        <f>ROUND(E12*F12,2)</f>
        <v>78</v>
      </c>
    </row>
    <row r="13" spans="1:7" s="97" customFormat="1">
      <c r="A13" s="101" t="s">
        <v>26</v>
      </c>
      <c r="B13" s="101">
        <v>14583</v>
      </c>
      <c r="C13" s="102" t="s">
        <v>625</v>
      </c>
      <c r="D13" s="101" t="s">
        <v>0</v>
      </c>
      <c r="E13" s="131">
        <v>6.7794999999999996</v>
      </c>
      <c r="F13" s="104">
        <v>14.75</v>
      </c>
      <c r="G13" s="118">
        <f t="shared" ref="G13:G16" si="0">ROUND(E13*F13,2)</f>
        <v>100</v>
      </c>
    </row>
    <row r="14" spans="1:7" s="97" customFormat="1">
      <c r="A14" s="101" t="s">
        <v>26</v>
      </c>
      <c r="B14" s="101">
        <v>38401</v>
      </c>
      <c r="C14" s="102" t="s">
        <v>328</v>
      </c>
      <c r="D14" s="101" t="s">
        <v>427</v>
      </c>
      <c r="E14" s="132">
        <v>1</v>
      </c>
      <c r="F14" s="104">
        <v>8.93</v>
      </c>
      <c r="G14" s="118">
        <f t="shared" si="0"/>
        <v>8.93</v>
      </c>
    </row>
    <row r="15" spans="1:7" s="97" customFormat="1" ht="24">
      <c r="A15" s="101" t="s">
        <v>27</v>
      </c>
      <c r="B15" s="101">
        <v>90776</v>
      </c>
      <c r="C15" s="102" t="s">
        <v>329</v>
      </c>
      <c r="D15" s="101" t="s">
        <v>31</v>
      </c>
      <c r="E15" s="131">
        <v>100</v>
      </c>
      <c r="F15" s="104">
        <v>32.14</v>
      </c>
      <c r="G15" s="118">
        <f t="shared" si="0"/>
        <v>3214</v>
      </c>
    </row>
    <row r="16" spans="1:7" s="97" customFormat="1" ht="24">
      <c r="A16" s="101" t="s">
        <v>27</v>
      </c>
      <c r="B16" s="101">
        <v>100305</v>
      </c>
      <c r="C16" s="102" t="s">
        <v>53</v>
      </c>
      <c r="D16" s="101" t="s">
        <v>31</v>
      </c>
      <c r="E16" s="132">
        <v>16</v>
      </c>
      <c r="F16" s="104">
        <v>91.83</v>
      </c>
      <c r="G16" s="118">
        <f t="shared" si="0"/>
        <v>1469.28</v>
      </c>
    </row>
    <row r="17" spans="1:7" s="97" customFormat="1">
      <c r="A17" s="105"/>
      <c r="B17" s="105"/>
      <c r="C17" s="105"/>
      <c r="D17" s="250" t="s">
        <v>29</v>
      </c>
      <c r="E17" s="251"/>
      <c r="F17" s="252"/>
      <c r="G17" s="119">
        <f>ROUND((SUM(G12:G16)),2)</f>
        <v>4870.21</v>
      </c>
    </row>
    <row r="18" spans="1:7" s="97" customFormat="1">
      <c r="A18" s="105"/>
      <c r="B18" s="105"/>
      <c r="C18" s="105"/>
      <c r="D18" s="250" t="s">
        <v>619</v>
      </c>
      <c r="E18" s="251"/>
      <c r="F18" s="252"/>
      <c r="G18" s="119">
        <f>ROUND(G17*6,2)</f>
        <v>29221.26</v>
      </c>
    </row>
    <row r="19" spans="1:7" s="97" customFormat="1">
      <c r="A19" s="105"/>
      <c r="B19" s="105"/>
      <c r="C19" s="105"/>
      <c r="D19" s="250" t="s">
        <v>54</v>
      </c>
      <c r="E19" s="251"/>
      <c r="F19" s="252"/>
      <c r="G19" s="119">
        <f>ROUND(G18/100,2)</f>
        <v>292.20999999999998</v>
      </c>
    </row>
    <row r="20" spans="1:7" s="97" customFormat="1">
      <c r="A20" s="105"/>
      <c r="B20" s="105"/>
      <c r="C20" s="105"/>
      <c r="D20" s="250" t="str">
        <f>"BDI ( " &amp;TEXT($G$7,"0,00") &amp;" ) %:"</f>
        <v>BDI ( 22,01 ) %:</v>
      </c>
      <c r="E20" s="251"/>
      <c r="F20" s="252"/>
      <c r="G20" s="119">
        <f>ROUND(G19*($G$7/100),2)</f>
        <v>64.319999999999993</v>
      </c>
    </row>
    <row r="21" spans="1:7" s="97" customFormat="1">
      <c r="A21" s="105"/>
      <c r="B21" s="105"/>
      <c r="C21" s="105"/>
      <c r="D21" s="250" t="s">
        <v>30</v>
      </c>
      <c r="E21" s="251"/>
      <c r="F21" s="252"/>
      <c r="G21" s="119">
        <f>ROUND(SUM(G19:G20),2)</f>
        <v>356.53</v>
      </c>
    </row>
    <row r="22" spans="1:7" s="97" customFormat="1">
      <c r="A22" s="105"/>
      <c r="B22" s="105"/>
      <c r="C22" s="105"/>
      <c r="D22" s="115"/>
      <c r="E22" s="115"/>
      <c r="F22" s="115"/>
      <c r="G22" s="116"/>
    </row>
    <row r="23" spans="1:7" s="97" customFormat="1" ht="24">
      <c r="A23" s="98" t="s">
        <v>226</v>
      </c>
      <c r="B23" s="98">
        <v>10775</v>
      </c>
      <c r="C23" s="99" t="s">
        <v>330</v>
      </c>
      <c r="D23" s="98" t="s">
        <v>51</v>
      </c>
      <c r="E23" s="100" t="s">
        <v>52</v>
      </c>
      <c r="F23" s="100" t="s">
        <v>24</v>
      </c>
      <c r="G23" s="100" t="s">
        <v>25</v>
      </c>
    </row>
    <row r="24" spans="1:7" s="97" customFormat="1" ht="24">
      <c r="A24" s="101" t="s">
        <v>26</v>
      </c>
      <c r="B24" s="101">
        <v>10775</v>
      </c>
      <c r="C24" s="102" t="s">
        <v>330</v>
      </c>
      <c r="D24" s="101" t="s">
        <v>331</v>
      </c>
      <c r="E24" s="132">
        <v>1</v>
      </c>
      <c r="F24" s="104">
        <v>670</v>
      </c>
      <c r="G24" s="118">
        <f>ROUND(E24*F24,2)</f>
        <v>670</v>
      </c>
    </row>
    <row r="25" spans="1:7" s="97" customFormat="1">
      <c r="A25" s="105"/>
      <c r="B25" s="105"/>
      <c r="C25" s="105"/>
      <c r="D25" s="244" t="s">
        <v>29</v>
      </c>
      <c r="E25" s="245"/>
      <c r="F25" s="246"/>
      <c r="G25" s="119">
        <f>ROUND((SUM(G24)),2)</f>
        <v>670</v>
      </c>
    </row>
    <row r="26" spans="1:7" s="97" customFormat="1">
      <c r="A26" s="105"/>
      <c r="B26" s="105"/>
      <c r="C26" s="105"/>
      <c r="D26" s="244" t="str">
        <f>"BDI ( " &amp;TEXT($G$7,"0,00") &amp;" ) %:"</f>
        <v>BDI ( 22,01 ) %:</v>
      </c>
      <c r="E26" s="245"/>
      <c r="F26" s="246"/>
      <c r="G26" s="119">
        <f>ROUND(G25*($G$7/100),2)</f>
        <v>147.47</v>
      </c>
    </row>
    <row r="27" spans="1:7" s="97" customFormat="1">
      <c r="A27" s="105"/>
      <c r="B27" s="105"/>
      <c r="C27" s="105"/>
      <c r="D27" s="244" t="s">
        <v>30</v>
      </c>
      <c r="E27" s="245"/>
      <c r="F27" s="246"/>
      <c r="G27" s="119">
        <f>ROUND(SUM(G25:G26),2)</f>
        <v>817.47</v>
      </c>
    </row>
    <row r="28" spans="1:7" s="97" customFormat="1">
      <c r="A28" s="105"/>
      <c r="B28" s="105"/>
      <c r="C28" s="105"/>
      <c r="D28" s="115"/>
      <c r="E28" s="115"/>
      <c r="F28" s="115"/>
      <c r="G28" s="116"/>
    </row>
    <row r="29" spans="1:7" s="97" customFormat="1" ht="24">
      <c r="A29" s="98" t="s">
        <v>184</v>
      </c>
      <c r="B29" s="98" t="s">
        <v>321</v>
      </c>
      <c r="C29" s="99" t="s">
        <v>497</v>
      </c>
      <c r="D29" s="98" t="s">
        <v>322</v>
      </c>
      <c r="E29" s="100" t="s">
        <v>52</v>
      </c>
      <c r="F29" s="100" t="s">
        <v>24</v>
      </c>
      <c r="G29" s="100" t="s">
        <v>25</v>
      </c>
    </row>
    <row r="30" spans="1:7" s="97" customFormat="1" ht="24">
      <c r="A30" s="101" t="s">
        <v>27</v>
      </c>
      <c r="B30" s="101">
        <v>88282</v>
      </c>
      <c r="C30" s="102" t="s">
        <v>323</v>
      </c>
      <c r="D30" s="101" t="s">
        <v>31</v>
      </c>
      <c r="E30" s="133">
        <v>0.01</v>
      </c>
      <c r="F30" s="104">
        <v>25.61</v>
      </c>
      <c r="G30" s="118">
        <f>ROUND(E30*F30,2)</f>
        <v>0.26</v>
      </c>
    </row>
    <row r="31" spans="1:7" s="97" customFormat="1" ht="24">
      <c r="A31" s="101" t="s">
        <v>27</v>
      </c>
      <c r="B31" s="101">
        <v>88316</v>
      </c>
      <c r="C31" s="102" t="s">
        <v>32</v>
      </c>
      <c r="D31" s="101" t="s">
        <v>31</v>
      </c>
      <c r="E31" s="133">
        <v>0.1</v>
      </c>
      <c r="F31" s="104">
        <v>16.010000000000002</v>
      </c>
      <c r="G31" s="118">
        <f>ROUND(E31*F31,2)</f>
        <v>1.6</v>
      </c>
    </row>
    <row r="32" spans="1:7" s="97" customFormat="1">
      <c r="A32" s="101" t="s">
        <v>26</v>
      </c>
      <c r="B32" s="101">
        <v>4221</v>
      </c>
      <c r="C32" s="102" t="s">
        <v>324</v>
      </c>
      <c r="D32" s="101" t="s">
        <v>91</v>
      </c>
      <c r="E32" s="133">
        <v>0.3</v>
      </c>
      <c r="F32" s="104">
        <v>3.51</v>
      </c>
      <c r="G32" s="118">
        <f>ROUND(E32*F32,2)</f>
        <v>1.05</v>
      </c>
    </row>
    <row r="33" spans="1:7" s="97" customFormat="1" ht="24">
      <c r="A33" s="101" t="s">
        <v>26</v>
      </c>
      <c r="B33" s="101">
        <v>4227</v>
      </c>
      <c r="C33" s="102" t="s">
        <v>325</v>
      </c>
      <c r="D33" s="101" t="s">
        <v>91</v>
      </c>
      <c r="E33" s="133">
        <v>5.0000000000000001E-3</v>
      </c>
      <c r="F33" s="104">
        <v>13.7</v>
      </c>
      <c r="G33" s="118">
        <f>ROUND(E33*F33,2)</f>
        <v>7.0000000000000007E-2</v>
      </c>
    </row>
    <row r="34" spans="1:7" s="97" customFormat="1" ht="36">
      <c r="A34" s="101" t="s">
        <v>27</v>
      </c>
      <c r="B34" s="101">
        <v>5824</v>
      </c>
      <c r="C34" s="102" t="s">
        <v>61</v>
      </c>
      <c r="D34" s="101" t="s">
        <v>62</v>
      </c>
      <c r="E34" s="133">
        <v>0.01</v>
      </c>
      <c r="F34" s="104">
        <v>138.69</v>
      </c>
      <c r="G34" s="118">
        <f>ROUND(E34*F34,2)</f>
        <v>1.39</v>
      </c>
    </row>
    <row r="35" spans="1:7" s="97" customFormat="1">
      <c r="A35" s="105"/>
      <c r="B35" s="105"/>
      <c r="C35" s="105"/>
      <c r="D35" s="244" t="s">
        <v>29</v>
      </c>
      <c r="E35" s="245"/>
      <c r="F35" s="246"/>
      <c r="G35" s="119">
        <f>ROUND((SUM(G30:G34)),2)</f>
        <v>4.37</v>
      </c>
    </row>
    <row r="36" spans="1:7" s="97" customFormat="1">
      <c r="A36" s="105"/>
      <c r="B36" s="105"/>
      <c r="C36" s="105"/>
      <c r="D36" s="244" t="str">
        <f>"BDI ( " &amp;TEXT($G$7,"0,00") &amp;" ) %:"</f>
        <v>BDI ( 22,01 ) %:</v>
      </c>
      <c r="E36" s="245"/>
      <c r="F36" s="246"/>
      <c r="G36" s="119">
        <f>ROUND(G35*($G$7/100),2)</f>
        <v>0.96</v>
      </c>
    </row>
    <row r="37" spans="1:7" s="97" customFormat="1">
      <c r="A37" s="105"/>
      <c r="B37" s="105"/>
      <c r="C37" s="105"/>
      <c r="D37" s="244" t="s">
        <v>30</v>
      </c>
      <c r="E37" s="245"/>
      <c r="F37" s="246"/>
      <c r="G37" s="119">
        <f>ROUND(SUM(G35:G36),2)</f>
        <v>5.33</v>
      </c>
    </row>
    <row r="38" spans="1:7" s="97" customFormat="1"/>
    <row r="39" spans="1:7" s="97" customFormat="1" ht="24">
      <c r="A39" s="98" t="s">
        <v>185</v>
      </c>
      <c r="B39" s="98" t="s">
        <v>63</v>
      </c>
      <c r="C39" s="99" t="s">
        <v>64</v>
      </c>
      <c r="D39" s="98" t="s">
        <v>376</v>
      </c>
      <c r="E39" s="100" t="s">
        <v>52</v>
      </c>
      <c r="F39" s="100" t="s">
        <v>24</v>
      </c>
      <c r="G39" s="100" t="s">
        <v>25</v>
      </c>
    </row>
    <row r="40" spans="1:7" s="97" customFormat="1" ht="24">
      <c r="A40" s="101" t="s">
        <v>26</v>
      </c>
      <c r="B40" s="101">
        <v>4417</v>
      </c>
      <c r="C40" s="102" t="s">
        <v>65</v>
      </c>
      <c r="D40" s="101" t="s">
        <v>60</v>
      </c>
      <c r="E40" s="103" t="s">
        <v>66</v>
      </c>
      <c r="F40" s="104">
        <v>4.46</v>
      </c>
      <c r="G40" s="118">
        <f>ROUND(E40*F40,2)</f>
        <v>4.46</v>
      </c>
    </row>
    <row r="41" spans="1:7" s="97" customFormat="1">
      <c r="A41" s="101" t="s">
        <v>26</v>
      </c>
      <c r="B41" s="101">
        <v>4491</v>
      </c>
      <c r="C41" s="102" t="s">
        <v>59</v>
      </c>
      <c r="D41" s="101" t="s">
        <v>60</v>
      </c>
      <c r="E41" s="103" t="s">
        <v>67</v>
      </c>
      <c r="F41" s="104">
        <v>4.2699999999999996</v>
      </c>
      <c r="G41" s="118">
        <f t="shared" ref="G41:G46" si="1">ROUND(E41*F41,2)</f>
        <v>17.079999999999998</v>
      </c>
    </row>
    <row r="42" spans="1:7" s="97" customFormat="1" ht="24">
      <c r="A42" s="101" t="s">
        <v>26</v>
      </c>
      <c r="B42" s="101">
        <v>4813</v>
      </c>
      <c r="C42" s="102" t="s">
        <v>479</v>
      </c>
      <c r="D42" s="101" t="s">
        <v>376</v>
      </c>
      <c r="E42" s="103" t="s">
        <v>66</v>
      </c>
      <c r="F42" s="104">
        <v>200</v>
      </c>
      <c r="G42" s="118">
        <f t="shared" si="1"/>
        <v>200</v>
      </c>
    </row>
    <row r="43" spans="1:7" s="97" customFormat="1">
      <c r="A43" s="101" t="s">
        <v>26</v>
      </c>
      <c r="B43" s="101">
        <v>5075</v>
      </c>
      <c r="C43" s="102" t="s">
        <v>68</v>
      </c>
      <c r="D43" s="101" t="s">
        <v>69</v>
      </c>
      <c r="E43" s="103" t="s">
        <v>70</v>
      </c>
      <c r="F43" s="104">
        <v>10.199999999999999</v>
      </c>
      <c r="G43" s="118">
        <f t="shared" si="1"/>
        <v>1.1200000000000001</v>
      </c>
    </row>
    <row r="44" spans="1:7" s="97" customFormat="1" ht="24">
      <c r="A44" s="101" t="s">
        <v>27</v>
      </c>
      <c r="B44" s="101">
        <v>88262</v>
      </c>
      <c r="C44" s="102" t="s">
        <v>72</v>
      </c>
      <c r="D44" s="101" t="s">
        <v>31</v>
      </c>
      <c r="E44" s="103" t="s">
        <v>66</v>
      </c>
      <c r="F44" s="104">
        <v>23.02</v>
      </c>
      <c r="G44" s="118">
        <f t="shared" si="1"/>
        <v>23.02</v>
      </c>
    </row>
    <row r="45" spans="1:7" s="97" customFormat="1" ht="24">
      <c r="A45" s="101" t="s">
        <v>27</v>
      </c>
      <c r="B45" s="101">
        <v>88316</v>
      </c>
      <c r="C45" s="102" t="s">
        <v>32</v>
      </c>
      <c r="D45" s="101" t="s">
        <v>31</v>
      </c>
      <c r="E45" s="103" t="s">
        <v>73</v>
      </c>
      <c r="F45" s="104">
        <v>16.010000000000002</v>
      </c>
      <c r="G45" s="118">
        <f t="shared" si="1"/>
        <v>32.020000000000003</v>
      </c>
    </row>
    <row r="46" spans="1:7" s="97" customFormat="1" ht="24">
      <c r="A46" s="101" t="s">
        <v>27</v>
      </c>
      <c r="B46" s="101">
        <v>94962</v>
      </c>
      <c r="C46" s="102" t="s">
        <v>74</v>
      </c>
      <c r="D46" s="101" t="s">
        <v>380</v>
      </c>
      <c r="E46" s="103" t="s">
        <v>75</v>
      </c>
      <c r="F46" s="104">
        <v>279.2</v>
      </c>
      <c r="G46" s="118">
        <f t="shared" si="1"/>
        <v>2.79</v>
      </c>
    </row>
    <row r="47" spans="1:7" s="97" customFormat="1">
      <c r="A47" s="105"/>
      <c r="B47" s="105"/>
      <c r="C47" s="105"/>
      <c r="D47" s="244" t="s">
        <v>29</v>
      </c>
      <c r="E47" s="245"/>
      <c r="F47" s="246"/>
      <c r="G47" s="119">
        <f>ROUND((SUM(G40:G46)),2)</f>
        <v>280.49</v>
      </c>
    </row>
    <row r="48" spans="1:7" s="97" customFormat="1">
      <c r="A48" s="105"/>
      <c r="B48" s="105"/>
      <c r="C48" s="105"/>
      <c r="D48" s="244" t="str">
        <f>"BDI ( " &amp;TEXT($G$7,"0,00") &amp;" ) %:"</f>
        <v>BDI ( 22,01 ) %:</v>
      </c>
      <c r="E48" s="245"/>
      <c r="F48" s="246"/>
      <c r="G48" s="119">
        <f>ROUND(G47*($G$7/100),2)</f>
        <v>61.74</v>
      </c>
    </row>
    <row r="49" spans="1:7" s="97" customFormat="1">
      <c r="A49" s="105"/>
      <c r="B49" s="105"/>
      <c r="C49" s="105"/>
      <c r="D49" s="244" t="s">
        <v>30</v>
      </c>
      <c r="E49" s="245"/>
      <c r="F49" s="246"/>
      <c r="G49" s="119">
        <f>ROUND(SUM(G47:G48),2)</f>
        <v>342.23</v>
      </c>
    </row>
    <row r="50" spans="1:7" s="97" customFormat="1"/>
    <row r="51" spans="1:7" s="97" customFormat="1" ht="24">
      <c r="A51" s="98" t="s">
        <v>186</v>
      </c>
      <c r="B51" s="98">
        <v>78472</v>
      </c>
      <c r="C51" s="99" t="s">
        <v>478</v>
      </c>
      <c r="D51" s="98" t="s">
        <v>376</v>
      </c>
      <c r="E51" s="100" t="s">
        <v>52</v>
      </c>
      <c r="F51" s="100" t="s">
        <v>24</v>
      </c>
      <c r="G51" s="100" t="s">
        <v>25</v>
      </c>
    </row>
    <row r="52" spans="1:7" s="97" customFormat="1" ht="24">
      <c r="A52" s="120" t="s">
        <v>26</v>
      </c>
      <c r="B52" s="120">
        <v>6204</v>
      </c>
      <c r="C52" s="121" t="s">
        <v>165</v>
      </c>
      <c r="D52" s="120" t="s">
        <v>60</v>
      </c>
      <c r="E52" s="122" t="s">
        <v>166</v>
      </c>
      <c r="F52" s="104">
        <v>11.61</v>
      </c>
      <c r="G52" s="118">
        <f t="shared" ref="G52:G57" si="2">ROUND(E52*F52,2)</f>
        <v>0.03</v>
      </c>
    </row>
    <row r="53" spans="1:7" s="97" customFormat="1" ht="24">
      <c r="A53" s="120" t="s">
        <v>27</v>
      </c>
      <c r="B53" s="120">
        <v>88253</v>
      </c>
      <c r="C53" s="121" t="s">
        <v>167</v>
      </c>
      <c r="D53" s="120" t="s">
        <v>31</v>
      </c>
      <c r="E53" s="122" t="s">
        <v>168</v>
      </c>
      <c r="F53" s="104">
        <v>17.38</v>
      </c>
      <c r="G53" s="118">
        <f t="shared" si="2"/>
        <v>0.04</v>
      </c>
    </row>
    <row r="54" spans="1:7" s="97" customFormat="1" ht="24">
      <c r="A54" s="120" t="s">
        <v>27</v>
      </c>
      <c r="B54" s="120">
        <v>88288</v>
      </c>
      <c r="C54" s="121" t="s">
        <v>169</v>
      </c>
      <c r="D54" s="120" t="s">
        <v>31</v>
      </c>
      <c r="E54" s="122" t="s">
        <v>168</v>
      </c>
      <c r="F54" s="104">
        <v>20.61</v>
      </c>
      <c r="G54" s="118">
        <f t="shared" si="2"/>
        <v>0.05</v>
      </c>
    </row>
    <row r="55" spans="1:7" s="97" customFormat="1" ht="24">
      <c r="A55" s="120" t="s">
        <v>27</v>
      </c>
      <c r="B55" s="120" t="s">
        <v>33</v>
      </c>
      <c r="C55" s="121" t="s">
        <v>32</v>
      </c>
      <c r="D55" s="120" t="s">
        <v>31</v>
      </c>
      <c r="E55" s="122" t="s">
        <v>170</v>
      </c>
      <c r="F55" s="104">
        <f>F45</f>
        <v>16.010000000000002</v>
      </c>
      <c r="G55" s="118">
        <f t="shared" si="2"/>
        <v>0.12</v>
      </c>
    </row>
    <row r="56" spans="1:7" s="97" customFormat="1" ht="24">
      <c r="A56" s="120" t="s">
        <v>27</v>
      </c>
      <c r="B56" s="120">
        <v>88597</v>
      </c>
      <c r="C56" s="121" t="s">
        <v>171</v>
      </c>
      <c r="D56" s="120" t="s">
        <v>31</v>
      </c>
      <c r="E56" s="122" t="s">
        <v>88</v>
      </c>
      <c r="F56" s="104">
        <v>47.92</v>
      </c>
      <c r="G56" s="118">
        <f t="shared" si="2"/>
        <v>0.1</v>
      </c>
    </row>
    <row r="57" spans="1:7" s="97" customFormat="1" ht="24">
      <c r="A57" s="120" t="s">
        <v>27</v>
      </c>
      <c r="B57" s="120">
        <v>92145</v>
      </c>
      <c r="C57" s="121" t="s">
        <v>172</v>
      </c>
      <c r="D57" s="120" t="s">
        <v>62</v>
      </c>
      <c r="E57" s="122" t="s">
        <v>173</v>
      </c>
      <c r="F57" s="104">
        <v>98.08</v>
      </c>
      <c r="G57" s="118">
        <f t="shared" si="2"/>
        <v>0.1</v>
      </c>
    </row>
    <row r="58" spans="1:7" s="97" customFormat="1">
      <c r="A58" s="105"/>
      <c r="B58" s="105"/>
      <c r="C58" s="105"/>
      <c r="D58" s="244" t="s">
        <v>29</v>
      </c>
      <c r="E58" s="245"/>
      <c r="F58" s="246"/>
      <c r="G58" s="119">
        <f>ROUND((SUM(G52:G57)),2)</f>
        <v>0.44</v>
      </c>
    </row>
    <row r="59" spans="1:7" s="97" customFormat="1">
      <c r="A59" s="105"/>
      <c r="B59" s="105"/>
      <c r="C59" s="105"/>
      <c r="D59" s="244" t="str">
        <f>"BDI ( " &amp;TEXT($G$7,"0,00") &amp;" ) %:"</f>
        <v>BDI ( 22,01 ) %:</v>
      </c>
      <c r="E59" s="245"/>
      <c r="F59" s="246"/>
      <c r="G59" s="119">
        <f>ROUND(G58*($G$7/100),2)</f>
        <v>0.1</v>
      </c>
    </row>
    <row r="60" spans="1:7" s="97" customFormat="1">
      <c r="A60" s="105"/>
      <c r="B60" s="105"/>
      <c r="C60" s="105"/>
      <c r="D60" s="244" t="s">
        <v>30</v>
      </c>
      <c r="E60" s="245"/>
      <c r="F60" s="246"/>
      <c r="G60" s="119">
        <f>ROUND(SUM(G58:G59),2)</f>
        <v>0.54</v>
      </c>
    </row>
    <row r="61" spans="1:7" s="97" customFormat="1"/>
    <row r="62" spans="1:7" s="97" customFormat="1" ht="36">
      <c r="A62" s="98" t="s">
        <v>187</v>
      </c>
      <c r="B62" s="98" t="s">
        <v>396</v>
      </c>
      <c r="C62" s="99" t="s">
        <v>496</v>
      </c>
      <c r="D62" s="98" t="s">
        <v>60</v>
      </c>
      <c r="E62" s="100" t="s">
        <v>52</v>
      </c>
      <c r="F62" s="100" t="s">
        <v>24</v>
      </c>
      <c r="G62" s="100" t="s">
        <v>25</v>
      </c>
    </row>
    <row r="63" spans="1:7" s="97" customFormat="1">
      <c r="A63" s="101" t="s">
        <v>26</v>
      </c>
      <c r="B63" s="101" t="s">
        <v>81</v>
      </c>
      <c r="C63" s="102" t="s">
        <v>82</v>
      </c>
      <c r="D63" s="101" t="s">
        <v>380</v>
      </c>
      <c r="E63" s="103" t="s">
        <v>77</v>
      </c>
      <c r="F63" s="104">
        <v>73</v>
      </c>
      <c r="G63" s="104">
        <f>ROUND(E63*F63,2)</f>
        <v>0.51</v>
      </c>
    </row>
    <row r="64" spans="1:7" s="97" customFormat="1">
      <c r="A64" s="101" t="s">
        <v>26</v>
      </c>
      <c r="B64" s="101" t="s">
        <v>397</v>
      </c>
      <c r="C64" s="102" t="s">
        <v>83</v>
      </c>
      <c r="D64" s="101" t="s">
        <v>60</v>
      </c>
      <c r="E64" s="103" t="s">
        <v>84</v>
      </c>
      <c r="F64" s="104">
        <v>20.5</v>
      </c>
      <c r="G64" s="104">
        <f>ROUND(E64*F64,2)</f>
        <v>20.6</v>
      </c>
    </row>
    <row r="65" spans="1:7" s="97" customFormat="1" ht="24">
      <c r="A65" s="101" t="s">
        <v>27</v>
      </c>
      <c r="B65" s="101" t="s">
        <v>85</v>
      </c>
      <c r="C65" s="102" t="s">
        <v>86</v>
      </c>
      <c r="D65" s="101" t="s">
        <v>31</v>
      </c>
      <c r="E65" s="103" t="s">
        <v>87</v>
      </c>
      <c r="F65" s="104">
        <v>23.2</v>
      </c>
      <c r="G65" s="104">
        <f>ROUND(E65*F65,2)</f>
        <v>9.14</v>
      </c>
    </row>
    <row r="66" spans="1:7" s="97" customFormat="1" ht="24">
      <c r="A66" s="101" t="s">
        <v>27</v>
      </c>
      <c r="B66" s="101" t="s">
        <v>33</v>
      </c>
      <c r="C66" s="102" t="s">
        <v>32</v>
      </c>
      <c r="D66" s="101" t="s">
        <v>31</v>
      </c>
      <c r="E66" s="103" t="s">
        <v>87</v>
      </c>
      <c r="F66" s="104">
        <v>16.010000000000002</v>
      </c>
      <c r="G66" s="104">
        <f>ROUND(E66*F66,2)</f>
        <v>6.31</v>
      </c>
    </row>
    <row r="67" spans="1:7" s="97" customFormat="1" ht="24">
      <c r="A67" s="101" t="s">
        <v>27</v>
      </c>
      <c r="B67" s="101" t="s">
        <v>398</v>
      </c>
      <c r="C67" s="102" t="s">
        <v>399</v>
      </c>
      <c r="D67" s="101" t="s">
        <v>380</v>
      </c>
      <c r="E67" s="103" t="s">
        <v>88</v>
      </c>
      <c r="F67" s="104">
        <v>471.27</v>
      </c>
      <c r="G67" s="104">
        <f>ROUND(E67*F67,2)</f>
        <v>0.94</v>
      </c>
    </row>
    <row r="68" spans="1:7" s="97" customFormat="1">
      <c r="A68" s="105"/>
      <c r="B68" s="105"/>
      <c r="C68" s="105"/>
      <c r="D68" s="244" t="s">
        <v>29</v>
      </c>
      <c r="E68" s="245"/>
      <c r="F68" s="246"/>
      <c r="G68" s="119">
        <f>ROUND((SUM(G63:G67)),2)</f>
        <v>37.5</v>
      </c>
    </row>
    <row r="69" spans="1:7" s="97" customFormat="1">
      <c r="A69" s="105"/>
      <c r="B69" s="105"/>
      <c r="C69" s="105"/>
      <c r="D69" s="244" t="str">
        <f>"BDI ( " &amp;TEXT($G$7,"0,00") &amp;" ) %:"</f>
        <v>BDI ( 22,01 ) %:</v>
      </c>
      <c r="E69" s="245"/>
      <c r="F69" s="246"/>
      <c r="G69" s="119">
        <f>ROUND(G68*($G$7/100),2)</f>
        <v>8.25</v>
      </c>
    </row>
    <row r="70" spans="1:7" s="97" customFormat="1">
      <c r="A70" s="105"/>
      <c r="B70" s="105"/>
      <c r="C70" s="105"/>
      <c r="D70" s="244" t="s">
        <v>30</v>
      </c>
      <c r="E70" s="245"/>
      <c r="F70" s="246"/>
      <c r="G70" s="119">
        <f>ROUND(SUM(G68:G69),2)</f>
        <v>45.75</v>
      </c>
    </row>
    <row r="71" spans="1:7" s="97" customFormat="1">
      <c r="A71" s="105"/>
      <c r="B71" s="105"/>
      <c r="C71" s="105"/>
      <c r="D71" s="124"/>
      <c r="E71" s="124"/>
      <c r="F71" s="124"/>
      <c r="G71" s="116"/>
    </row>
    <row r="72" spans="1:7" s="97" customFormat="1" ht="24">
      <c r="A72" s="98" t="s">
        <v>188</v>
      </c>
      <c r="B72" s="98">
        <v>94993</v>
      </c>
      <c r="C72" s="99" t="s">
        <v>495</v>
      </c>
      <c r="D72" s="98" t="s">
        <v>376</v>
      </c>
      <c r="E72" s="100" t="s">
        <v>52</v>
      </c>
      <c r="F72" s="100" t="s">
        <v>24</v>
      </c>
      <c r="G72" s="100" t="s">
        <v>25</v>
      </c>
    </row>
    <row r="73" spans="1:7" s="97" customFormat="1">
      <c r="A73" s="101" t="s">
        <v>26</v>
      </c>
      <c r="B73" s="101" t="s">
        <v>388</v>
      </c>
      <c r="C73" s="102" t="s">
        <v>389</v>
      </c>
      <c r="D73" s="101" t="s">
        <v>376</v>
      </c>
      <c r="E73" s="108">
        <v>1.1000000000000001</v>
      </c>
      <c r="F73" s="104">
        <v>0.98</v>
      </c>
      <c r="G73" s="104">
        <f>ROUND(E73*F73,2)</f>
        <v>1.08</v>
      </c>
    </row>
    <row r="74" spans="1:7" s="97" customFormat="1" ht="24">
      <c r="A74" s="101" t="s">
        <v>26</v>
      </c>
      <c r="B74" s="101" t="s">
        <v>89</v>
      </c>
      <c r="C74" s="102" t="s">
        <v>347</v>
      </c>
      <c r="D74" s="101" t="s">
        <v>60</v>
      </c>
      <c r="E74" s="103" t="s">
        <v>390</v>
      </c>
      <c r="F74" s="104">
        <v>1.53</v>
      </c>
      <c r="G74" s="104">
        <f t="shared" ref="G74:G78" si="3">ROUND(E74*F74,2)</f>
        <v>0.69</v>
      </c>
    </row>
    <row r="75" spans="1:7" s="97" customFormat="1" ht="24">
      <c r="A75" s="101" t="s">
        <v>26</v>
      </c>
      <c r="B75" s="101" t="s">
        <v>391</v>
      </c>
      <c r="C75" s="102" t="s">
        <v>392</v>
      </c>
      <c r="D75" s="101" t="s">
        <v>380</v>
      </c>
      <c r="E75" s="108">
        <v>0.04</v>
      </c>
      <c r="F75" s="104">
        <v>255.47</v>
      </c>
      <c r="G75" s="104">
        <f t="shared" si="3"/>
        <v>10.220000000000001</v>
      </c>
    </row>
    <row r="76" spans="1:7" s="97" customFormat="1" ht="24">
      <c r="A76" s="101" t="s">
        <v>27</v>
      </c>
      <c r="B76" s="101" t="s">
        <v>71</v>
      </c>
      <c r="C76" s="102" t="s">
        <v>72</v>
      </c>
      <c r="D76" s="101" t="s">
        <v>31</v>
      </c>
      <c r="E76" s="103" t="s">
        <v>393</v>
      </c>
      <c r="F76" s="104">
        <v>23.02</v>
      </c>
      <c r="G76" s="104">
        <f t="shared" si="3"/>
        <v>3.12</v>
      </c>
    </row>
    <row r="77" spans="1:7" s="97" customFormat="1" ht="24">
      <c r="A77" s="101" t="s">
        <v>27</v>
      </c>
      <c r="B77" s="101" t="s">
        <v>85</v>
      </c>
      <c r="C77" s="102" t="s">
        <v>86</v>
      </c>
      <c r="D77" s="101" t="s">
        <v>31</v>
      </c>
      <c r="E77" s="103" t="s">
        <v>394</v>
      </c>
      <c r="F77" s="104">
        <v>23.2</v>
      </c>
      <c r="G77" s="104">
        <f t="shared" si="3"/>
        <v>2.74</v>
      </c>
    </row>
    <row r="78" spans="1:7" s="97" customFormat="1" ht="24">
      <c r="A78" s="101" t="s">
        <v>27</v>
      </c>
      <c r="B78" s="101" t="s">
        <v>33</v>
      </c>
      <c r="C78" s="102" t="s">
        <v>32</v>
      </c>
      <c r="D78" s="101" t="s">
        <v>31</v>
      </c>
      <c r="E78" s="103" t="s">
        <v>395</v>
      </c>
      <c r="F78" s="104">
        <v>16.010000000000002</v>
      </c>
      <c r="G78" s="104">
        <f t="shared" si="3"/>
        <v>4.0599999999999996</v>
      </c>
    </row>
    <row r="79" spans="1:7" s="97" customFormat="1">
      <c r="A79" s="105"/>
      <c r="B79" s="105"/>
      <c r="C79" s="105"/>
      <c r="D79" s="244" t="s">
        <v>29</v>
      </c>
      <c r="E79" s="245"/>
      <c r="F79" s="246"/>
      <c r="G79" s="119">
        <f>SUM(G73:G78)</f>
        <v>21.91</v>
      </c>
    </row>
    <row r="80" spans="1:7" s="97" customFormat="1">
      <c r="A80" s="105"/>
      <c r="B80" s="105"/>
      <c r="C80" s="105"/>
      <c r="D80" s="244" t="str">
        <f>"BDI ( " &amp;TEXT($G$7,"0,00") &amp;" ) %:"</f>
        <v>BDI ( 22,01 ) %:</v>
      </c>
      <c r="E80" s="245"/>
      <c r="F80" s="246"/>
      <c r="G80" s="119">
        <f>ROUND(G79*($G$7/100),2)</f>
        <v>4.82</v>
      </c>
    </row>
    <row r="81" spans="1:7" s="97" customFormat="1">
      <c r="A81" s="105"/>
      <c r="B81" s="105"/>
      <c r="C81" s="105"/>
      <c r="D81" s="244" t="s">
        <v>30</v>
      </c>
      <c r="E81" s="245"/>
      <c r="F81" s="246"/>
      <c r="G81" s="119">
        <f>ROUND(SUM(G79:G80),2)</f>
        <v>26.73</v>
      </c>
    </row>
    <row r="82" spans="1:7" s="97" customFormat="1"/>
    <row r="83" spans="1:7" s="97" customFormat="1" ht="24">
      <c r="A83" s="125" t="s">
        <v>189</v>
      </c>
      <c r="B83" s="112" t="s">
        <v>321</v>
      </c>
      <c r="C83" s="112" t="s">
        <v>494</v>
      </c>
      <c r="D83" s="125" t="s">
        <v>376</v>
      </c>
      <c r="E83" s="112" t="s">
        <v>52</v>
      </c>
      <c r="F83" s="126" t="s">
        <v>24</v>
      </c>
      <c r="G83" s="125" t="s">
        <v>25</v>
      </c>
    </row>
    <row r="84" spans="1:7" s="97" customFormat="1">
      <c r="A84" s="127" t="s">
        <v>26</v>
      </c>
      <c r="B84" s="127">
        <v>38137</v>
      </c>
      <c r="C84" s="113" t="s">
        <v>480</v>
      </c>
      <c r="D84" s="127" t="s">
        <v>376</v>
      </c>
      <c r="E84" s="136">
        <v>1.03</v>
      </c>
      <c r="F84" s="114">
        <v>21.47</v>
      </c>
      <c r="G84" s="104">
        <f t="shared" ref="G84:G87" si="4">ROUND(E84*F84,2)</f>
        <v>22.11</v>
      </c>
    </row>
    <row r="85" spans="1:7" s="97" customFormat="1">
      <c r="A85" s="127" t="s">
        <v>26</v>
      </c>
      <c r="B85" s="127">
        <v>34357</v>
      </c>
      <c r="C85" s="113" t="s">
        <v>378</v>
      </c>
      <c r="D85" s="127" t="s">
        <v>69</v>
      </c>
      <c r="E85" s="136">
        <v>0.24</v>
      </c>
      <c r="F85" s="114">
        <v>3.88</v>
      </c>
      <c r="G85" s="104">
        <f t="shared" si="4"/>
        <v>0.93</v>
      </c>
    </row>
    <row r="86" spans="1:7" s="97" customFormat="1">
      <c r="A86" s="113" t="s">
        <v>27</v>
      </c>
      <c r="B86" s="127">
        <v>88256</v>
      </c>
      <c r="C86" s="113" t="s">
        <v>332</v>
      </c>
      <c r="D86" s="127" t="s">
        <v>31</v>
      </c>
      <c r="E86" s="136">
        <v>1.1000000000000001</v>
      </c>
      <c r="F86" s="129">
        <v>24.4</v>
      </c>
      <c r="G86" s="104">
        <f t="shared" si="4"/>
        <v>26.84</v>
      </c>
    </row>
    <row r="87" spans="1:7" s="97" customFormat="1">
      <c r="A87" s="113" t="s">
        <v>27</v>
      </c>
      <c r="B87" s="127">
        <v>88316</v>
      </c>
      <c r="C87" s="113" t="s">
        <v>32</v>
      </c>
      <c r="D87" s="127" t="s">
        <v>31</v>
      </c>
      <c r="E87" s="136">
        <v>1.1000000000000001</v>
      </c>
      <c r="F87" s="114">
        <v>16.010000000000002</v>
      </c>
      <c r="G87" s="104">
        <f t="shared" si="4"/>
        <v>17.61</v>
      </c>
    </row>
    <row r="88" spans="1:7" s="97" customFormat="1">
      <c r="D88" s="247" t="s">
        <v>29</v>
      </c>
      <c r="E88" s="248"/>
      <c r="F88" s="249"/>
      <c r="G88" s="130">
        <f>SUM(G84:G87)</f>
        <v>67.489999999999995</v>
      </c>
    </row>
    <row r="89" spans="1:7" s="97" customFormat="1">
      <c r="D89" s="247" t="s">
        <v>461</v>
      </c>
      <c r="E89" s="248"/>
      <c r="F89" s="249"/>
      <c r="G89" s="119">
        <f>ROUND(G88*($G$7/100),2)</f>
        <v>14.85</v>
      </c>
    </row>
    <row r="90" spans="1:7" s="97" customFormat="1">
      <c r="D90" s="247" t="s">
        <v>30</v>
      </c>
      <c r="E90" s="248"/>
      <c r="F90" s="249"/>
      <c r="G90" s="119">
        <f>ROUND(SUM(G88:G89),2)</f>
        <v>82.34</v>
      </c>
    </row>
    <row r="91" spans="1:7" s="97" customFormat="1">
      <c r="D91" s="128"/>
      <c r="E91" s="128"/>
      <c r="F91" s="128"/>
      <c r="G91" s="128"/>
    </row>
    <row r="92" spans="1:7" s="97" customFormat="1" ht="24">
      <c r="A92" s="125" t="s">
        <v>299</v>
      </c>
      <c r="B92" s="134" t="s">
        <v>486</v>
      </c>
      <c r="C92" s="135" t="s">
        <v>487</v>
      </c>
      <c r="D92" s="134" t="s">
        <v>376</v>
      </c>
      <c r="E92" s="112" t="s">
        <v>52</v>
      </c>
      <c r="F92" s="126" t="s">
        <v>24</v>
      </c>
      <c r="G92" s="125" t="s">
        <v>25</v>
      </c>
    </row>
    <row r="93" spans="1:7" s="97" customFormat="1">
      <c r="A93" s="120" t="s">
        <v>26</v>
      </c>
      <c r="B93" s="120">
        <v>370</v>
      </c>
      <c r="C93" s="121" t="s">
        <v>82</v>
      </c>
      <c r="D93" s="120" t="s">
        <v>380</v>
      </c>
      <c r="E93" s="122" t="s">
        <v>141</v>
      </c>
      <c r="F93" s="137">
        <v>73</v>
      </c>
      <c r="G93" s="104">
        <f t="shared" ref="G93:G101" si="5">ROUND(E93*F93,2)</f>
        <v>4.1500000000000004</v>
      </c>
    </row>
    <row r="94" spans="1:7" s="97" customFormat="1" ht="24">
      <c r="A94" s="120" t="s">
        <v>26</v>
      </c>
      <c r="B94" s="120">
        <v>711</v>
      </c>
      <c r="C94" s="121" t="s">
        <v>488</v>
      </c>
      <c r="D94" s="120" t="s">
        <v>376</v>
      </c>
      <c r="E94" s="122" t="s">
        <v>149</v>
      </c>
      <c r="F94" s="137">
        <v>39.33</v>
      </c>
      <c r="G94" s="104">
        <f t="shared" si="5"/>
        <v>40.01</v>
      </c>
    </row>
    <row r="95" spans="1:7" s="97" customFormat="1">
      <c r="A95" s="120" t="s">
        <v>26</v>
      </c>
      <c r="B95" s="120">
        <v>4741</v>
      </c>
      <c r="C95" s="121" t="s">
        <v>142</v>
      </c>
      <c r="D95" s="120" t="s">
        <v>380</v>
      </c>
      <c r="E95" s="122" t="s">
        <v>150</v>
      </c>
      <c r="F95" s="137">
        <v>55.7</v>
      </c>
      <c r="G95" s="104">
        <f t="shared" si="5"/>
        <v>0.36</v>
      </c>
    </row>
    <row r="96" spans="1:7" s="97" customFormat="1" ht="24">
      <c r="A96" s="120" t="s">
        <v>27</v>
      </c>
      <c r="B96" s="120">
        <v>88260</v>
      </c>
      <c r="C96" s="121" t="s">
        <v>143</v>
      </c>
      <c r="D96" s="120" t="s">
        <v>31</v>
      </c>
      <c r="E96" s="122" t="s">
        <v>151</v>
      </c>
      <c r="F96" s="137">
        <v>23.77</v>
      </c>
      <c r="G96" s="104">
        <f t="shared" si="5"/>
        <v>2.99</v>
      </c>
    </row>
    <row r="97" spans="1:7" s="97" customFormat="1" ht="24">
      <c r="A97" s="120" t="s">
        <v>27</v>
      </c>
      <c r="B97" s="120">
        <v>88316</v>
      </c>
      <c r="C97" s="121" t="s">
        <v>32</v>
      </c>
      <c r="D97" s="120" t="s">
        <v>31</v>
      </c>
      <c r="E97" s="122" t="s">
        <v>151</v>
      </c>
      <c r="F97" s="137">
        <v>16.010000000000002</v>
      </c>
      <c r="G97" s="104">
        <f t="shared" si="5"/>
        <v>2.02</v>
      </c>
    </row>
    <row r="98" spans="1:7" s="97" customFormat="1" ht="24">
      <c r="A98" s="120" t="s">
        <v>27</v>
      </c>
      <c r="B98" s="120">
        <v>91277</v>
      </c>
      <c r="C98" s="121" t="s">
        <v>144</v>
      </c>
      <c r="D98" s="120" t="s">
        <v>62</v>
      </c>
      <c r="E98" s="122" t="s">
        <v>145</v>
      </c>
      <c r="F98" s="137">
        <v>4.82</v>
      </c>
      <c r="G98" s="104">
        <f t="shared" si="5"/>
        <v>0.02</v>
      </c>
    </row>
    <row r="99" spans="1:7" s="97" customFormat="1" ht="24">
      <c r="A99" s="120" t="s">
        <v>27</v>
      </c>
      <c r="B99" s="120">
        <v>91278</v>
      </c>
      <c r="C99" s="121" t="s">
        <v>146</v>
      </c>
      <c r="D99" s="120" t="s">
        <v>78</v>
      </c>
      <c r="E99" s="122" t="s">
        <v>152</v>
      </c>
      <c r="F99" s="137">
        <v>0.59</v>
      </c>
      <c r="G99" s="104">
        <f t="shared" si="5"/>
        <v>0.03</v>
      </c>
    </row>
    <row r="100" spans="1:7" s="97" customFormat="1" ht="36">
      <c r="A100" s="120" t="s">
        <v>27</v>
      </c>
      <c r="B100" s="120">
        <v>91283</v>
      </c>
      <c r="C100" s="121" t="s">
        <v>147</v>
      </c>
      <c r="D100" s="120" t="s">
        <v>62</v>
      </c>
      <c r="E100" s="122" t="s">
        <v>153</v>
      </c>
      <c r="F100" s="137">
        <v>10.44</v>
      </c>
      <c r="G100" s="104">
        <f t="shared" si="5"/>
        <v>0.14000000000000001</v>
      </c>
    </row>
    <row r="101" spans="1:7" s="97" customFormat="1" ht="36">
      <c r="A101" s="120" t="s">
        <v>27</v>
      </c>
      <c r="B101" s="120">
        <v>91285</v>
      </c>
      <c r="C101" s="121" t="s">
        <v>148</v>
      </c>
      <c r="D101" s="120" t="s">
        <v>78</v>
      </c>
      <c r="E101" s="122" t="s">
        <v>154</v>
      </c>
      <c r="F101" s="137">
        <v>0.85</v>
      </c>
      <c r="G101" s="104">
        <f t="shared" si="5"/>
        <v>0.04</v>
      </c>
    </row>
    <row r="102" spans="1:7" s="97" customFormat="1">
      <c r="D102" s="247" t="s">
        <v>29</v>
      </c>
      <c r="E102" s="248"/>
      <c r="F102" s="249"/>
      <c r="G102" s="130">
        <f>SUM(G93:G101)</f>
        <v>49.760000000000005</v>
      </c>
    </row>
    <row r="103" spans="1:7" s="97" customFormat="1">
      <c r="D103" s="247" t="s">
        <v>461</v>
      </c>
      <c r="E103" s="248"/>
      <c r="F103" s="249"/>
      <c r="G103" s="119">
        <f>ROUND(G102*($G$7/100),2)</f>
        <v>10.95</v>
      </c>
    </row>
    <row r="104" spans="1:7" s="97" customFormat="1">
      <c r="D104" s="247" t="s">
        <v>30</v>
      </c>
      <c r="E104" s="248"/>
      <c r="F104" s="249"/>
      <c r="G104" s="119">
        <f>ROUND(SUM(G102:G103),2)</f>
        <v>60.71</v>
      </c>
    </row>
    <row r="105" spans="1:7" s="97" customFormat="1">
      <c r="D105" s="128"/>
      <c r="E105" s="128"/>
      <c r="F105" s="128"/>
      <c r="G105" s="116"/>
    </row>
    <row r="106" spans="1:7" s="97" customFormat="1" ht="24">
      <c r="A106" s="98" t="s">
        <v>300</v>
      </c>
      <c r="B106" s="98" t="s">
        <v>490</v>
      </c>
      <c r="C106" s="99" t="s">
        <v>489</v>
      </c>
      <c r="D106" s="98" t="s">
        <v>376</v>
      </c>
      <c r="E106" s="100" t="s">
        <v>52</v>
      </c>
      <c r="F106" s="100" t="s">
        <v>24</v>
      </c>
      <c r="G106" s="100" t="s">
        <v>25</v>
      </c>
    </row>
    <row r="107" spans="1:7" s="97" customFormat="1">
      <c r="A107" s="120" t="s">
        <v>26</v>
      </c>
      <c r="B107" s="120">
        <v>7348</v>
      </c>
      <c r="C107" s="121" t="s">
        <v>90</v>
      </c>
      <c r="D107" s="120" t="s">
        <v>91</v>
      </c>
      <c r="E107" s="122" t="s">
        <v>92</v>
      </c>
      <c r="F107" s="104">
        <v>10.8</v>
      </c>
      <c r="G107" s="104">
        <f>ROUND(E107*F107,2)</f>
        <v>1.84</v>
      </c>
    </row>
    <row r="108" spans="1:7" s="97" customFormat="1" ht="24">
      <c r="A108" s="101" t="s">
        <v>27</v>
      </c>
      <c r="B108" s="101">
        <v>88310</v>
      </c>
      <c r="C108" s="102" t="s">
        <v>94</v>
      </c>
      <c r="D108" s="101" t="s">
        <v>31</v>
      </c>
      <c r="E108" s="122" t="s">
        <v>95</v>
      </c>
      <c r="F108" s="104">
        <v>24.3</v>
      </c>
      <c r="G108" s="104">
        <f>ROUND(E108*F108,2)</f>
        <v>8.51</v>
      </c>
    </row>
    <row r="109" spans="1:7" s="97" customFormat="1" ht="24">
      <c r="A109" s="101" t="s">
        <v>27</v>
      </c>
      <c r="B109" s="101" t="s">
        <v>33</v>
      </c>
      <c r="C109" s="102" t="s">
        <v>32</v>
      </c>
      <c r="D109" s="101" t="s">
        <v>31</v>
      </c>
      <c r="E109" s="122" t="s">
        <v>96</v>
      </c>
      <c r="F109" s="104">
        <v>16.010000000000002</v>
      </c>
      <c r="G109" s="104">
        <f>ROUND(E109*F109,2)</f>
        <v>4</v>
      </c>
    </row>
    <row r="110" spans="1:7" s="97" customFormat="1">
      <c r="A110" s="105"/>
      <c r="B110" s="105"/>
      <c r="C110" s="105"/>
      <c r="D110" s="244" t="s">
        <v>29</v>
      </c>
      <c r="E110" s="245"/>
      <c r="F110" s="246"/>
      <c r="G110" s="119">
        <f>ROUND((SUM(G107:G109)),2)</f>
        <v>14.35</v>
      </c>
    </row>
    <row r="111" spans="1:7" s="97" customFormat="1">
      <c r="A111" s="105"/>
      <c r="B111" s="105"/>
      <c r="C111" s="105"/>
      <c r="D111" s="244" t="str">
        <f>"BDI ( " &amp;TEXT($G$7,"0,00") &amp;" ) %:"</f>
        <v>BDI ( 22,01 ) %:</v>
      </c>
      <c r="E111" s="245"/>
      <c r="F111" s="246"/>
      <c r="G111" s="119">
        <f>ROUND(G110*($G$7/100),2)</f>
        <v>3.16</v>
      </c>
    </row>
    <row r="112" spans="1:7" s="97" customFormat="1">
      <c r="A112" s="105"/>
      <c r="B112" s="105"/>
      <c r="C112" s="105"/>
      <c r="D112" s="244" t="s">
        <v>30</v>
      </c>
      <c r="E112" s="245"/>
      <c r="F112" s="246"/>
      <c r="G112" s="119">
        <f>ROUND(SUM(G110:G111),2)</f>
        <v>17.510000000000002</v>
      </c>
    </row>
    <row r="113" spans="1:7" s="97" customFormat="1">
      <c r="D113" s="128"/>
      <c r="E113" s="128"/>
      <c r="F113" s="128"/>
      <c r="G113" s="116"/>
    </row>
    <row r="114" spans="1:7" s="97" customFormat="1" ht="24">
      <c r="A114" s="98" t="s">
        <v>301</v>
      </c>
      <c r="B114" s="98">
        <v>93358</v>
      </c>
      <c r="C114" s="99" t="s">
        <v>493</v>
      </c>
      <c r="D114" s="98" t="s">
        <v>380</v>
      </c>
      <c r="E114" s="100" t="s">
        <v>52</v>
      </c>
      <c r="F114" s="100" t="s">
        <v>24</v>
      </c>
      <c r="G114" s="100" t="s">
        <v>25</v>
      </c>
    </row>
    <row r="115" spans="1:7" s="97" customFormat="1" ht="24">
      <c r="A115" s="101" t="s">
        <v>27</v>
      </c>
      <c r="B115" s="101" t="s">
        <v>33</v>
      </c>
      <c r="C115" s="102" t="s">
        <v>32</v>
      </c>
      <c r="D115" s="101" t="s">
        <v>31</v>
      </c>
      <c r="E115" s="103" t="s">
        <v>80</v>
      </c>
      <c r="F115" s="104">
        <v>16.010000000000002</v>
      </c>
      <c r="G115" s="118">
        <f>ROUND(E115*F115,2)</f>
        <v>63.34</v>
      </c>
    </row>
    <row r="116" spans="1:7" s="97" customFormat="1">
      <c r="A116" s="105"/>
      <c r="B116" s="105"/>
      <c r="C116" s="105"/>
      <c r="D116" s="244" t="s">
        <v>29</v>
      </c>
      <c r="E116" s="245"/>
      <c r="F116" s="246"/>
      <c r="G116" s="119">
        <f>ROUND((SUM(G115)),2)</f>
        <v>63.34</v>
      </c>
    </row>
    <row r="117" spans="1:7" s="97" customFormat="1">
      <c r="A117" s="105"/>
      <c r="B117" s="105"/>
      <c r="C117" s="105"/>
      <c r="D117" s="244" t="str">
        <f>"BDI ( " &amp;TEXT($G$7,"0,00") &amp;" ) %:"</f>
        <v>BDI ( 22,01 ) %:</v>
      </c>
      <c r="E117" s="245"/>
      <c r="F117" s="246"/>
      <c r="G117" s="119">
        <f>ROUND(G116*($G$7/100),2)</f>
        <v>13.94</v>
      </c>
    </row>
    <row r="118" spans="1:7" s="97" customFormat="1">
      <c r="A118" s="105"/>
      <c r="B118" s="105"/>
      <c r="C118" s="105"/>
      <c r="D118" s="244" t="s">
        <v>30</v>
      </c>
      <c r="E118" s="245"/>
      <c r="F118" s="246"/>
      <c r="G118" s="119">
        <f>ROUND(SUM(G116:G117),2)</f>
        <v>77.28</v>
      </c>
    </row>
    <row r="119" spans="1:7" s="97" customFormat="1">
      <c r="D119" s="128"/>
      <c r="E119" s="128"/>
      <c r="F119" s="128"/>
      <c r="G119" s="116"/>
    </row>
    <row r="120" spans="1:7" s="97" customFormat="1" ht="36">
      <c r="A120" s="98" t="s">
        <v>302</v>
      </c>
      <c r="B120" s="98" t="s">
        <v>97</v>
      </c>
      <c r="C120" s="99" t="s">
        <v>492</v>
      </c>
      <c r="D120" s="98" t="s">
        <v>69</v>
      </c>
      <c r="E120" s="100" t="s">
        <v>52</v>
      </c>
      <c r="F120" s="100" t="s">
        <v>24</v>
      </c>
      <c r="G120" s="100" t="s">
        <v>25</v>
      </c>
    </row>
    <row r="121" spans="1:7" s="97" customFormat="1">
      <c r="A121" s="101" t="s">
        <v>26</v>
      </c>
      <c r="B121" s="101" t="s">
        <v>98</v>
      </c>
      <c r="C121" s="102" t="s">
        <v>99</v>
      </c>
      <c r="D121" s="101" t="s">
        <v>69</v>
      </c>
      <c r="E121" s="103" t="s">
        <v>100</v>
      </c>
      <c r="F121" s="104">
        <v>12.15</v>
      </c>
      <c r="G121" s="104">
        <f>ROUND(E121*F121,2)</f>
        <v>0.3</v>
      </c>
    </row>
    <row r="122" spans="1:7" s="97" customFormat="1" ht="24">
      <c r="A122" s="101" t="s">
        <v>26</v>
      </c>
      <c r="B122" s="101" t="s">
        <v>101</v>
      </c>
      <c r="C122" s="102" t="s">
        <v>102</v>
      </c>
      <c r="D122" s="101" t="s">
        <v>46</v>
      </c>
      <c r="E122" s="103" t="s">
        <v>103</v>
      </c>
      <c r="F122" s="104">
        <v>0.12</v>
      </c>
      <c r="G122" s="104">
        <f>ROUND(E122*F122,2)</f>
        <v>0.09</v>
      </c>
    </row>
    <row r="123" spans="1:7" s="97" customFormat="1" ht="24">
      <c r="A123" s="101" t="s">
        <v>27</v>
      </c>
      <c r="B123" s="101" t="s">
        <v>104</v>
      </c>
      <c r="C123" s="102" t="s">
        <v>105</v>
      </c>
      <c r="D123" s="101" t="s">
        <v>31</v>
      </c>
      <c r="E123" s="103" t="s">
        <v>79</v>
      </c>
      <c r="F123" s="104">
        <v>17.84</v>
      </c>
      <c r="G123" s="104">
        <f>ROUND(E123*F123,2)</f>
        <v>0.21</v>
      </c>
    </row>
    <row r="124" spans="1:7" s="97" customFormat="1" ht="24">
      <c r="A124" s="101" t="s">
        <v>27</v>
      </c>
      <c r="B124" s="101" t="s">
        <v>106</v>
      </c>
      <c r="C124" s="102" t="s">
        <v>107</v>
      </c>
      <c r="D124" s="101" t="s">
        <v>31</v>
      </c>
      <c r="E124" s="103" t="s">
        <v>108</v>
      </c>
      <c r="F124" s="104">
        <v>23.06</v>
      </c>
      <c r="G124" s="104">
        <f>ROUND(E124*F124,2)</f>
        <v>1.63</v>
      </c>
    </row>
    <row r="125" spans="1:7" s="97" customFormat="1" ht="24">
      <c r="A125" s="101" t="s">
        <v>27</v>
      </c>
      <c r="B125" s="101">
        <v>92793</v>
      </c>
      <c r="C125" s="102" t="s">
        <v>109</v>
      </c>
      <c r="D125" s="101" t="s">
        <v>69</v>
      </c>
      <c r="E125" s="103" t="s">
        <v>66</v>
      </c>
      <c r="F125" s="104">
        <v>6.26</v>
      </c>
      <c r="G125" s="104">
        <f>ROUND(E125*F125,2)</f>
        <v>6.26</v>
      </c>
    </row>
    <row r="126" spans="1:7" s="97" customFormat="1">
      <c r="A126" s="105"/>
      <c r="B126" s="105"/>
      <c r="C126" s="105"/>
      <c r="D126" s="244" t="s">
        <v>29</v>
      </c>
      <c r="E126" s="245"/>
      <c r="F126" s="246"/>
      <c r="G126" s="119">
        <f>ROUND((SUM(G121:G125)),2)</f>
        <v>8.49</v>
      </c>
    </row>
    <row r="127" spans="1:7" s="97" customFormat="1">
      <c r="A127" s="105"/>
      <c r="B127" s="105"/>
      <c r="C127" s="105"/>
      <c r="D127" s="244" t="str">
        <f>"BDI ( " &amp;TEXT($G$7,"0,00") &amp;" ) %:"</f>
        <v>BDI ( 22,01 ) %:</v>
      </c>
      <c r="E127" s="245"/>
      <c r="F127" s="246"/>
      <c r="G127" s="119">
        <f>ROUND(G126*($G$7/100),2)</f>
        <v>1.87</v>
      </c>
    </row>
    <row r="128" spans="1:7" s="97" customFormat="1">
      <c r="A128" s="105"/>
      <c r="B128" s="105"/>
      <c r="C128" s="105"/>
      <c r="D128" s="244" t="s">
        <v>30</v>
      </c>
      <c r="E128" s="245"/>
      <c r="F128" s="246"/>
      <c r="G128" s="119">
        <f>ROUND(SUM(G126:G127),2)</f>
        <v>10.36</v>
      </c>
    </row>
    <row r="129" spans="1:7" s="97" customFormat="1">
      <c r="D129" s="128"/>
      <c r="E129" s="128"/>
      <c r="F129" s="128"/>
      <c r="G129" s="116"/>
    </row>
    <row r="130" spans="1:7" s="97" customFormat="1" ht="36">
      <c r="A130" s="98" t="s">
        <v>197</v>
      </c>
      <c r="B130" s="98">
        <v>92762</v>
      </c>
      <c r="C130" s="99" t="s">
        <v>498</v>
      </c>
      <c r="D130" s="98" t="s">
        <v>69</v>
      </c>
      <c r="E130" s="100" t="s">
        <v>52</v>
      </c>
      <c r="F130" s="100" t="s">
        <v>24</v>
      </c>
      <c r="G130" s="100" t="s">
        <v>25</v>
      </c>
    </row>
    <row r="131" spans="1:7" s="97" customFormat="1">
      <c r="A131" s="101" t="s">
        <v>26</v>
      </c>
      <c r="B131" s="101" t="s">
        <v>98</v>
      </c>
      <c r="C131" s="102" t="s">
        <v>99</v>
      </c>
      <c r="D131" s="101" t="s">
        <v>69</v>
      </c>
      <c r="E131" s="103" t="s">
        <v>100</v>
      </c>
      <c r="F131" s="104">
        <v>12.15</v>
      </c>
      <c r="G131" s="104">
        <f>ROUND(E131*F131,2)</f>
        <v>0.3</v>
      </c>
    </row>
    <row r="132" spans="1:7" s="97" customFormat="1" ht="24">
      <c r="A132" s="101" t="s">
        <v>26</v>
      </c>
      <c r="B132" s="101" t="s">
        <v>101</v>
      </c>
      <c r="C132" s="102" t="s">
        <v>102</v>
      </c>
      <c r="D132" s="101" t="s">
        <v>46</v>
      </c>
      <c r="E132" s="103" t="s">
        <v>110</v>
      </c>
      <c r="F132" s="104">
        <v>0.12</v>
      </c>
      <c r="G132" s="104">
        <f>ROUND(E132*F132,2)</f>
        <v>7.0000000000000007E-2</v>
      </c>
    </row>
    <row r="133" spans="1:7" s="97" customFormat="1" ht="24">
      <c r="A133" s="101" t="s">
        <v>27</v>
      </c>
      <c r="B133" s="101" t="s">
        <v>104</v>
      </c>
      <c r="C133" s="102" t="s">
        <v>105</v>
      </c>
      <c r="D133" s="101" t="s">
        <v>31</v>
      </c>
      <c r="E133" s="103" t="s">
        <v>111</v>
      </c>
      <c r="F133" s="104">
        <v>17.84</v>
      </c>
      <c r="G133" s="104">
        <f>ROUND(E133*F133,2)</f>
        <v>0.15</v>
      </c>
    </row>
    <row r="134" spans="1:7" s="97" customFormat="1" ht="24">
      <c r="A134" s="101" t="s">
        <v>27</v>
      </c>
      <c r="B134" s="101" t="s">
        <v>106</v>
      </c>
      <c r="C134" s="102" t="s">
        <v>107</v>
      </c>
      <c r="D134" s="101" t="s">
        <v>31</v>
      </c>
      <c r="E134" s="103" t="s">
        <v>112</v>
      </c>
      <c r="F134" s="104">
        <v>23.06</v>
      </c>
      <c r="G134" s="104">
        <f>ROUND(E134*F134,2)</f>
        <v>1.22</v>
      </c>
    </row>
    <row r="135" spans="1:7" s="97" customFormat="1" ht="24">
      <c r="A135" s="101" t="s">
        <v>27</v>
      </c>
      <c r="B135" s="101">
        <v>92794</v>
      </c>
      <c r="C135" s="102" t="s">
        <v>113</v>
      </c>
      <c r="D135" s="101" t="s">
        <v>69</v>
      </c>
      <c r="E135" s="103" t="s">
        <v>66</v>
      </c>
      <c r="F135" s="104">
        <v>5.16</v>
      </c>
      <c r="G135" s="104">
        <f>ROUND(E135*F135,2)</f>
        <v>5.16</v>
      </c>
    </row>
    <row r="136" spans="1:7" s="97" customFormat="1">
      <c r="A136" s="105"/>
      <c r="B136" s="105"/>
      <c r="C136" s="105"/>
      <c r="D136" s="244" t="s">
        <v>29</v>
      </c>
      <c r="E136" s="245"/>
      <c r="F136" s="246"/>
      <c r="G136" s="119">
        <f>ROUND((SUM(G131:G135)),2)</f>
        <v>6.9</v>
      </c>
    </row>
    <row r="137" spans="1:7" s="97" customFormat="1">
      <c r="A137" s="105"/>
      <c r="B137" s="105"/>
      <c r="C137" s="105"/>
      <c r="D137" s="244" t="str">
        <f>"BDI ( " &amp;TEXT($G$7,"0,00") &amp;" ) %:"</f>
        <v>BDI ( 22,01 ) %:</v>
      </c>
      <c r="E137" s="245"/>
      <c r="F137" s="246"/>
      <c r="G137" s="119">
        <f>ROUND(G136*($G$7/100),2)</f>
        <v>1.52</v>
      </c>
    </row>
    <row r="138" spans="1:7" s="97" customFormat="1">
      <c r="A138" s="105"/>
      <c r="B138" s="105"/>
      <c r="C138" s="105"/>
      <c r="D138" s="244" t="s">
        <v>30</v>
      </c>
      <c r="E138" s="245"/>
      <c r="F138" s="246"/>
      <c r="G138" s="119">
        <f>ROUND(SUM(G136:G137),2)</f>
        <v>8.42</v>
      </c>
    </row>
    <row r="139" spans="1:7" s="97" customFormat="1">
      <c r="A139" s="105"/>
      <c r="B139" s="105"/>
      <c r="C139" s="105"/>
      <c r="D139" s="124"/>
      <c r="E139" s="124"/>
      <c r="F139" s="124"/>
      <c r="G139" s="116"/>
    </row>
    <row r="140" spans="1:7" s="97" customFormat="1" ht="24">
      <c r="A140" s="98" t="s">
        <v>198</v>
      </c>
      <c r="B140" s="98">
        <v>92767</v>
      </c>
      <c r="C140" s="99" t="s">
        <v>506</v>
      </c>
      <c r="D140" s="98" t="s">
        <v>69</v>
      </c>
      <c r="E140" s="100" t="s">
        <v>52</v>
      </c>
      <c r="F140" s="100" t="s">
        <v>24</v>
      </c>
      <c r="G140" s="100" t="s">
        <v>25</v>
      </c>
    </row>
    <row r="141" spans="1:7" s="97" customFormat="1">
      <c r="A141" s="101" t="s">
        <v>26</v>
      </c>
      <c r="B141" s="101">
        <v>337</v>
      </c>
      <c r="C141" s="102" t="s">
        <v>99</v>
      </c>
      <c r="D141" s="101" t="s">
        <v>69</v>
      </c>
      <c r="E141" s="122" t="s">
        <v>100</v>
      </c>
      <c r="F141" s="104">
        <v>12.15</v>
      </c>
      <c r="G141" s="118">
        <f>ROUND(E141*F141,2)</f>
        <v>0.3</v>
      </c>
    </row>
    <row r="142" spans="1:7" s="97" customFormat="1" ht="24">
      <c r="A142" s="101" t="s">
        <v>26</v>
      </c>
      <c r="B142" s="101">
        <v>39017</v>
      </c>
      <c r="C142" s="102" t="s">
        <v>102</v>
      </c>
      <c r="D142" s="101" t="s">
        <v>46</v>
      </c>
      <c r="E142" s="122" t="s">
        <v>114</v>
      </c>
      <c r="F142" s="104">
        <v>0.12</v>
      </c>
      <c r="G142" s="118">
        <f>ROUND(E142*F142,2)</f>
        <v>0.34</v>
      </c>
    </row>
    <row r="143" spans="1:7" s="97" customFormat="1" ht="24">
      <c r="A143" s="101" t="s">
        <v>27</v>
      </c>
      <c r="B143" s="101">
        <v>88238</v>
      </c>
      <c r="C143" s="102" t="s">
        <v>105</v>
      </c>
      <c r="D143" s="101" t="s">
        <v>31</v>
      </c>
      <c r="E143" s="122" t="s">
        <v>499</v>
      </c>
      <c r="F143" s="104">
        <v>17.84</v>
      </c>
      <c r="G143" s="118">
        <f>ROUND(E143*F143,2)</f>
        <v>0.31</v>
      </c>
    </row>
    <row r="144" spans="1:7" s="97" customFormat="1" ht="24">
      <c r="A144" s="101" t="s">
        <v>27</v>
      </c>
      <c r="B144" s="101">
        <v>88245</v>
      </c>
      <c r="C144" s="102" t="s">
        <v>107</v>
      </c>
      <c r="D144" s="101" t="s">
        <v>31</v>
      </c>
      <c r="E144" s="122" t="s">
        <v>500</v>
      </c>
      <c r="F144" s="104">
        <v>23.06</v>
      </c>
      <c r="G144" s="118">
        <f>ROUND(E144*F144,2)</f>
        <v>2.42</v>
      </c>
    </row>
    <row r="145" spans="1:7" s="97" customFormat="1" ht="24">
      <c r="A145" s="101" t="s">
        <v>27</v>
      </c>
      <c r="B145" s="101">
        <v>92799</v>
      </c>
      <c r="C145" s="102" t="s">
        <v>116</v>
      </c>
      <c r="D145" s="101" t="s">
        <v>69</v>
      </c>
      <c r="E145" s="122" t="s">
        <v>66</v>
      </c>
      <c r="F145" s="104">
        <v>7.01</v>
      </c>
      <c r="G145" s="118">
        <f>ROUND(E145*F145,2)</f>
        <v>7.01</v>
      </c>
    </row>
    <row r="146" spans="1:7" s="97" customFormat="1">
      <c r="A146" s="105"/>
      <c r="B146" s="105"/>
      <c r="C146" s="105"/>
      <c r="D146" s="244" t="s">
        <v>29</v>
      </c>
      <c r="E146" s="245"/>
      <c r="F146" s="246"/>
      <c r="G146" s="119">
        <f>ROUND((SUM(G141:G145)),2)</f>
        <v>10.38</v>
      </c>
    </row>
    <row r="147" spans="1:7" s="97" customFormat="1">
      <c r="A147" s="105"/>
      <c r="B147" s="105"/>
      <c r="C147" s="105"/>
      <c r="D147" s="244" t="str">
        <f>"BDI ( " &amp;TEXT($G$7,"0,00") &amp;" ) %:"</f>
        <v>BDI ( 22,01 ) %:</v>
      </c>
      <c r="E147" s="245"/>
      <c r="F147" s="246"/>
      <c r="G147" s="119">
        <f>ROUND(G146*($G$7/100),2)</f>
        <v>2.2799999999999998</v>
      </c>
    </row>
    <row r="148" spans="1:7" s="97" customFormat="1">
      <c r="A148" s="105"/>
      <c r="B148" s="105"/>
      <c r="C148" s="105"/>
      <c r="D148" s="244" t="s">
        <v>30</v>
      </c>
      <c r="E148" s="245"/>
      <c r="F148" s="246"/>
      <c r="G148" s="119">
        <f>ROUND(SUM(G146:G147),2)</f>
        <v>12.66</v>
      </c>
    </row>
    <row r="149" spans="1:7" s="97" customFormat="1">
      <c r="D149" s="128"/>
      <c r="E149" s="128"/>
      <c r="F149" s="128"/>
      <c r="G149" s="128"/>
    </row>
    <row r="150" spans="1:7" s="97" customFormat="1" ht="24">
      <c r="A150" s="98" t="s">
        <v>199</v>
      </c>
      <c r="B150" s="98" t="s">
        <v>346</v>
      </c>
      <c r="C150" s="99" t="s">
        <v>507</v>
      </c>
      <c r="D150" s="98" t="s">
        <v>376</v>
      </c>
      <c r="E150" s="100" t="s">
        <v>52</v>
      </c>
      <c r="F150" s="100" t="s">
        <v>24</v>
      </c>
      <c r="G150" s="100" t="s">
        <v>25</v>
      </c>
    </row>
    <row r="151" spans="1:7" s="97" customFormat="1" ht="24">
      <c r="A151" s="101" t="s">
        <v>26</v>
      </c>
      <c r="B151" s="101" t="s">
        <v>89</v>
      </c>
      <c r="C151" s="102" t="s">
        <v>347</v>
      </c>
      <c r="D151" s="101" t="s">
        <v>60</v>
      </c>
      <c r="E151" s="103" t="s">
        <v>348</v>
      </c>
      <c r="F151" s="104">
        <v>1.53</v>
      </c>
      <c r="G151" s="104">
        <f>ROUND(E151*F151,2)</f>
        <v>6.3</v>
      </c>
    </row>
    <row r="152" spans="1:7" s="97" customFormat="1">
      <c r="A152" s="101" t="s">
        <v>26</v>
      </c>
      <c r="B152" s="101" t="s">
        <v>349</v>
      </c>
      <c r="C152" s="102" t="s">
        <v>117</v>
      </c>
      <c r="D152" s="101" t="s">
        <v>69</v>
      </c>
      <c r="E152" s="103" t="s">
        <v>115</v>
      </c>
      <c r="F152" s="104">
        <v>10.199999999999999</v>
      </c>
      <c r="G152" s="104">
        <f t="shared" ref="G152:G157" si="6">ROUND(E152*F152,2)</f>
        <v>0.32</v>
      </c>
    </row>
    <row r="153" spans="1:7" s="97" customFormat="1" ht="24">
      <c r="A153" s="101" t="s">
        <v>26</v>
      </c>
      <c r="B153" s="101" t="s">
        <v>340</v>
      </c>
      <c r="C153" s="102" t="s">
        <v>341</v>
      </c>
      <c r="D153" s="101" t="s">
        <v>60</v>
      </c>
      <c r="E153" s="103" t="s">
        <v>350</v>
      </c>
      <c r="F153" s="104">
        <v>12.93</v>
      </c>
      <c r="G153" s="104">
        <f t="shared" si="6"/>
        <v>47.93</v>
      </c>
    </row>
    <row r="154" spans="1:7" s="97" customFormat="1" ht="24">
      <c r="A154" s="101" t="s">
        <v>27</v>
      </c>
      <c r="B154" s="101" t="s">
        <v>351</v>
      </c>
      <c r="C154" s="102" t="s">
        <v>118</v>
      </c>
      <c r="D154" s="101" t="s">
        <v>31</v>
      </c>
      <c r="E154" s="103" t="s">
        <v>352</v>
      </c>
      <c r="F154" s="104">
        <v>19.38</v>
      </c>
      <c r="G154" s="104">
        <f t="shared" si="6"/>
        <v>1.71</v>
      </c>
    </row>
    <row r="155" spans="1:7" s="97" customFormat="1" ht="24">
      <c r="A155" s="101" t="s">
        <v>27</v>
      </c>
      <c r="B155" s="101" t="s">
        <v>71</v>
      </c>
      <c r="C155" s="102" t="s">
        <v>72</v>
      </c>
      <c r="D155" s="101" t="s">
        <v>31</v>
      </c>
      <c r="E155" s="103" t="s">
        <v>353</v>
      </c>
      <c r="F155" s="104">
        <v>23.02</v>
      </c>
      <c r="G155" s="104">
        <f t="shared" si="6"/>
        <v>10.08</v>
      </c>
    </row>
    <row r="156" spans="1:7" s="97" customFormat="1" ht="24">
      <c r="A156" s="101" t="s">
        <v>27</v>
      </c>
      <c r="B156" s="101" t="s">
        <v>354</v>
      </c>
      <c r="C156" s="102" t="s">
        <v>119</v>
      </c>
      <c r="D156" s="101" t="s">
        <v>62</v>
      </c>
      <c r="E156" s="103" t="s">
        <v>355</v>
      </c>
      <c r="F156" s="104">
        <v>30.64</v>
      </c>
      <c r="G156" s="104">
        <f t="shared" si="6"/>
        <v>1.53</v>
      </c>
    </row>
    <row r="157" spans="1:7" s="97" customFormat="1" ht="24">
      <c r="A157" s="101" t="s">
        <v>27</v>
      </c>
      <c r="B157" s="101" t="s">
        <v>356</v>
      </c>
      <c r="C157" s="102" t="s">
        <v>120</v>
      </c>
      <c r="D157" s="101" t="s">
        <v>78</v>
      </c>
      <c r="E157" s="103" t="s">
        <v>357</v>
      </c>
      <c r="F157" s="104">
        <v>28.19</v>
      </c>
      <c r="G157" s="104">
        <f t="shared" si="6"/>
        <v>1.07</v>
      </c>
    </row>
    <row r="158" spans="1:7" s="97" customFormat="1">
      <c r="A158" s="105"/>
      <c r="B158" s="105"/>
      <c r="C158" s="105"/>
      <c r="D158" s="244" t="s">
        <v>29</v>
      </c>
      <c r="E158" s="245"/>
      <c r="F158" s="246"/>
      <c r="G158" s="119">
        <f>ROUND((SUM(G151:G157)),2)</f>
        <v>68.94</v>
      </c>
    </row>
    <row r="159" spans="1:7" s="97" customFormat="1">
      <c r="A159" s="105"/>
      <c r="B159" s="105"/>
      <c r="C159" s="105"/>
      <c r="D159" s="244" t="str">
        <f>"BDI ( " &amp;TEXT($G$7,"0,00") &amp;" ) %:"</f>
        <v>BDI ( 22,01 ) %:</v>
      </c>
      <c r="E159" s="245"/>
      <c r="F159" s="246"/>
      <c r="G159" s="119">
        <f>ROUND(G158*($G$7/100),2)</f>
        <v>15.17</v>
      </c>
    </row>
    <row r="160" spans="1:7" s="97" customFormat="1">
      <c r="A160" s="105"/>
      <c r="B160" s="105"/>
      <c r="C160" s="105"/>
      <c r="D160" s="244" t="s">
        <v>30</v>
      </c>
      <c r="E160" s="245"/>
      <c r="F160" s="246"/>
      <c r="G160" s="119">
        <f>ROUND(SUM(G158:G159),2)</f>
        <v>84.11</v>
      </c>
    </row>
    <row r="161" spans="1:7" s="97" customFormat="1">
      <c r="A161" s="105"/>
      <c r="B161" s="105"/>
      <c r="C161" s="105"/>
    </row>
    <row r="162" spans="1:7" s="97" customFormat="1" ht="24">
      <c r="A162" s="98" t="s">
        <v>200</v>
      </c>
      <c r="B162" s="98">
        <v>94964</v>
      </c>
      <c r="C162" s="99" t="s">
        <v>508</v>
      </c>
      <c r="D162" s="98" t="s">
        <v>380</v>
      </c>
      <c r="E162" s="100" t="s">
        <v>52</v>
      </c>
      <c r="F162" s="100" t="s">
        <v>24</v>
      </c>
      <c r="G162" s="100" t="s">
        <v>25</v>
      </c>
    </row>
    <row r="163" spans="1:7" s="97" customFormat="1">
      <c r="A163" s="101" t="s">
        <v>26</v>
      </c>
      <c r="B163" s="101" t="s">
        <v>81</v>
      </c>
      <c r="C163" s="102" t="s">
        <v>82</v>
      </c>
      <c r="D163" s="101" t="s">
        <v>380</v>
      </c>
      <c r="E163" s="103" t="s">
        <v>358</v>
      </c>
      <c r="F163" s="104">
        <v>73</v>
      </c>
      <c r="G163" s="104">
        <f>ROUND(E163*F163,2)</f>
        <v>55.17</v>
      </c>
    </row>
    <row r="164" spans="1:7" s="97" customFormat="1">
      <c r="A164" s="101" t="s">
        <v>26</v>
      </c>
      <c r="B164" s="101" t="s">
        <v>287</v>
      </c>
      <c r="C164" s="102" t="s">
        <v>121</v>
      </c>
      <c r="D164" s="101" t="s">
        <v>69</v>
      </c>
      <c r="E164" s="103" t="s">
        <v>122</v>
      </c>
      <c r="F164" s="104">
        <v>0.53</v>
      </c>
      <c r="G164" s="104">
        <f t="shared" ref="G164:G169" si="7">ROUND(E164*F164,2)</f>
        <v>171.18</v>
      </c>
    </row>
    <row r="165" spans="1:7" s="97" customFormat="1">
      <c r="A165" s="101" t="s">
        <v>26</v>
      </c>
      <c r="B165" s="101" t="s">
        <v>359</v>
      </c>
      <c r="C165" s="102" t="s">
        <v>123</v>
      </c>
      <c r="D165" s="101" t="s">
        <v>380</v>
      </c>
      <c r="E165" s="103" t="s">
        <v>124</v>
      </c>
      <c r="F165" s="104">
        <v>58.35</v>
      </c>
      <c r="G165" s="104">
        <f t="shared" si="7"/>
        <v>34.25</v>
      </c>
    </row>
    <row r="166" spans="1:7" s="97" customFormat="1" ht="24">
      <c r="A166" s="101" t="s">
        <v>27</v>
      </c>
      <c r="B166" s="101" t="s">
        <v>33</v>
      </c>
      <c r="C166" s="102" t="s">
        <v>32</v>
      </c>
      <c r="D166" s="101" t="s">
        <v>31</v>
      </c>
      <c r="E166" s="103" t="s">
        <v>125</v>
      </c>
      <c r="F166" s="104">
        <v>16.010000000000002</v>
      </c>
      <c r="G166" s="104">
        <f t="shared" si="7"/>
        <v>40.51</v>
      </c>
    </row>
    <row r="167" spans="1:7" s="97" customFormat="1" ht="24">
      <c r="A167" s="101" t="s">
        <v>27</v>
      </c>
      <c r="B167" s="101" t="s">
        <v>360</v>
      </c>
      <c r="C167" s="102" t="s">
        <v>126</v>
      </c>
      <c r="D167" s="101" t="s">
        <v>31</v>
      </c>
      <c r="E167" s="103" t="s">
        <v>127</v>
      </c>
      <c r="F167" s="104">
        <v>22.97</v>
      </c>
      <c r="G167" s="104">
        <f t="shared" si="7"/>
        <v>36.75</v>
      </c>
    </row>
    <row r="168" spans="1:7" s="97" customFormat="1" ht="24">
      <c r="A168" s="101" t="s">
        <v>27</v>
      </c>
      <c r="B168" s="101" t="s">
        <v>361</v>
      </c>
      <c r="C168" s="102" t="s">
        <v>128</v>
      </c>
      <c r="D168" s="101" t="s">
        <v>62</v>
      </c>
      <c r="E168" s="103" t="s">
        <v>129</v>
      </c>
      <c r="F168" s="104">
        <v>1.44</v>
      </c>
      <c r="G168" s="104">
        <f t="shared" si="7"/>
        <v>1.2</v>
      </c>
    </row>
    <row r="169" spans="1:7" s="97" customFormat="1" ht="24">
      <c r="A169" s="101" t="s">
        <v>27</v>
      </c>
      <c r="B169" s="101" t="s">
        <v>362</v>
      </c>
      <c r="C169" s="102" t="s">
        <v>130</v>
      </c>
      <c r="D169" s="101" t="s">
        <v>78</v>
      </c>
      <c r="E169" s="103" t="s">
        <v>131</v>
      </c>
      <c r="F169" s="104">
        <v>0.28000000000000003</v>
      </c>
      <c r="G169" s="104">
        <f t="shared" si="7"/>
        <v>0.22</v>
      </c>
    </row>
    <row r="170" spans="1:7" s="97" customFormat="1">
      <c r="A170" s="105"/>
      <c r="B170" s="105"/>
      <c r="C170" s="105"/>
      <c r="D170" s="244" t="s">
        <v>29</v>
      </c>
      <c r="E170" s="245"/>
      <c r="F170" s="246"/>
      <c r="G170" s="119">
        <f>ROUND((SUM(G163:G169)),2)</f>
        <v>339.28</v>
      </c>
    </row>
    <row r="171" spans="1:7" s="97" customFormat="1">
      <c r="A171" s="105"/>
      <c r="B171" s="105"/>
      <c r="C171" s="105"/>
      <c r="D171" s="244" t="str">
        <f>"BDI ( " &amp;TEXT($G$7,"0,00") &amp;" ) %:"</f>
        <v>BDI ( 22,01 ) %:</v>
      </c>
      <c r="E171" s="245"/>
      <c r="F171" s="246"/>
      <c r="G171" s="119">
        <f>ROUND(G170*($G$7/100),2)</f>
        <v>74.680000000000007</v>
      </c>
    </row>
    <row r="172" spans="1:7" s="97" customFormat="1">
      <c r="A172" s="105"/>
      <c r="B172" s="105"/>
      <c r="C172" s="105"/>
      <c r="D172" s="244" t="s">
        <v>30</v>
      </c>
      <c r="E172" s="245"/>
      <c r="F172" s="246"/>
      <c r="G172" s="119">
        <f>ROUND(SUM(G170:G171),2)</f>
        <v>413.96</v>
      </c>
    </row>
    <row r="173" spans="1:7" s="97" customFormat="1"/>
    <row r="174" spans="1:7" s="97" customFormat="1" ht="24">
      <c r="A174" s="98" t="s">
        <v>201</v>
      </c>
      <c r="B174" s="98">
        <v>87879</v>
      </c>
      <c r="C174" s="99" t="s">
        <v>509</v>
      </c>
      <c r="D174" s="98" t="s">
        <v>376</v>
      </c>
      <c r="E174" s="100" t="s">
        <v>52</v>
      </c>
      <c r="F174" s="100" t="s">
        <v>24</v>
      </c>
      <c r="G174" s="100" t="s">
        <v>25</v>
      </c>
    </row>
    <row r="175" spans="1:7" s="97" customFormat="1" ht="24">
      <c r="A175" s="101" t="s">
        <v>27</v>
      </c>
      <c r="B175" s="101" t="s">
        <v>377</v>
      </c>
      <c r="C175" s="102" t="s">
        <v>510</v>
      </c>
      <c r="D175" s="101" t="s">
        <v>380</v>
      </c>
      <c r="E175" s="103" t="s">
        <v>138</v>
      </c>
      <c r="F175" s="104">
        <v>386.05</v>
      </c>
      <c r="G175" s="104">
        <f>ROUND(E175*F175,2)</f>
        <v>1.62</v>
      </c>
    </row>
    <row r="176" spans="1:7" s="97" customFormat="1" ht="24">
      <c r="A176" s="101" t="s">
        <v>27</v>
      </c>
      <c r="B176" s="101" t="s">
        <v>85</v>
      </c>
      <c r="C176" s="102" t="s">
        <v>86</v>
      </c>
      <c r="D176" s="101" t="s">
        <v>31</v>
      </c>
      <c r="E176" s="103" t="s">
        <v>139</v>
      </c>
      <c r="F176" s="104">
        <v>23.2</v>
      </c>
      <c r="G176" s="104">
        <f>ROUND(E176*F176,2)</f>
        <v>1.62</v>
      </c>
    </row>
    <row r="177" spans="1:7" s="97" customFormat="1" ht="24">
      <c r="A177" s="101" t="s">
        <v>27</v>
      </c>
      <c r="B177" s="101" t="s">
        <v>33</v>
      </c>
      <c r="C177" s="102" t="s">
        <v>32</v>
      </c>
      <c r="D177" s="101" t="s">
        <v>31</v>
      </c>
      <c r="E177" s="103" t="s">
        <v>77</v>
      </c>
      <c r="F177" s="104">
        <v>16.010000000000002</v>
      </c>
      <c r="G177" s="104">
        <f>ROUND(E177*F177,2)</f>
        <v>0.11</v>
      </c>
    </row>
    <row r="178" spans="1:7" s="97" customFormat="1">
      <c r="A178" s="105"/>
      <c r="B178" s="105"/>
      <c r="C178" s="105"/>
      <c r="D178" s="244" t="s">
        <v>29</v>
      </c>
      <c r="E178" s="245"/>
      <c r="F178" s="246"/>
      <c r="G178" s="119">
        <f>ROUND((SUM(G175:G177)),2)</f>
        <v>3.35</v>
      </c>
    </row>
    <row r="179" spans="1:7" s="97" customFormat="1">
      <c r="A179" s="105"/>
      <c r="B179" s="105"/>
      <c r="C179" s="105"/>
      <c r="D179" s="244" t="str">
        <f>"BDI ( " &amp;TEXT($G$7,"0,00") &amp;" ) %:"</f>
        <v>BDI ( 22,01 ) %:</v>
      </c>
      <c r="E179" s="245"/>
      <c r="F179" s="246"/>
      <c r="G179" s="119">
        <f>ROUND(G178*($G$7/100),2)</f>
        <v>0.74</v>
      </c>
    </row>
    <row r="180" spans="1:7" s="97" customFormat="1">
      <c r="A180" s="105"/>
      <c r="B180" s="105"/>
      <c r="C180" s="105"/>
      <c r="D180" s="244" t="s">
        <v>30</v>
      </c>
      <c r="E180" s="245"/>
      <c r="F180" s="246"/>
      <c r="G180" s="119">
        <f>ROUND(SUM(G178:G179),2)</f>
        <v>4.09</v>
      </c>
    </row>
    <row r="181" spans="1:7" s="97" customFormat="1"/>
    <row r="182" spans="1:7" s="97" customFormat="1" ht="36">
      <c r="A182" s="98" t="s">
        <v>202</v>
      </c>
      <c r="B182" s="98">
        <v>87529</v>
      </c>
      <c r="C182" s="99" t="s">
        <v>511</v>
      </c>
      <c r="D182" s="98" t="s">
        <v>376</v>
      </c>
      <c r="E182" s="100" t="s">
        <v>52</v>
      </c>
      <c r="F182" s="100" t="s">
        <v>24</v>
      </c>
      <c r="G182" s="100" t="s">
        <v>25</v>
      </c>
    </row>
    <row r="183" spans="1:7" s="97" customFormat="1" ht="36">
      <c r="A183" s="101" t="s">
        <v>27</v>
      </c>
      <c r="B183" s="101" t="s">
        <v>371</v>
      </c>
      <c r="C183" s="102" t="s">
        <v>512</v>
      </c>
      <c r="D183" s="101" t="s">
        <v>380</v>
      </c>
      <c r="E183" s="103" t="s">
        <v>140</v>
      </c>
      <c r="F183" s="104">
        <v>424.88</v>
      </c>
      <c r="G183" s="104">
        <f>ROUND(E183*F183,2)</f>
        <v>15.98</v>
      </c>
    </row>
    <row r="184" spans="1:7" s="97" customFormat="1" ht="24">
      <c r="A184" s="101" t="s">
        <v>27</v>
      </c>
      <c r="B184" s="101" t="s">
        <v>85</v>
      </c>
      <c r="C184" s="102" t="s">
        <v>86</v>
      </c>
      <c r="D184" s="101" t="s">
        <v>31</v>
      </c>
      <c r="E184" s="103" t="s">
        <v>265</v>
      </c>
      <c r="F184" s="104">
        <v>23.2</v>
      </c>
      <c r="G184" s="104">
        <f>ROUND(E184*F184,2)</f>
        <v>10.9</v>
      </c>
    </row>
    <row r="185" spans="1:7" s="97" customFormat="1" ht="24">
      <c r="A185" s="101" t="s">
        <v>27</v>
      </c>
      <c r="B185" s="101" t="s">
        <v>33</v>
      </c>
      <c r="C185" s="102" t="s">
        <v>32</v>
      </c>
      <c r="D185" s="101" t="s">
        <v>31</v>
      </c>
      <c r="E185" s="103" t="s">
        <v>266</v>
      </c>
      <c r="F185" s="104">
        <v>16.010000000000002</v>
      </c>
      <c r="G185" s="104">
        <f>ROUND(E185*F185,2)</f>
        <v>2.74</v>
      </c>
    </row>
    <row r="186" spans="1:7" s="97" customFormat="1">
      <c r="A186" s="105"/>
      <c r="B186" s="105"/>
      <c r="C186" s="105"/>
      <c r="D186" s="244" t="s">
        <v>29</v>
      </c>
      <c r="E186" s="245"/>
      <c r="F186" s="246"/>
      <c r="G186" s="119">
        <f>ROUND((SUM(G183:G185)),2)</f>
        <v>29.62</v>
      </c>
    </row>
    <row r="187" spans="1:7" s="97" customFormat="1">
      <c r="A187" s="105"/>
      <c r="B187" s="105"/>
      <c r="C187" s="105"/>
      <c r="D187" s="244" t="str">
        <f>"BDI ( " &amp;TEXT($G$7,"0,00") &amp;" ) %:"</f>
        <v>BDI ( 22,01 ) %:</v>
      </c>
      <c r="E187" s="245"/>
      <c r="F187" s="246"/>
      <c r="G187" s="119">
        <f>ROUND(G186*($G$7/100),2)</f>
        <v>6.52</v>
      </c>
    </row>
    <row r="188" spans="1:7" s="97" customFormat="1">
      <c r="A188" s="105"/>
      <c r="B188" s="105"/>
      <c r="C188" s="105"/>
      <c r="D188" s="244" t="s">
        <v>30</v>
      </c>
      <c r="E188" s="245"/>
      <c r="F188" s="246"/>
      <c r="G188" s="119">
        <f>ROUND(SUM(G186:G187),2)</f>
        <v>36.14</v>
      </c>
    </row>
    <row r="189" spans="1:7" s="97" customFormat="1">
      <c r="A189" s="105"/>
      <c r="B189" s="105"/>
      <c r="C189" s="105"/>
      <c r="D189" s="124"/>
      <c r="E189" s="124"/>
      <c r="F189" s="124"/>
      <c r="G189" s="116"/>
    </row>
    <row r="190" spans="1:7" s="97" customFormat="1" ht="24">
      <c r="A190" s="98" t="s">
        <v>203</v>
      </c>
      <c r="B190" s="134" t="s">
        <v>221</v>
      </c>
      <c r="C190" s="135" t="s">
        <v>514</v>
      </c>
      <c r="D190" s="134" t="s">
        <v>376</v>
      </c>
      <c r="E190" s="100" t="s">
        <v>52</v>
      </c>
      <c r="F190" s="100" t="s">
        <v>24</v>
      </c>
      <c r="G190" s="100" t="s">
        <v>25</v>
      </c>
    </row>
    <row r="191" spans="1:7" s="97" customFormat="1">
      <c r="A191" s="120" t="s">
        <v>26</v>
      </c>
      <c r="B191" s="120">
        <v>38877</v>
      </c>
      <c r="C191" s="121" t="s">
        <v>222</v>
      </c>
      <c r="D191" s="120" t="s">
        <v>69</v>
      </c>
      <c r="E191" s="122" t="s">
        <v>223</v>
      </c>
      <c r="F191" s="104">
        <v>4.9800000000000004</v>
      </c>
      <c r="G191" s="104">
        <f>ROUND(E191*F191,2)</f>
        <v>5.68</v>
      </c>
    </row>
    <row r="192" spans="1:7" s="97" customFormat="1" ht="24">
      <c r="A192" s="120" t="s">
        <v>27</v>
      </c>
      <c r="B192" s="120">
        <v>88310</v>
      </c>
      <c r="C192" s="121" t="s">
        <v>94</v>
      </c>
      <c r="D192" s="120" t="s">
        <v>31</v>
      </c>
      <c r="E192" s="122" t="s">
        <v>224</v>
      </c>
      <c r="F192" s="104">
        <v>24.3</v>
      </c>
      <c r="G192" s="104">
        <f>ROUND(E192*F192,2)</f>
        <v>4.57</v>
      </c>
    </row>
    <row r="193" spans="1:7" s="97" customFormat="1" ht="24">
      <c r="A193" s="120" t="s">
        <v>27</v>
      </c>
      <c r="B193" s="120" t="s">
        <v>33</v>
      </c>
      <c r="C193" s="121" t="s">
        <v>32</v>
      </c>
      <c r="D193" s="120" t="s">
        <v>31</v>
      </c>
      <c r="E193" s="122" t="s">
        <v>225</v>
      </c>
      <c r="F193" s="104">
        <v>16.010000000000002</v>
      </c>
      <c r="G193" s="104">
        <f>ROUND(E193*F193,2)</f>
        <v>1.1000000000000001</v>
      </c>
    </row>
    <row r="194" spans="1:7" s="97" customFormat="1">
      <c r="A194" s="105"/>
      <c r="B194" s="105"/>
      <c r="C194" s="105"/>
      <c r="D194" s="244" t="s">
        <v>29</v>
      </c>
      <c r="E194" s="245"/>
      <c r="F194" s="246"/>
      <c r="G194" s="119">
        <f>ROUND((SUM(G191:G193)),2)</f>
        <v>11.35</v>
      </c>
    </row>
    <row r="195" spans="1:7" s="97" customFormat="1">
      <c r="A195" s="105"/>
      <c r="B195" s="105"/>
      <c r="C195" s="105"/>
      <c r="D195" s="244" t="str">
        <f>"BDI ( " &amp;TEXT($G$7,"0,00") &amp;" ) %:"</f>
        <v>BDI ( 22,01 ) %:</v>
      </c>
      <c r="E195" s="245"/>
      <c r="F195" s="246"/>
      <c r="G195" s="119">
        <f>ROUND(G194*($G$7/100),2)</f>
        <v>2.5</v>
      </c>
    </row>
    <row r="196" spans="1:7" s="97" customFormat="1">
      <c r="A196" s="105"/>
      <c r="B196" s="105"/>
      <c r="C196" s="105"/>
      <c r="D196" s="244" t="s">
        <v>30</v>
      </c>
      <c r="E196" s="245"/>
      <c r="F196" s="246"/>
      <c r="G196" s="119">
        <f>ROUND(SUM(G194:G195),2)</f>
        <v>13.85</v>
      </c>
    </row>
    <row r="197" spans="1:7" s="97" customFormat="1">
      <c r="A197" s="105"/>
      <c r="B197" s="105"/>
      <c r="C197" s="105"/>
      <c r="D197" s="124"/>
      <c r="E197" s="124"/>
      <c r="F197" s="124"/>
      <c r="G197" s="116"/>
    </row>
    <row r="198" spans="1:7" s="97" customFormat="1" ht="24">
      <c r="A198" s="98" t="s">
        <v>204</v>
      </c>
      <c r="B198" s="98">
        <v>96135</v>
      </c>
      <c r="C198" s="99" t="s">
        <v>516</v>
      </c>
      <c r="D198" s="134" t="s">
        <v>376</v>
      </c>
      <c r="E198" s="100" t="s">
        <v>52</v>
      </c>
      <c r="F198" s="100" t="s">
        <v>24</v>
      </c>
      <c r="G198" s="100" t="s">
        <v>25</v>
      </c>
    </row>
    <row r="199" spans="1:7" s="97" customFormat="1">
      <c r="A199" s="101" t="s">
        <v>26</v>
      </c>
      <c r="B199" s="101" t="s">
        <v>385</v>
      </c>
      <c r="C199" s="102" t="s">
        <v>268</v>
      </c>
      <c r="D199" s="101" t="s">
        <v>46</v>
      </c>
      <c r="E199" s="103" t="s">
        <v>175</v>
      </c>
      <c r="F199" s="104">
        <v>0.45</v>
      </c>
      <c r="G199" s="104">
        <f>ROUND(E199*F199,2)</f>
        <v>0.05</v>
      </c>
    </row>
    <row r="200" spans="1:7" s="97" customFormat="1">
      <c r="A200" s="101" t="s">
        <v>26</v>
      </c>
      <c r="B200" s="101" t="s">
        <v>386</v>
      </c>
      <c r="C200" s="102" t="s">
        <v>269</v>
      </c>
      <c r="D200" s="101" t="s">
        <v>270</v>
      </c>
      <c r="E200" s="103" t="s">
        <v>271</v>
      </c>
      <c r="F200" s="104">
        <v>20.79</v>
      </c>
      <c r="G200" s="104">
        <f>ROUND(E200*F200,2)</f>
        <v>5.07</v>
      </c>
    </row>
    <row r="201" spans="1:7" s="97" customFormat="1" ht="24">
      <c r="A201" s="101" t="s">
        <v>27</v>
      </c>
      <c r="B201" s="101" t="s">
        <v>93</v>
      </c>
      <c r="C201" s="102" t="s">
        <v>94</v>
      </c>
      <c r="D201" s="101" t="s">
        <v>31</v>
      </c>
      <c r="E201" s="103" t="s">
        <v>272</v>
      </c>
      <c r="F201" s="104">
        <v>24.3</v>
      </c>
      <c r="G201" s="104">
        <f>ROUND(E201*F201,2)</f>
        <v>13.88</v>
      </c>
    </row>
    <row r="202" spans="1:7" s="97" customFormat="1" ht="24">
      <c r="A202" s="101" t="s">
        <v>27</v>
      </c>
      <c r="B202" s="101" t="s">
        <v>33</v>
      </c>
      <c r="C202" s="102" t="s">
        <v>32</v>
      </c>
      <c r="D202" s="101" t="s">
        <v>31</v>
      </c>
      <c r="E202" s="103" t="s">
        <v>273</v>
      </c>
      <c r="F202" s="104">
        <v>16.010000000000002</v>
      </c>
      <c r="G202" s="104">
        <f>ROUND(E202*F202,2)</f>
        <v>2.29</v>
      </c>
    </row>
    <row r="203" spans="1:7" s="97" customFormat="1">
      <c r="A203" s="105"/>
      <c r="B203" s="105"/>
      <c r="C203" s="105"/>
      <c r="D203" s="244" t="s">
        <v>29</v>
      </c>
      <c r="E203" s="245"/>
      <c r="F203" s="246"/>
      <c r="G203" s="119">
        <f>ROUND((SUM(G199:G202)),2)</f>
        <v>21.29</v>
      </c>
    </row>
    <row r="204" spans="1:7" s="97" customFormat="1">
      <c r="A204" s="105"/>
      <c r="B204" s="105"/>
      <c r="C204" s="105"/>
      <c r="D204" s="244" t="str">
        <f>"BDI ( " &amp;TEXT($G$7,"0,00") &amp;" ) %:"</f>
        <v>BDI ( 22,01 ) %:</v>
      </c>
      <c r="E204" s="245"/>
      <c r="F204" s="246"/>
      <c r="G204" s="119">
        <f>ROUND(G203*($G$7/100),2)</f>
        <v>4.6900000000000004</v>
      </c>
    </row>
    <row r="205" spans="1:7" s="97" customFormat="1">
      <c r="A205" s="105"/>
      <c r="B205" s="105"/>
      <c r="C205" s="105"/>
      <c r="D205" s="244" t="s">
        <v>30</v>
      </c>
      <c r="E205" s="245"/>
      <c r="F205" s="246"/>
      <c r="G205" s="119">
        <f>ROUND(SUM(G203:G204),2)</f>
        <v>25.98</v>
      </c>
    </row>
    <row r="206" spans="1:7" s="97" customFormat="1">
      <c r="A206" s="105"/>
      <c r="B206" s="105"/>
      <c r="C206" s="105"/>
      <c r="D206" s="124"/>
      <c r="E206" s="124"/>
      <c r="F206" s="124"/>
      <c r="G206" s="116"/>
    </row>
    <row r="207" spans="1:7" s="97" customFormat="1" ht="24">
      <c r="A207" s="98" t="s">
        <v>205</v>
      </c>
      <c r="B207" s="98">
        <v>88489</v>
      </c>
      <c r="C207" s="99" t="s">
        <v>517</v>
      </c>
      <c r="D207" s="134" t="s">
        <v>376</v>
      </c>
      <c r="E207" s="100" t="s">
        <v>52</v>
      </c>
      <c r="F207" s="100" t="s">
        <v>24</v>
      </c>
      <c r="G207" s="100" t="s">
        <v>25</v>
      </c>
    </row>
    <row r="208" spans="1:7" s="97" customFormat="1">
      <c r="A208" s="101" t="s">
        <v>26</v>
      </c>
      <c r="B208" s="101">
        <v>7356</v>
      </c>
      <c r="C208" s="102" t="s">
        <v>387</v>
      </c>
      <c r="D208" s="101" t="s">
        <v>91</v>
      </c>
      <c r="E208" s="103" t="s">
        <v>275</v>
      </c>
      <c r="F208" s="104">
        <v>16.18</v>
      </c>
      <c r="G208" s="104">
        <f>ROUND(E208*F208,2)</f>
        <v>5.34</v>
      </c>
    </row>
    <row r="209" spans="1:7" s="97" customFormat="1" ht="24">
      <c r="A209" s="101" t="s">
        <v>27</v>
      </c>
      <c r="B209" s="101" t="s">
        <v>93</v>
      </c>
      <c r="C209" s="102" t="s">
        <v>94</v>
      </c>
      <c r="D209" s="101" t="s">
        <v>31</v>
      </c>
      <c r="E209" s="103" t="s">
        <v>379</v>
      </c>
      <c r="F209" s="104">
        <v>24.3</v>
      </c>
      <c r="G209" s="104">
        <f>ROUND(E209*F209,2)</f>
        <v>4.54</v>
      </c>
    </row>
    <row r="210" spans="1:7" s="97" customFormat="1" ht="24">
      <c r="A210" s="101" t="s">
        <v>27</v>
      </c>
      <c r="B210" s="101" t="s">
        <v>33</v>
      </c>
      <c r="C210" s="102" t="s">
        <v>32</v>
      </c>
      <c r="D210" s="101" t="s">
        <v>31</v>
      </c>
      <c r="E210" s="103" t="s">
        <v>225</v>
      </c>
      <c r="F210" s="104">
        <v>16.010000000000002</v>
      </c>
      <c r="G210" s="104">
        <f>ROUND(E210*F210,2)</f>
        <v>1.1000000000000001</v>
      </c>
    </row>
    <row r="211" spans="1:7" s="97" customFormat="1">
      <c r="A211" s="105"/>
      <c r="B211" s="105"/>
      <c r="C211" s="105"/>
      <c r="D211" s="244" t="s">
        <v>29</v>
      </c>
      <c r="E211" s="245"/>
      <c r="F211" s="246"/>
      <c r="G211" s="119">
        <f>ROUND((SUM(G208:G210)),2)</f>
        <v>10.98</v>
      </c>
    </row>
    <row r="212" spans="1:7" s="97" customFormat="1">
      <c r="A212" s="105"/>
      <c r="B212" s="105"/>
      <c r="C212" s="105"/>
      <c r="D212" s="244" t="str">
        <f>"BDI ( " &amp;TEXT($G$7,"0,00") &amp;" ) %:"</f>
        <v>BDI ( 22,01 ) %:</v>
      </c>
      <c r="E212" s="245"/>
      <c r="F212" s="246"/>
      <c r="G212" s="119">
        <f>ROUND(G211*($G$7/100),2)</f>
        <v>2.42</v>
      </c>
    </row>
    <row r="213" spans="1:7" s="97" customFormat="1">
      <c r="A213" s="105"/>
      <c r="B213" s="105"/>
      <c r="C213" s="105"/>
      <c r="D213" s="244" t="s">
        <v>30</v>
      </c>
      <c r="E213" s="245"/>
      <c r="F213" s="246"/>
      <c r="G213" s="119">
        <f>ROUND(SUM(G211:G212),2)</f>
        <v>13.4</v>
      </c>
    </row>
    <row r="214" spans="1:7" s="97" customFormat="1">
      <c r="A214" s="105"/>
      <c r="B214" s="105"/>
      <c r="C214" s="105"/>
      <c r="D214" s="124"/>
      <c r="E214" s="124"/>
      <c r="F214" s="124"/>
      <c r="G214" s="116"/>
    </row>
    <row r="215" spans="1:7" s="97" customFormat="1" ht="36">
      <c r="A215" s="98" t="s">
        <v>206</v>
      </c>
      <c r="B215" s="98">
        <v>87519</v>
      </c>
      <c r="C215" s="99" t="s">
        <v>521</v>
      </c>
      <c r="D215" s="134" t="s">
        <v>376</v>
      </c>
      <c r="E215" s="100" t="s">
        <v>52</v>
      </c>
      <c r="F215" s="100" t="s">
        <v>24</v>
      </c>
      <c r="G215" s="100" t="s">
        <v>25</v>
      </c>
    </row>
    <row r="216" spans="1:7" s="97" customFormat="1">
      <c r="A216" s="101" t="s">
        <v>26</v>
      </c>
      <c r="B216" s="101" t="s">
        <v>363</v>
      </c>
      <c r="C216" s="102" t="s">
        <v>364</v>
      </c>
      <c r="D216" s="101" t="s">
        <v>288</v>
      </c>
      <c r="E216" s="103" t="s">
        <v>365</v>
      </c>
      <c r="F216" s="104">
        <v>472.5</v>
      </c>
      <c r="G216" s="104">
        <f t="shared" ref="G216:G221" si="8">ROUND(E216*F216,2)</f>
        <v>13.38</v>
      </c>
    </row>
    <row r="217" spans="1:7" s="97" customFormat="1" ht="24">
      <c r="A217" s="101" t="s">
        <v>26</v>
      </c>
      <c r="B217" s="101" t="s">
        <v>366</v>
      </c>
      <c r="C217" s="102" t="s">
        <v>367</v>
      </c>
      <c r="D217" s="101" t="s">
        <v>60</v>
      </c>
      <c r="E217" s="103" t="s">
        <v>368</v>
      </c>
      <c r="F217" s="104">
        <v>1.46</v>
      </c>
      <c r="G217" s="104">
        <f t="shared" si="8"/>
        <v>0.61</v>
      </c>
    </row>
    <row r="218" spans="1:7" s="97" customFormat="1">
      <c r="A218" s="101" t="s">
        <v>26</v>
      </c>
      <c r="B218" s="101" t="s">
        <v>369</v>
      </c>
      <c r="C218" s="102" t="s">
        <v>276</v>
      </c>
      <c r="D218" s="101" t="s">
        <v>277</v>
      </c>
      <c r="E218" s="103" t="s">
        <v>370</v>
      </c>
      <c r="F218" s="104">
        <v>47.25</v>
      </c>
      <c r="G218" s="104">
        <f t="shared" si="8"/>
        <v>0.24</v>
      </c>
    </row>
    <row r="219" spans="1:7" s="97" customFormat="1" ht="36">
      <c r="A219" s="101" t="s">
        <v>27</v>
      </c>
      <c r="B219" s="101" t="s">
        <v>371</v>
      </c>
      <c r="C219" s="102" t="s">
        <v>372</v>
      </c>
      <c r="D219" s="101" t="s">
        <v>28</v>
      </c>
      <c r="E219" s="103" t="s">
        <v>373</v>
      </c>
      <c r="F219" s="104">
        <v>424.88</v>
      </c>
      <c r="G219" s="104">
        <f t="shared" si="8"/>
        <v>4.16</v>
      </c>
    </row>
    <row r="220" spans="1:7" s="97" customFormat="1" ht="24">
      <c r="A220" s="101" t="s">
        <v>27</v>
      </c>
      <c r="B220" s="101" t="s">
        <v>85</v>
      </c>
      <c r="C220" s="102" t="s">
        <v>86</v>
      </c>
      <c r="D220" s="101" t="s">
        <v>31</v>
      </c>
      <c r="E220" s="103" t="s">
        <v>374</v>
      </c>
      <c r="F220" s="104">
        <v>23.2</v>
      </c>
      <c r="G220" s="104">
        <f t="shared" si="8"/>
        <v>35.96</v>
      </c>
    </row>
    <row r="221" spans="1:7" s="97" customFormat="1" ht="24">
      <c r="A221" s="101" t="s">
        <v>27</v>
      </c>
      <c r="B221" s="101" t="s">
        <v>33</v>
      </c>
      <c r="C221" s="102" t="s">
        <v>32</v>
      </c>
      <c r="D221" s="101" t="s">
        <v>31</v>
      </c>
      <c r="E221" s="103" t="s">
        <v>375</v>
      </c>
      <c r="F221" s="104">
        <v>16.010000000000002</v>
      </c>
      <c r="G221" s="104">
        <f t="shared" si="8"/>
        <v>12.41</v>
      </c>
    </row>
    <row r="222" spans="1:7" s="97" customFormat="1">
      <c r="A222" s="105"/>
      <c r="B222" s="105"/>
      <c r="C222" s="105"/>
      <c r="D222" s="244" t="s">
        <v>29</v>
      </c>
      <c r="E222" s="245"/>
      <c r="F222" s="246"/>
      <c r="G222" s="119">
        <f>ROUND((SUM(G216:G221)),2)</f>
        <v>66.760000000000005</v>
      </c>
    </row>
    <row r="223" spans="1:7" s="97" customFormat="1">
      <c r="A223" s="105"/>
      <c r="B223" s="105"/>
      <c r="C223" s="105"/>
      <c r="D223" s="244" t="str">
        <f>"BDI ( " &amp;TEXT($G$7,"0,00") &amp;" ) %:"</f>
        <v>BDI ( 22,01 ) %:</v>
      </c>
      <c r="E223" s="245"/>
      <c r="F223" s="246"/>
      <c r="G223" s="119">
        <f>ROUND(G222*($G$7/100),2)</f>
        <v>14.69</v>
      </c>
    </row>
    <row r="224" spans="1:7" s="97" customFormat="1">
      <c r="A224" s="105"/>
      <c r="B224" s="105"/>
      <c r="C224" s="105"/>
      <c r="D224" s="244" t="s">
        <v>30</v>
      </c>
      <c r="E224" s="245"/>
      <c r="F224" s="246"/>
      <c r="G224" s="119">
        <f>ROUND(SUM(G222:G223),2)</f>
        <v>81.45</v>
      </c>
    </row>
    <row r="225" spans="1:7" s="97" customFormat="1">
      <c r="A225" s="105"/>
      <c r="B225" s="105"/>
      <c r="C225" s="105"/>
      <c r="D225" s="124"/>
      <c r="E225" s="124"/>
      <c r="F225" s="124"/>
      <c r="G225" s="116"/>
    </row>
    <row r="226" spans="1:7" s="97" customFormat="1" ht="36">
      <c r="A226" s="98" t="s">
        <v>207</v>
      </c>
      <c r="B226" s="98" t="s">
        <v>133</v>
      </c>
      <c r="C226" s="99" t="s">
        <v>522</v>
      </c>
      <c r="D226" s="98" t="s">
        <v>69</v>
      </c>
      <c r="E226" s="100" t="s">
        <v>52</v>
      </c>
      <c r="F226" s="100" t="s">
        <v>24</v>
      </c>
      <c r="G226" s="100" t="s">
        <v>25</v>
      </c>
    </row>
    <row r="227" spans="1:7" s="97" customFormat="1">
      <c r="A227" s="101" t="s">
        <v>26</v>
      </c>
      <c r="B227" s="101" t="s">
        <v>98</v>
      </c>
      <c r="C227" s="102" t="s">
        <v>99</v>
      </c>
      <c r="D227" s="101" t="s">
        <v>69</v>
      </c>
      <c r="E227" s="103" t="s">
        <v>100</v>
      </c>
      <c r="F227" s="104">
        <v>12.15</v>
      </c>
      <c r="G227" s="118">
        <f>ROUND(E227*F227,2)</f>
        <v>0.3</v>
      </c>
    </row>
    <row r="228" spans="1:7" s="97" customFormat="1" ht="24">
      <c r="A228" s="101" t="s">
        <v>26</v>
      </c>
      <c r="B228" s="101" t="s">
        <v>101</v>
      </c>
      <c r="C228" s="102" t="s">
        <v>102</v>
      </c>
      <c r="D228" s="101" t="s">
        <v>46</v>
      </c>
      <c r="E228" s="103" t="s">
        <v>134</v>
      </c>
      <c r="F228" s="104">
        <v>0.12</v>
      </c>
      <c r="G228" s="118">
        <f>ROUND(E228*F228,2)</f>
        <v>0.12</v>
      </c>
    </row>
    <row r="229" spans="1:7" s="97" customFormat="1" ht="24">
      <c r="A229" s="101" t="s">
        <v>27</v>
      </c>
      <c r="B229" s="101" t="s">
        <v>104</v>
      </c>
      <c r="C229" s="102" t="s">
        <v>105</v>
      </c>
      <c r="D229" s="101" t="s">
        <v>31</v>
      </c>
      <c r="E229" s="103" t="s">
        <v>135</v>
      </c>
      <c r="F229" s="104">
        <v>17.84</v>
      </c>
      <c r="G229" s="118">
        <f>ROUND(E229*F229,2)</f>
        <v>0.28000000000000003</v>
      </c>
    </row>
    <row r="230" spans="1:7" s="97" customFormat="1" ht="24">
      <c r="A230" s="101" t="s">
        <v>27</v>
      </c>
      <c r="B230" s="101" t="s">
        <v>106</v>
      </c>
      <c r="C230" s="102" t="s">
        <v>107</v>
      </c>
      <c r="D230" s="101" t="s">
        <v>31</v>
      </c>
      <c r="E230" s="103" t="s">
        <v>136</v>
      </c>
      <c r="F230" s="104">
        <v>23.06</v>
      </c>
      <c r="G230" s="118">
        <f>ROUND(E230*F230,2)</f>
        <v>2.1800000000000002</v>
      </c>
    </row>
    <row r="231" spans="1:7" s="97" customFormat="1" ht="24">
      <c r="A231" s="101" t="s">
        <v>27</v>
      </c>
      <c r="B231" s="101">
        <v>92792</v>
      </c>
      <c r="C231" s="102" t="s">
        <v>137</v>
      </c>
      <c r="D231" s="101" t="s">
        <v>69</v>
      </c>
      <c r="E231" s="103" t="s">
        <v>66</v>
      </c>
      <c r="F231" s="104">
        <v>5.96</v>
      </c>
      <c r="G231" s="118">
        <f>ROUND(E231*F231,2)</f>
        <v>5.96</v>
      </c>
    </row>
    <row r="232" spans="1:7" s="97" customFormat="1">
      <c r="A232" s="105"/>
      <c r="B232" s="105"/>
      <c r="C232" s="105"/>
      <c r="D232" s="244" t="s">
        <v>29</v>
      </c>
      <c r="E232" s="245"/>
      <c r="F232" s="246"/>
      <c r="G232" s="119">
        <f>ROUND((SUM(G227:G231)),2)</f>
        <v>8.84</v>
      </c>
    </row>
    <row r="233" spans="1:7" s="97" customFormat="1">
      <c r="A233" s="105"/>
      <c r="B233" s="105"/>
      <c r="C233" s="105"/>
      <c r="D233" s="244" t="str">
        <f>"BDI ( " &amp;TEXT($G$7,"0,00") &amp;" ) %:"</f>
        <v>BDI ( 22,01 ) %:</v>
      </c>
      <c r="E233" s="245"/>
      <c r="F233" s="246"/>
      <c r="G233" s="119">
        <f>ROUND(G232*($G$7/100),2)</f>
        <v>1.95</v>
      </c>
    </row>
    <row r="234" spans="1:7" s="97" customFormat="1">
      <c r="A234" s="105"/>
      <c r="B234" s="105"/>
      <c r="C234" s="105"/>
      <c r="D234" s="244" t="s">
        <v>30</v>
      </c>
      <c r="E234" s="245"/>
      <c r="F234" s="246"/>
      <c r="G234" s="119">
        <f>ROUND(SUM(G232:G233),2)</f>
        <v>10.79</v>
      </c>
    </row>
    <row r="235" spans="1:7" s="97" customFormat="1"/>
    <row r="236" spans="1:7" s="97" customFormat="1" ht="36">
      <c r="A236" s="98" t="s">
        <v>208</v>
      </c>
      <c r="B236" s="98" t="s">
        <v>333</v>
      </c>
      <c r="C236" s="99" t="s">
        <v>523</v>
      </c>
      <c r="D236" s="134" t="s">
        <v>376</v>
      </c>
      <c r="E236" s="100" t="s">
        <v>52</v>
      </c>
      <c r="F236" s="100" t="s">
        <v>24</v>
      </c>
      <c r="G236" s="100" t="s">
        <v>25</v>
      </c>
    </row>
    <row r="237" spans="1:7" s="97" customFormat="1" ht="24">
      <c r="A237" s="101" t="s">
        <v>26</v>
      </c>
      <c r="B237" s="101" t="s">
        <v>334</v>
      </c>
      <c r="C237" s="102" t="s">
        <v>335</v>
      </c>
      <c r="D237" s="101" t="s">
        <v>376</v>
      </c>
      <c r="E237" s="103" t="s">
        <v>66</v>
      </c>
      <c r="F237" s="104">
        <v>28.66</v>
      </c>
      <c r="G237" s="104">
        <f t="shared" ref="G237:G245" si="9">ROUND(E237*F237,2)</f>
        <v>28.66</v>
      </c>
    </row>
    <row r="238" spans="1:7" s="97" customFormat="1" ht="24">
      <c r="A238" s="101" t="s">
        <v>26</v>
      </c>
      <c r="B238" s="101" t="s">
        <v>336</v>
      </c>
      <c r="C238" s="102" t="s">
        <v>337</v>
      </c>
      <c r="D238" s="101" t="s">
        <v>60</v>
      </c>
      <c r="E238" s="103" t="s">
        <v>338</v>
      </c>
      <c r="F238" s="104">
        <v>4.2699999999999996</v>
      </c>
      <c r="G238" s="104">
        <f t="shared" si="9"/>
        <v>4.7</v>
      </c>
    </row>
    <row r="239" spans="1:7" s="97" customFormat="1">
      <c r="A239" s="101" t="s">
        <v>26</v>
      </c>
      <c r="B239" s="101" t="s">
        <v>339</v>
      </c>
      <c r="C239" s="102" t="s">
        <v>68</v>
      </c>
      <c r="D239" s="101" t="s">
        <v>69</v>
      </c>
      <c r="E239" s="103" t="s">
        <v>164</v>
      </c>
      <c r="F239" s="104">
        <v>10.199999999999999</v>
      </c>
      <c r="G239" s="104">
        <f t="shared" si="9"/>
        <v>0.2</v>
      </c>
    </row>
    <row r="240" spans="1:7" s="97" customFormat="1" ht="24">
      <c r="A240" s="101" t="s">
        <v>26</v>
      </c>
      <c r="B240" s="101" t="s">
        <v>340</v>
      </c>
      <c r="C240" s="102" t="s">
        <v>341</v>
      </c>
      <c r="D240" s="101" t="s">
        <v>60</v>
      </c>
      <c r="E240" s="103" t="s">
        <v>342</v>
      </c>
      <c r="F240" s="104">
        <v>12.93</v>
      </c>
      <c r="G240" s="104">
        <f t="shared" si="9"/>
        <v>3.88</v>
      </c>
    </row>
    <row r="241" spans="1:9" s="97" customFormat="1" ht="24">
      <c r="A241" s="101" t="s">
        <v>27</v>
      </c>
      <c r="B241" s="101" t="s">
        <v>71</v>
      </c>
      <c r="C241" s="102" t="s">
        <v>72</v>
      </c>
      <c r="D241" s="101" t="s">
        <v>31</v>
      </c>
      <c r="E241" s="103" t="s">
        <v>286</v>
      </c>
      <c r="F241" s="104">
        <v>23.02</v>
      </c>
      <c r="G241" s="104">
        <f t="shared" si="9"/>
        <v>3.68</v>
      </c>
    </row>
    <row r="242" spans="1:9" s="97" customFormat="1" ht="24">
      <c r="A242" s="101" t="s">
        <v>27</v>
      </c>
      <c r="B242" s="101" t="s">
        <v>85</v>
      </c>
      <c r="C242" s="102" t="s">
        <v>86</v>
      </c>
      <c r="D242" s="101" t="s">
        <v>31</v>
      </c>
      <c r="E242" s="103" t="s">
        <v>342</v>
      </c>
      <c r="F242" s="104">
        <v>23.2</v>
      </c>
      <c r="G242" s="104">
        <f t="shared" si="9"/>
        <v>6.96</v>
      </c>
    </row>
    <row r="243" spans="1:9" s="97" customFormat="1" ht="24">
      <c r="A243" s="101" t="s">
        <v>27</v>
      </c>
      <c r="B243" s="101" t="s">
        <v>33</v>
      </c>
      <c r="C243" s="102" t="s">
        <v>32</v>
      </c>
      <c r="D243" s="101" t="s">
        <v>31</v>
      </c>
      <c r="E243" s="103" t="s">
        <v>343</v>
      </c>
      <c r="F243" s="104">
        <v>16.010000000000002</v>
      </c>
      <c r="G243" s="104">
        <f t="shared" si="9"/>
        <v>12.81</v>
      </c>
    </row>
    <row r="244" spans="1:9" s="97" customFormat="1" ht="24">
      <c r="A244" s="101" t="s">
        <v>27</v>
      </c>
      <c r="B244" s="101" t="s">
        <v>344</v>
      </c>
      <c r="C244" s="102" t="s">
        <v>525</v>
      </c>
      <c r="D244" s="101" t="s">
        <v>380</v>
      </c>
      <c r="E244" s="103" t="s">
        <v>289</v>
      </c>
      <c r="F244" s="104">
        <v>28.42</v>
      </c>
      <c r="G244" s="104">
        <f t="shared" si="9"/>
        <v>0.99</v>
      </c>
    </row>
    <row r="245" spans="1:9" s="97" customFormat="1" ht="24">
      <c r="A245" s="101" t="s">
        <v>27</v>
      </c>
      <c r="B245" s="101" t="s">
        <v>345</v>
      </c>
      <c r="C245" s="102" t="s">
        <v>524</v>
      </c>
      <c r="D245" s="101" t="s">
        <v>380</v>
      </c>
      <c r="E245" s="103" t="s">
        <v>289</v>
      </c>
      <c r="F245" s="104">
        <v>327.56</v>
      </c>
      <c r="G245" s="104">
        <f t="shared" si="9"/>
        <v>11.46</v>
      </c>
    </row>
    <row r="246" spans="1:9" s="97" customFormat="1">
      <c r="A246" s="105"/>
      <c r="B246" s="105"/>
      <c r="C246" s="105"/>
      <c r="D246" s="244" t="s">
        <v>29</v>
      </c>
      <c r="E246" s="245"/>
      <c r="F246" s="246"/>
      <c r="G246" s="119">
        <f>ROUND((SUM(G237:G245)),2)</f>
        <v>73.34</v>
      </c>
    </row>
    <row r="247" spans="1:9" s="97" customFormat="1">
      <c r="A247" s="105"/>
      <c r="B247" s="105"/>
      <c r="C247" s="105"/>
      <c r="D247" s="244" t="str">
        <f>"BDI ( " &amp;TEXT($G$7,"0,00") &amp;" ) %:"</f>
        <v>BDI ( 22,01 ) %:</v>
      </c>
      <c r="E247" s="245"/>
      <c r="F247" s="246"/>
      <c r="G247" s="119">
        <f>ROUND(G246*($G$7/100),2)</f>
        <v>16.14</v>
      </c>
    </row>
    <row r="248" spans="1:9" s="97" customFormat="1">
      <c r="A248" s="105"/>
      <c r="B248" s="105"/>
      <c r="C248" s="105"/>
      <c r="D248" s="244" t="s">
        <v>30</v>
      </c>
      <c r="E248" s="245"/>
      <c r="F248" s="246"/>
      <c r="G248" s="119">
        <f>ROUND(SUM(G246:G247),2)</f>
        <v>89.48</v>
      </c>
    </row>
    <row r="249" spans="1:9" s="97" customFormat="1">
      <c r="A249" s="105"/>
      <c r="B249" s="105"/>
      <c r="C249" s="105"/>
      <c r="D249" s="124"/>
      <c r="E249" s="124"/>
      <c r="F249" s="124"/>
      <c r="G249" s="116"/>
    </row>
    <row r="250" spans="1:9" s="97" customFormat="1" ht="24">
      <c r="A250" s="98" t="s">
        <v>209</v>
      </c>
      <c r="B250" s="134" t="s">
        <v>526</v>
      </c>
      <c r="C250" s="135" t="s">
        <v>527</v>
      </c>
      <c r="D250" s="134" t="s">
        <v>380</v>
      </c>
      <c r="E250" s="100" t="s">
        <v>52</v>
      </c>
      <c r="F250" s="100" t="s">
        <v>24</v>
      </c>
      <c r="G250" s="100" t="s">
        <v>25</v>
      </c>
    </row>
    <row r="251" spans="1:9" s="97" customFormat="1">
      <c r="A251" s="120" t="s">
        <v>26</v>
      </c>
      <c r="B251" s="120">
        <v>366</v>
      </c>
      <c r="C251" s="121" t="s">
        <v>34</v>
      </c>
      <c r="D251" s="101" t="s">
        <v>380</v>
      </c>
      <c r="E251" s="103" t="s">
        <v>66</v>
      </c>
      <c r="F251" s="104">
        <v>67.5</v>
      </c>
      <c r="G251" s="104">
        <f>ROUND(E251*F251,2)</f>
        <v>67.5</v>
      </c>
    </row>
    <row r="252" spans="1:9" s="97" customFormat="1" ht="24">
      <c r="A252" s="120" t="s">
        <v>27</v>
      </c>
      <c r="B252" s="120">
        <v>88260</v>
      </c>
      <c r="C252" s="121" t="s">
        <v>143</v>
      </c>
      <c r="D252" s="120" t="s">
        <v>31</v>
      </c>
      <c r="E252" s="108">
        <v>0.5</v>
      </c>
      <c r="F252" s="104">
        <v>23.77</v>
      </c>
      <c r="G252" s="104">
        <f>ROUND(E252*F252,2)</f>
        <v>11.89</v>
      </c>
    </row>
    <row r="253" spans="1:9" s="97" customFormat="1" ht="24">
      <c r="A253" s="120" t="s">
        <v>27</v>
      </c>
      <c r="B253" s="120" t="s">
        <v>33</v>
      </c>
      <c r="C253" s="121" t="s">
        <v>32</v>
      </c>
      <c r="D253" s="120" t="s">
        <v>31</v>
      </c>
      <c r="E253" s="103" t="s">
        <v>164</v>
      </c>
      <c r="F253" s="104">
        <f>F221</f>
        <v>16.010000000000002</v>
      </c>
      <c r="G253" s="104">
        <f>ROUND(E253*F253,2)</f>
        <v>0.32</v>
      </c>
      <c r="H253" s="97">
        <v>98.36</v>
      </c>
      <c r="I253" s="97" t="s">
        <v>437</v>
      </c>
    </row>
    <row r="254" spans="1:9" s="97" customFormat="1">
      <c r="A254" s="105"/>
      <c r="B254" s="105"/>
      <c r="C254" s="105"/>
      <c r="D254" s="244" t="s">
        <v>29</v>
      </c>
      <c r="E254" s="245"/>
      <c r="F254" s="246"/>
      <c r="G254" s="119">
        <f>ROUND((SUM(G251:G253)),2)</f>
        <v>79.709999999999994</v>
      </c>
    </row>
    <row r="255" spans="1:9" s="97" customFormat="1">
      <c r="A255" s="105"/>
      <c r="B255" s="105"/>
      <c r="C255" s="105"/>
      <c r="D255" s="244" t="str">
        <f>"BDI ( " &amp;TEXT($G$7,"0,00") &amp;" ) %:"</f>
        <v>BDI ( 22,01 ) %:</v>
      </c>
      <c r="E255" s="245"/>
      <c r="F255" s="246"/>
      <c r="G255" s="119">
        <f>ROUND(G254*($G$7/100),2)</f>
        <v>17.54</v>
      </c>
    </row>
    <row r="256" spans="1:9" s="97" customFormat="1">
      <c r="A256" s="105"/>
      <c r="B256" s="105"/>
      <c r="C256" s="105"/>
      <c r="D256" s="244" t="s">
        <v>30</v>
      </c>
      <c r="E256" s="245"/>
      <c r="F256" s="246"/>
      <c r="G256" s="119">
        <f>ROUND(SUM(G254:G255),2)</f>
        <v>97.25</v>
      </c>
    </row>
    <row r="257" spans="1:7" s="97" customFormat="1"/>
    <row r="258" spans="1:7" s="97" customFormat="1" ht="24">
      <c r="A258" s="98" t="s">
        <v>210</v>
      </c>
      <c r="B258" s="98" t="s">
        <v>321</v>
      </c>
      <c r="C258" s="99" t="s">
        <v>457</v>
      </c>
      <c r="D258" s="98" t="s">
        <v>46</v>
      </c>
      <c r="E258" s="100" t="s">
        <v>52</v>
      </c>
      <c r="F258" s="100" t="s">
        <v>24</v>
      </c>
      <c r="G258" s="100" t="s">
        <v>25</v>
      </c>
    </row>
    <row r="259" spans="1:7" s="97" customFormat="1" ht="24">
      <c r="A259" s="101" t="s">
        <v>27</v>
      </c>
      <c r="B259" s="143" t="s">
        <v>458</v>
      </c>
      <c r="C259" s="145" t="s">
        <v>568</v>
      </c>
      <c r="D259" s="101" t="s">
        <v>46</v>
      </c>
      <c r="E259" s="108">
        <v>1</v>
      </c>
      <c r="F259" s="111">
        <v>3251.78</v>
      </c>
      <c r="G259" s="118">
        <f t="shared" ref="G259:G261" si="10">ROUND(E259*F259,2)</f>
        <v>3251.78</v>
      </c>
    </row>
    <row r="260" spans="1:7" s="97" customFormat="1" ht="24">
      <c r="A260" s="101" t="s">
        <v>27</v>
      </c>
      <c r="B260" s="143" t="s">
        <v>459</v>
      </c>
      <c r="C260" s="145" t="s">
        <v>569</v>
      </c>
      <c r="D260" s="101" t="s">
        <v>46</v>
      </c>
      <c r="E260" s="108">
        <v>1</v>
      </c>
      <c r="F260" s="111">
        <v>3015.46</v>
      </c>
      <c r="G260" s="118">
        <f t="shared" si="10"/>
        <v>3015.46</v>
      </c>
    </row>
    <row r="261" spans="1:7" s="97" customFormat="1" ht="24">
      <c r="A261" s="101" t="s">
        <v>27</v>
      </c>
      <c r="B261" s="113" t="s">
        <v>460</v>
      </c>
      <c r="C261" s="145" t="s">
        <v>570</v>
      </c>
      <c r="D261" s="101" t="s">
        <v>46</v>
      </c>
      <c r="E261" s="108">
        <v>1</v>
      </c>
      <c r="F261" s="111">
        <v>2525.46</v>
      </c>
      <c r="G261" s="118">
        <f t="shared" si="10"/>
        <v>2525.46</v>
      </c>
    </row>
    <row r="262" spans="1:7" s="97" customFormat="1">
      <c r="A262" s="105"/>
      <c r="B262" s="105"/>
      <c r="C262" s="105"/>
      <c r="D262" s="244" t="s">
        <v>29</v>
      </c>
      <c r="E262" s="245"/>
      <c r="F262" s="246"/>
      <c r="G262" s="119">
        <f>ROUND((SUM(G259:G261)),2)</f>
        <v>8792.7000000000007</v>
      </c>
    </row>
    <row r="263" spans="1:7" s="97" customFormat="1">
      <c r="A263" s="105"/>
      <c r="B263" s="105"/>
      <c r="C263" s="105"/>
      <c r="D263" s="244" t="str">
        <f>"BDI ( " &amp;TEXT($G$7,"0,00") &amp;" ) %:"</f>
        <v>BDI ( 22,01 ) %:</v>
      </c>
      <c r="E263" s="245"/>
      <c r="F263" s="246"/>
      <c r="G263" s="119">
        <f>ROUND(G262*($G$7/100),2)</f>
        <v>1935.27</v>
      </c>
    </row>
    <row r="264" spans="1:7" s="97" customFormat="1">
      <c r="A264" s="105"/>
      <c r="B264" s="105"/>
      <c r="C264" s="105"/>
      <c r="D264" s="244" t="s">
        <v>30</v>
      </c>
      <c r="E264" s="245"/>
      <c r="F264" s="246"/>
      <c r="G264" s="119">
        <f>ROUND(SUM(G262:G263),2)</f>
        <v>10727.97</v>
      </c>
    </row>
    <row r="265" spans="1:7" s="97" customFormat="1">
      <c r="A265" s="105"/>
      <c r="B265" s="105"/>
      <c r="C265" s="105"/>
      <c r="D265" s="124"/>
      <c r="E265" s="124"/>
      <c r="F265" s="124"/>
      <c r="G265" s="116"/>
    </row>
    <row r="266" spans="1:7" s="97" customFormat="1" ht="24">
      <c r="A266" s="98" t="s">
        <v>211</v>
      </c>
      <c r="B266" s="98" t="s">
        <v>321</v>
      </c>
      <c r="C266" s="99" t="s">
        <v>439</v>
      </c>
      <c r="D266" s="98" t="s">
        <v>46</v>
      </c>
      <c r="E266" s="100" t="s">
        <v>52</v>
      </c>
      <c r="F266" s="100" t="s">
        <v>24</v>
      </c>
      <c r="G266" s="100" t="s">
        <v>25</v>
      </c>
    </row>
    <row r="267" spans="1:7" s="97" customFormat="1" ht="24">
      <c r="A267" s="101" t="s">
        <v>27</v>
      </c>
      <c r="B267" s="144" t="s">
        <v>440</v>
      </c>
      <c r="C267" s="146" t="s">
        <v>571</v>
      </c>
      <c r="D267" s="101" t="s">
        <v>46</v>
      </c>
      <c r="E267" s="108">
        <v>1</v>
      </c>
      <c r="F267" s="111">
        <v>3938.05</v>
      </c>
      <c r="G267" s="118">
        <f t="shared" ref="G267:G271" si="11">ROUND(E267*F267,2)</f>
        <v>3938.05</v>
      </c>
    </row>
    <row r="268" spans="1:7" s="97" customFormat="1" ht="24">
      <c r="A268" s="101" t="s">
        <v>27</v>
      </c>
      <c r="B268" s="144" t="s">
        <v>441</v>
      </c>
      <c r="C268" s="146" t="s">
        <v>572</v>
      </c>
      <c r="D268" s="101" t="s">
        <v>46</v>
      </c>
      <c r="E268" s="108">
        <v>1</v>
      </c>
      <c r="F268" s="111">
        <v>1645.46</v>
      </c>
      <c r="G268" s="118">
        <f t="shared" si="11"/>
        <v>1645.46</v>
      </c>
    </row>
    <row r="269" spans="1:7" s="97" customFormat="1" ht="27.75" customHeight="1">
      <c r="A269" s="101" t="s">
        <v>27</v>
      </c>
      <c r="B269" s="144" t="s">
        <v>442</v>
      </c>
      <c r="C269" s="145" t="s">
        <v>573</v>
      </c>
      <c r="D269" s="101" t="s">
        <v>46</v>
      </c>
      <c r="E269" s="108">
        <v>1</v>
      </c>
      <c r="F269" s="111">
        <v>1165.46</v>
      </c>
      <c r="G269" s="118">
        <f t="shared" si="11"/>
        <v>1165.46</v>
      </c>
    </row>
    <row r="270" spans="1:7" s="97" customFormat="1" ht="24">
      <c r="A270" s="101" t="s">
        <v>27</v>
      </c>
      <c r="B270" s="105" t="s">
        <v>443</v>
      </c>
      <c r="C270" s="146" t="s">
        <v>574</v>
      </c>
      <c r="D270" s="101" t="s">
        <v>46</v>
      </c>
      <c r="E270" s="108">
        <v>1</v>
      </c>
      <c r="F270" s="111">
        <v>2334.0500000000002</v>
      </c>
      <c r="G270" s="118"/>
    </row>
    <row r="271" spans="1:7" s="97" customFormat="1" ht="24">
      <c r="A271" s="101" t="s">
        <v>27</v>
      </c>
      <c r="B271" s="144" t="s">
        <v>444</v>
      </c>
      <c r="C271" s="146" t="s">
        <v>575</v>
      </c>
      <c r="D271" s="101" t="s">
        <v>46</v>
      </c>
      <c r="E271" s="108">
        <v>1</v>
      </c>
      <c r="F271" s="111">
        <v>1930.05</v>
      </c>
      <c r="G271" s="118">
        <f t="shared" si="11"/>
        <v>1930.05</v>
      </c>
    </row>
    <row r="272" spans="1:7" s="97" customFormat="1">
      <c r="A272" s="105"/>
      <c r="B272" s="105"/>
      <c r="C272" s="105"/>
      <c r="D272" s="244" t="s">
        <v>29</v>
      </c>
      <c r="E272" s="245"/>
      <c r="F272" s="246"/>
      <c r="G272" s="119">
        <f>ROUND((SUM(G267:G271)),2)</f>
        <v>8679.02</v>
      </c>
    </row>
    <row r="273" spans="1:7" s="97" customFormat="1">
      <c r="A273" s="105"/>
      <c r="B273" s="105"/>
      <c r="C273" s="105"/>
      <c r="D273" s="244" t="str">
        <f>"BDI ( " &amp;TEXT($G$7,"0,00") &amp;" ) %:"</f>
        <v>BDI ( 22,01 ) %:</v>
      </c>
      <c r="E273" s="245"/>
      <c r="F273" s="246"/>
      <c r="G273" s="119">
        <f>ROUND(G272*($G$7/100),2)</f>
        <v>1910.25</v>
      </c>
    </row>
    <row r="274" spans="1:7" s="97" customFormat="1">
      <c r="A274" s="105"/>
      <c r="B274" s="105"/>
      <c r="C274" s="105"/>
      <c r="D274" s="244" t="s">
        <v>30</v>
      </c>
      <c r="E274" s="245"/>
      <c r="F274" s="246"/>
      <c r="G274" s="119">
        <f>ROUND(SUM(G272:G273),2)</f>
        <v>10589.27</v>
      </c>
    </row>
    <row r="275" spans="1:7" s="97" customFormat="1">
      <c r="A275" s="105"/>
      <c r="B275" s="105"/>
      <c r="C275" s="105"/>
      <c r="D275" s="124"/>
      <c r="E275" s="124"/>
      <c r="F275" s="124"/>
      <c r="G275" s="116"/>
    </row>
    <row r="276" spans="1:7" s="97" customFormat="1" ht="24">
      <c r="A276" s="98" t="s">
        <v>212</v>
      </c>
      <c r="B276" s="98">
        <v>95729</v>
      </c>
      <c r="C276" s="99" t="s">
        <v>533</v>
      </c>
      <c r="D276" s="98" t="s">
        <v>60</v>
      </c>
      <c r="E276" s="100" t="s">
        <v>52</v>
      </c>
      <c r="F276" s="100" t="s">
        <v>24</v>
      </c>
      <c r="G276" s="100" t="s">
        <v>25</v>
      </c>
    </row>
    <row r="277" spans="1:7" s="97" customFormat="1">
      <c r="A277" s="120" t="s">
        <v>26</v>
      </c>
      <c r="B277" s="120">
        <v>2676</v>
      </c>
      <c r="C277" s="121" t="s">
        <v>534</v>
      </c>
      <c r="D277" s="120" t="s">
        <v>60</v>
      </c>
      <c r="E277" s="122" t="s">
        <v>163</v>
      </c>
      <c r="F277" s="123">
        <v>1.1200000000000001</v>
      </c>
      <c r="G277" s="118">
        <f t="shared" ref="G277:G280" si="12">ROUND(E277*F277,2)</f>
        <v>1.17</v>
      </c>
    </row>
    <row r="278" spans="1:7" s="97" customFormat="1" ht="24">
      <c r="A278" s="120" t="s">
        <v>27</v>
      </c>
      <c r="B278" s="120">
        <v>88247</v>
      </c>
      <c r="C278" s="121" t="s">
        <v>159</v>
      </c>
      <c r="D278" s="120" t="s">
        <v>31</v>
      </c>
      <c r="E278" s="122" t="s">
        <v>535</v>
      </c>
      <c r="F278" s="104">
        <v>18.239999999999998</v>
      </c>
      <c r="G278" s="118">
        <f t="shared" si="12"/>
        <v>1.33</v>
      </c>
    </row>
    <row r="279" spans="1:7" s="97" customFormat="1" ht="24">
      <c r="A279" s="120" t="s">
        <v>27</v>
      </c>
      <c r="B279" s="120">
        <v>88264</v>
      </c>
      <c r="C279" s="121" t="s">
        <v>156</v>
      </c>
      <c r="D279" s="120" t="s">
        <v>31</v>
      </c>
      <c r="E279" s="122" t="s">
        <v>535</v>
      </c>
      <c r="F279" s="104">
        <v>23.46</v>
      </c>
      <c r="G279" s="118">
        <f t="shared" si="12"/>
        <v>1.71</v>
      </c>
    </row>
    <row r="280" spans="1:7" s="97" customFormat="1" ht="24">
      <c r="A280" s="120" t="s">
        <v>27</v>
      </c>
      <c r="B280" s="120">
        <v>91173</v>
      </c>
      <c r="C280" s="121" t="s">
        <v>536</v>
      </c>
      <c r="D280" s="120" t="s">
        <v>60</v>
      </c>
      <c r="E280" s="122" t="s">
        <v>73</v>
      </c>
      <c r="F280" s="104">
        <v>1.24</v>
      </c>
      <c r="G280" s="118">
        <f t="shared" si="12"/>
        <v>2.48</v>
      </c>
    </row>
    <row r="281" spans="1:7" s="97" customFormat="1">
      <c r="A281" s="105"/>
      <c r="B281" s="105"/>
      <c r="C281" s="105"/>
      <c r="D281" s="244" t="s">
        <v>29</v>
      </c>
      <c r="E281" s="245"/>
      <c r="F281" s="246"/>
      <c r="G281" s="119">
        <f>ROUND((SUM(G277:G280)),2)</f>
        <v>6.69</v>
      </c>
    </row>
    <row r="282" spans="1:7" s="97" customFormat="1">
      <c r="A282" s="105"/>
      <c r="B282" s="105"/>
      <c r="C282" s="105"/>
      <c r="D282" s="244" t="str">
        <f>"BDI ( " &amp;TEXT($G$7,"0,00") &amp;" ) %:"</f>
        <v>BDI ( 22,01 ) %:</v>
      </c>
      <c r="E282" s="245"/>
      <c r="F282" s="246"/>
      <c r="G282" s="119">
        <f>ROUND(G281*($G$7/100),2)</f>
        <v>1.47</v>
      </c>
    </row>
    <row r="283" spans="1:7" s="97" customFormat="1">
      <c r="A283" s="105"/>
      <c r="B283" s="105"/>
      <c r="C283" s="105"/>
      <c r="D283" s="244" t="s">
        <v>30</v>
      </c>
      <c r="E283" s="245"/>
      <c r="F283" s="246"/>
      <c r="G283" s="119">
        <f>ROUND(SUM(G281:G282),2)</f>
        <v>8.16</v>
      </c>
    </row>
    <row r="284" spans="1:7" s="97" customFormat="1">
      <c r="A284" s="105"/>
      <c r="B284" s="105"/>
      <c r="C284" s="105"/>
      <c r="D284" s="124"/>
      <c r="E284" s="124"/>
      <c r="F284" s="124"/>
      <c r="G284" s="116"/>
    </row>
    <row r="285" spans="1:7" s="97" customFormat="1" ht="24">
      <c r="A285" s="98" t="s">
        <v>227</v>
      </c>
      <c r="B285" s="98">
        <v>91928</v>
      </c>
      <c r="C285" s="99" t="s">
        <v>476</v>
      </c>
      <c r="D285" s="98" t="s">
        <v>46</v>
      </c>
      <c r="E285" s="100" t="s">
        <v>52</v>
      </c>
      <c r="F285" s="100" t="s">
        <v>24</v>
      </c>
      <c r="G285" s="100" t="s">
        <v>25</v>
      </c>
    </row>
    <row r="286" spans="1:7" s="97" customFormat="1" ht="24">
      <c r="A286" s="120" t="s">
        <v>26</v>
      </c>
      <c r="B286" s="120">
        <v>981</v>
      </c>
      <c r="C286" s="102" t="s">
        <v>537</v>
      </c>
      <c r="D286" s="101" t="s">
        <v>60</v>
      </c>
      <c r="E286" s="108">
        <v>1.19</v>
      </c>
      <c r="F286" s="104">
        <v>2.14</v>
      </c>
      <c r="G286" s="118">
        <f>ROUND(E286*F286,2)</f>
        <v>2.5499999999999998</v>
      </c>
    </row>
    <row r="287" spans="1:7" s="97" customFormat="1">
      <c r="A287" s="120" t="s">
        <v>26</v>
      </c>
      <c r="B287" s="120">
        <v>21127</v>
      </c>
      <c r="C287" s="121" t="s">
        <v>160</v>
      </c>
      <c r="D287" s="120" t="s">
        <v>46</v>
      </c>
      <c r="E287" s="122" t="s">
        <v>161</v>
      </c>
      <c r="F287" s="104">
        <v>2.83</v>
      </c>
      <c r="G287" s="118">
        <f>ROUND(E287*F287,2)</f>
        <v>0.03</v>
      </c>
    </row>
    <row r="288" spans="1:7" s="97" customFormat="1" ht="24">
      <c r="A288" s="120" t="s">
        <v>27</v>
      </c>
      <c r="B288" s="120" t="s">
        <v>158</v>
      </c>
      <c r="C288" s="121" t="s">
        <v>159</v>
      </c>
      <c r="D288" s="120" t="s">
        <v>31</v>
      </c>
      <c r="E288" s="122" t="s">
        <v>162</v>
      </c>
      <c r="F288" s="104">
        <v>18.239999999999998</v>
      </c>
      <c r="G288" s="118">
        <f>ROUND(E288*F288,2)</f>
        <v>0.73</v>
      </c>
    </row>
    <row r="289" spans="1:8" s="97" customFormat="1" ht="24">
      <c r="A289" s="120" t="s">
        <v>27</v>
      </c>
      <c r="B289" s="120" t="s">
        <v>155</v>
      </c>
      <c r="C289" s="121" t="s">
        <v>156</v>
      </c>
      <c r="D289" s="120" t="s">
        <v>31</v>
      </c>
      <c r="E289" s="122" t="s">
        <v>162</v>
      </c>
      <c r="F289" s="104">
        <v>23.46</v>
      </c>
      <c r="G289" s="118">
        <f>ROUND(E289*F289,2)</f>
        <v>0.94</v>
      </c>
    </row>
    <row r="290" spans="1:8" s="97" customFormat="1">
      <c r="A290" s="105"/>
      <c r="B290" s="105"/>
      <c r="C290" s="105"/>
      <c r="D290" s="244" t="s">
        <v>29</v>
      </c>
      <c r="E290" s="245"/>
      <c r="F290" s="246"/>
      <c r="G290" s="119">
        <f>ROUND((SUM(G286:G289)),2)</f>
        <v>4.25</v>
      </c>
    </row>
    <row r="291" spans="1:8" s="97" customFormat="1">
      <c r="A291" s="105"/>
      <c r="B291" s="105"/>
      <c r="C291" s="105"/>
      <c r="D291" s="244" t="str">
        <f>"BDI ( " &amp;TEXT($G$7,"0,00") &amp;" ) %:"</f>
        <v>BDI ( 22,01 ) %:</v>
      </c>
      <c r="E291" s="245"/>
      <c r="F291" s="246"/>
      <c r="G291" s="119">
        <f>ROUND(G290*($G$7/100),2)</f>
        <v>0.94</v>
      </c>
    </row>
    <row r="292" spans="1:8" s="97" customFormat="1">
      <c r="A292" s="105"/>
      <c r="B292" s="105"/>
      <c r="C292" s="105"/>
      <c r="D292" s="244" t="s">
        <v>30</v>
      </c>
      <c r="E292" s="245"/>
      <c r="F292" s="246"/>
      <c r="G292" s="119">
        <f>ROUND(SUM(G290:G291),2)</f>
        <v>5.19</v>
      </c>
    </row>
    <row r="293" spans="1:8" s="97" customFormat="1">
      <c r="A293" s="105"/>
      <c r="B293" s="105"/>
      <c r="C293" s="105"/>
    </row>
    <row r="294" spans="1:8" s="97" customFormat="1" ht="36">
      <c r="A294" s="98" t="s">
        <v>295</v>
      </c>
      <c r="B294" s="98" t="s">
        <v>321</v>
      </c>
      <c r="C294" s="99" t="s">
        <v>538</v>
      </c>
      <c r="D294" s="98" t="s">
        <v>46</v>
      </c>
      <c r="E294" s="100" t="s">
        <v>52</v>
      </c>
      <c r="F294" s="100" t="s">
        <v>24</v>
      </c>
      <c r="G294" s="100" t="s">
        <v>25</v>
      </c>
    </row>
    <row r="295" spans="1:8" s="97" customFormat="1">
      <c r="A295" s="120" t="s">
        <v>26</v>
      </c>
      <c r="B295" s="120">
        <v>2512</v>
      </c>
      <c r="C295" s="121" t="s">
        <v>541</v>
      </c>
      <c r="D295" s="120" t="s">
        <v>46</v>
      </c>
      <c r="E295" s="138">
        <v>1</v>
      </c>
      <c r="F295" s="104">
        <v>13.45</v>
      </c>
      <c r="G295" s="118">
        <f>ROUND(E295*F295,2)</f>
        <v>13.45</v>
      </c>
    </row>
    <row r="296" spans="1:8" s="97" customFormat="1">
      <c r="A296" s="120" t="s">
        <v>26</v>
      </c>
      <c r="B296" s="120">
        <v>3751</v>
      </c>
      <c r="C296" s="102" t="s">
        <v>539</v>
      </c>
      <c r="D296" s="120" t="s">
        <v>46</v>
      </c>
      <c r="E296" s="108">
        <v>1</v>
      </c>
      <c r="F296" s="104">
        <v>38.89</v>
      </c>
      <c r="G296" s="118">
        <f>ROUND(E296*F296,2)</f>
        <v>38.89</v>
      </c>
      <c r="H296" s="97" t="s">
        <v>540</v>
      </c>
    </row>
    <row r="297" spans="1:8" s="97" customFormat="1">
      <c r="A297" s="120" t="s">
        <v>26</v>
      </c>
      <c r="B297" s="120">
        <v>3798</v>
      </c>
      <c r="C297" s="121" t="s">
        <v>542</v>
      </c>
      <c r="D297" s="120" t="s">
        <v>46</v>
      </c>
      <c r="E297" s="122" t="s">
        <v>66</v>
      </c>
      <c r="F297" s="104">
        <v>28.83</v>
      </c>
      <c r="G297" s="118">
        <f>ROUND(E297*F297,2)</f>
        <v>28.83</v>
      </c>
    </row>
    <row r="298" spans="1:8" s="97" customFormat="1" ht="24">
      <c r="A298" s="120" t="str">
        <f>A286</f>
        <v>INSUMO</v>
      </c>
      <c r="B298" s="120">
        <f>B286</f>
        <v>981</v>
      </c>
      <c r="C298" s="121" t="str">
        <f>C286</f>
        <v>CABO DE COBRE FLEXÍVEL ISOLADO, 4 MM², ANTI-CHAMA 450/750 V, PARA CIRCUITOS TERMINAIS</v>
      </c>
      <c r="D298" s="120" t="str">
        <f>D286</f>
        <v>M</v>
      </c>
      <c r="E298" s="286">
        <v>24.46</v>
      </c>
      <c r="F298" s="104">
        <f>F286</f>
        <v>2.14</v>
      </c>
      <c r="G298" s="118">
        <f t="shared" ref="G298:G300" si="13">ROUND(E298*F298,2)</f>
        <v>52.34</v>
      </c>
    </row>
    <row r="299" spans="1:8" s="97" customFormat="1">
      <c r="A299" s="120" t="s">
        <v>27</v>
      </c>
      <c r="B299" s="120" t="s">
        <v>155</v>
      </c>
      <c r="C299" s="121" t="s">
        <v>156</v>
      </c>
      <c r="D299" s="120" t="s">
        <v>31</v>
      </c>
      <c r="E299" s="287">
        <v>2</v>
      </c>
      <c r="F299" s="104">
        <f>F289</f>
        <v>23.46</v>
      </c>
      <c r="G299" s="118">
        <f t="shared" si="13"/>
        <v>46.92</v>
      </c>
    </row>
    <row r="300" spans="1:8" s="97" customFormat="1">
      <c r="A300" s="120" t="s">
        <v>27</v>
      </c>
      <c r="B300" s="120" t="s">
        <v>33</v>
      </c>
      <c r="C300" s="121" t="s">
        <v>32</v>
      </c>
      <c r="D300" s="120" t="s">
        <v>31</v>
      </c>
      <c r="E300" s="287">
        <f>E299</f>
        <v>2</v>
      </c>
      <c r="F300" s="104">
        <f>F253</f>
        <v>16.010000000000002</v>
      </c>
      <c r="G300" s="118">
        <f t="shared" si="13"/>
        <v>32.020000000000003</v>
      </c>
    </row>
    <row r="301" spans="1:8" s="97" customFormat="1">
      <c r="A301" s="105"/>
      <c r="B301" s="105"/>
      <c r="C301" s="105"/>
      <c r="D301" s="244" t="s">
        <v>29</v>
      </c>
      <c r="E301" s="245"/>
      <c r="F301" s="246"/>
      <c r="G301" s="119">
        <f>ROUND((SUM(G295:G300)),2)</f>
        <v>212.45</v>
      </c>
    </row>
    <row r="302" spans="1:8" s="97" customFormat="1">
      <c r="A302" s="105"/>
      <c r="B302" s="105"/>
      <c r="C302" s="105"/>
      <c r="D302" s="244" t="str">
        <f>"BDI ( " &amp;TEXT($G$7,"0,00") &amp;" ) %:"</f>
        <v>BDI ( 22,01 ) %:</v>
      </c>
      <c r="E302" s="245"/>
      <c r="F302" s="246"/>
      <c r="G302" s="119">
        <f>ROUND(G301*($G$7/100),2)</f>
        <v>46.76</v>
      </c>
    </row>
    <row r="303" spans="1:8" s="97" customFormat="1">
      <c r="A303" s="105"/>
      <c r="B303" s="105"/>
      <c r="C303" s="105"/>
      <c r="D303" s="244" t="s">
        <v>30</v>
      </c>
      <c r="E303" s="245"/>
      <c r="F303" s="246"/>
      <c r="G303" s="119">
        <f>ROUND(SUM(G301:G302),2)</f>
        <v>259.20999999999998</v>
      </c>
    </row>
    <row r="304" spans="1:8" s="97" customFormat="1"/>
    <row r="305" spans="1:9" s="97" customFormat="1" ht="28.5" customHeight="1">
      <c r="A305" s="98" t="s">
        <v>213</v>
      </c>
      <c r="B305" s="98" t="s">
        <v>321</v>
      </c>
      <c r="C305" s="99" t="s">
        <v>610</v>
      </c>
      <c r="D305" s="98" t="s">
        <v>46</v>
      </c>
      <c r="E305" s="100" t="s">
        <v>52</v>
      </c>
      <c r="F305" s="100" t="s">
        <v>24</v>
      </c>
      <c r="G305" s="100" t="s">
        <v>25</v>
      </c>
    </row>
    <row r="306" spans="1:9" s="97" customFormat="1" ht="24">
      <c r="A306" s="101" t="s">
        <v>27</v>
      </c>
      <c r="B306" s="101" t="s">
        <v>406</v>
      </c>
      <c r="C306" s="102" t="s">
        <v>407</v>
      </c>
      <c r="D306" s="101" t="s">
        <v>31</v>
      </c>
      <c r="E306" s="108">
        <v>1</v>
      </c>
      <c r="F306" s="104">
        <v>95.22</v>
      </c>
      <c r="G306" s="118">
        <f t="shared" ref="G306:G311" si="14">ROUND(E306*F306,2)</f>
        <v>95.22</v>
      </c>
    </row>
    <row r="307" spans="1:9" s="97" customFormat="1" ht="12.6" customHeight="1">
      <c r="A307" s="101" t="s">
        <v>27</v>
      </c>
      <c r="B307" s="101">
        <v>88309</v>
      </c>
      <c r="C307" s="102" t="s">
        <v>86</v>
      </c>
      <c r="D307" s="101" t="s">
        <v>31</v>
      </c>
      <c r="E307" s="108">
        <v>2</v>
      </c>
      <c r="F307" s="104">
        <v>23.2</v>
      </c>
      <c r="G307" s="118">
        <f t="shared" si="14"/>
        <v>46.4</v>
      </c>
    </row>
    <row r="308" spans="1:9" s="97" customFormat="1" ht="12.6" customHeight="1">
      <c r="A308" s="101" t="s">
        <v>27</v>
      </c>
      <c r="B308" s="101" t="s">
        <v>33</v>
      </c>
      <c r="C308" s="102" t="s">
        <v>32</v>
      </c>
      <c r="D308" s="101" t="s">
        <v>31</v>
      </c>
      <c r="E308" s="108">
        <v>2</v>
      </c>
      <c r="F308" s="104">
        <v>16.010000000000002</v>
      </c>
      <c r="G308" s="118">
        <f t="shared" si="14"/>
        <v>32.020000000000003</v>
      </c>
    </row>
    <row r="309" spans="1:9" s="97" customFormat="1" ht="12.6" customHeight="1">
      <c r="A309" s="101" t="s">
        <v>27</v>
      </c>
      <c r="B309" s="101">
        <v>5033</v>
      </c>
      <c r="C309" s="102" t="s">
        <v>610</v>
      </c>
      <c r="D309" s="101" t="s">
        <v>46</v>
      </c>
      <c r="E309" s="108">
        <v>1</v>
      </c>
      <c r="F309" s="104">
        <v>588.46</v>
      </c>
      <c r="G309" s="118">
        <f t="shared" si="14"/>
        <v>588.46</v>
      </c>
    </row>
    <row r="310" spans="1:9" s="97" customFormat="1" ht="12.6" customHeight="1">
      <c r="A310" s="101" t="s">
        <v>27</v>
      </c>
      <c r="B310" s="101" t="str">
        <f>B318</f>
        <v>CPU-16</v>
      </c>
      <c r="C310" s="102" t="s">
        <v>547</v>
      </c>
      <c r="D310" s="101" t="s">
        <v>380</v>
      </c>
      <c r="E310" s="108">
        <v>0.23</v>
      </c>
      <c r="F310" s="104">
        <f>G170</f>
        <v>339.28</v>
      </c>
      <c r="G310" s="118">
        <f t="shared" si="14"/>
        <v>78.03</v>
      </c>
    </row>
    <row r="311" spans="1:9" s="97" customFormat="1" ht="12.6" customHeight="1">
      <c r="A311" s="101" t="s">
        <v>27</v>
      </c>
      <c r="B311" s="101" t="str">
        <f>A114</f>
        <v>CPU-11</v>
      </c>
      <c r="C311" s="102" t="s">
        <v>408</v>
      </c>
      <c r="D311" s="101" t="s">
        <v>380</v>
      </c>
      <c r="E311" s="108">
        <v>0.23</v>
      </c>
      <c r="F311" s="104">
        <f>G116</f>
        <v>63.34</v>
      </c>
      <c r="G311" s="118">
        <f t="shared" si="14"/>
        <v>14.57</v>
      </c>
    </row>
    <row r="312" spans="1:9" s="97" customFormat="1" ht="12.6" customHeight="1">
      <c r="A312" s="105"/>
      <c r="B312" s="105"/>
      <c r="C312" s="105"/>
      <c r="D312" s="244" t="s">
        <v>29</v>
      </c>
      <c r="E312" s="245"/>
      <c r="F312" s="246"/>
      <c r="G312" s="119">
        <f>ROUND((SUM(G306:G311)),2)</f>
        <v>854.7</v>
      </c>
    </row>
    <row r="313" spans="1:9" s="97" customFormat="1" ht="12.6" customHeight="1">
      <c r="A313" s="105"/>
      <c r="B313" s="105"/>
      <c r="C313" s="105"/>
      <c r="D313" s="244" t="str">
        <f>"BDI ( " &amp;TEXT($G$7,"0,00") &amp;" ) %:"</f>
        <v>BDI ( 22,01 ) %:</v>
      </c>
      <c r="E313" s="245"/>
      <c r="F313" s="246"/>
      <c r="G313" s="119">
        <f>ROUND(G312*($G$7/100),2)</f>
        <v>188.12</v>
      </c>
    </row>
    <row r="314" spans="1:9" s="97" customFormat="1" ht="12.6" customHeight="1">
      <c r="A314" s="105"/>
      <c r="B314" s="105"/>
      <c r="C314" s="105"/>
      <c r="D314" s="244" t="s">
        <v>30</v>
      </c>
      <c r="E314" s="245"/>
      <c r="F314" s="246"/>
      <c r="G314" s="119">
        <f>ROUND(SUM(G312:G313),2)</f>
        <v>1042.82</v>
      </c>
    </row>
    <row r="315" spans="1:9" s="97" customFormat="1" ht="12.6" customHeight="1">
      <c r="A315" s="105"/>
      <c r="B315" s="105"/>
      <c r="C315" s="105"/>
      <c r="D315" s="124"/>
      <c r="E315" s="124"/>
      <c r="F315" s="124"/>
      <c r="G315" s="116"/>
    </row>
    <row r="316" spans="1:9" s="97" customFormat="1" ht="26.25" customHeight="1">
      <c r="A316" s="98" t="s">
        <v>214</v>
      </c>
      <c r="B316" s="98" t="s">
        <v>321</v>
      </c>
      <c r="C316" s="99" t="s">
        <v>546</v>
      </c>
      <c r="D316" s="98" t="s">
        <v>46</v>
      </c>
      <c r="E316" s="100" t="s">
        <v>52</v>
      </c>
      <c r="F316" s="100" t="s">
        <v>24</v>
      </c>
      <c r="G316" s="100" t="s">
        <v>25</v>
      </c>
    </row>
    <row r="317" spans="1:9" s="97" customFormat="1" ht="12.6" customHeight="1">
      <c r="A317" s="101" t="s">
        <v>27</v>
      </c>
      <c r="B317" s="101" t="str">
        <f>A150</f>
        <v>CPU-15</v>
      </c>
      <c r="C317" s="102" t="s">
        <v>381</v>
      </c>
      <c r="D317" s="101" t="s">
        <v>376</v>
      </c>
      <c r="E317" s="108">
        <v>0.36</v>
      </c>
      <c r="F317" s="104">
        <f>G158</f>
        <v>68.94</v>
      </c>
      <c r="G317" s="104">
        <f t="shared" ref="G317:G323" si="15">ROUND(E317*F317,2)</f>
        <v>24.82</v>
      </c>
      <c r="I317" s="97">
        <f>0.6*0.6</f>
        <v>0.36</v>
      </c>
    </row>
    <row r="318" spans="1:9" s="97" customFormat="1" ht="12.6" customHeight="1">
      <c r="A318" s="101" t="s">
        <v>27</v>
      </c>
      <c r="B318" s="101" t="str">
        <f>A162</f>
        <v>CPU-16</v>
      </c>
      <c r="C318" s="102" t="s">
        <v>547</v>
      </c>
      <c r="D318" s="101" t="s">
        <v>380</v>
      </c>
      <c r="E318" s="108">
        <f>0.072</f>
        <v>7.1999999999999995E-2</v>
      </c>
      <c r="F318" s="104">
        <f>F310</f>
        <v>339.28</v>
      </c>
      <c r="G318" s="104">
        <f t="shared" si="15"/>
        <v>24.43</v>
      </c>
      <c r="I318" s="97">
        <f>I317*0.1</f>
        <v>3.5999999999999997E-2</v>
      </c>
    </row>
    <row r="319" spans="1:9" s="97" customFormat="1" ht="12.6" customHeight="1">
      <c r="A319" s="101" t="s">
        <v>27</v>
      </c>
      <c r="B319" s="101" t="str">
        <f>A120</f>
        <v>CPU-12</v>
      </c>
      <c r="C319" s="102" t="s">
        <v>382</v>
      </c>
      <c r="D319" s="101" t="s">
        <v>69</v>
      </c>
      <c r="E319" s="108">
        <v>2.16</v>
      </c>
      <c r="F319" s="104">
        <f>G126</f>
        <v>8.49</v>
      </c>
      <c r="G319" s="104">
        <f t="shared" si="15"/>
        <v>18.34</v>
      </c>
      <c r="I319" s="97">
        <f>I318*60</f>
        <v>2.1599999999999997</v>
      </c>
    </row>
    <row r="320" spans="1:9" s="97" customFormat="1" ht="12.6" customHeight="1">
      <c r="A320" s="101" t="s">
        <v>27</v>
      </c>
      <c r="B320" s="101" t="str">
        <f>A215</f>
        <v>CPU-22</v>
      </c>
      <c r="C320" s="102" t="s">
        <v>548</v>
      </c>
      <c r="D320" s="101" t="s">
        <v>376</v>
      </c>
      <c r="E320" s="108">
        <f>E323</f>
        <v>1.44</v>
      </c>
      <c r="F320" s="104">
        <f>G222</f>
        <v>66.760000000000005</v>
      </c>
      <c r="G320" s="104">
        <f t="shared" si="15"/>
        <v>96.13</v>
      </c>
    </row>
    <row r="321" spans="1:9" s="97" customFormat="1" ht="24">
      <c r="A321" s="101" t="s">
        <v>27</v>
      </c>
      <c r="B321" s="101" t="str">
        <f>A182</f>
        <v>CPU-18</v>
      </c>
      <c r="C321" s="102" t="s">
        <v>549</v>
      </c>
      <c r="D321" s="101" t="s">
        <v>376</v>
      </c>
      <c r="E321" s="108">
        <f>E323</f>
        <v>1.44</v>
      </c>
      <c r="F321" s="104">
        <f>G186</f>
        <v>29.62</v>
      </c>
      <c r="G321" s="104">
        <f t="shared" si="15"/>
        <v>42.65</v>
      </c>
    </row>
    <row r="322" spans="1:9" s="97" customFormat="1" ht="24">
      <c r="A322" s="101" t="s">
        <v>27</v>
      </c>
      <c r="B322" s="101" t="str">
        <f>A114</f>
        <v>CPU-11</v>
      </c>
      <c r="C322" s="102" t="s">
        <v>383</v>
      </c>
      <c r="D322" s="101" t="s">
        <v>380</v>
      </c>
      <c r="E322" s="108">
        <v>0.216</v>
      </c>
      <c r="F322" s="104">
        <f>G116</f>
        <v>63.34</v>
      </c>
      <c r="G322" s="104">
        <f t="shared" si="15"/>
        <v>13.68</v>
      </c>
      <c r="I322" s="97">
        <f>0.6*0.6*0.6</f>
        <v>0.216</v>
      </c>
    </row>
    <row r="323" spans="1:9" s="97" customFormat="1" ht="12.6" customHeight="1">
      <c r="A323" s="101" t="s">
        <v>27</v>
      </c>
      <c r="B323" s="101" t="str">
        <f>A174</f>
        <v>CPU-17</v>
      </c>
      <c r="C323" s="102" t="s">
        <v>384</v>
      </c>
      <c r="D323" s="101" t="s">
        <v>376</v>
      </c>
      <c r="E323" s="108">
        <v>1.44</v>
      </c>
      <c r="F323" s="104">
        <f>G178</f>
        <v>3.35</v>
      </c>
      <c r="G323" s="104">
        <f t="shared" si="15"/>
        <v>4.82</v>
      </c>
      <c r="I323" s="97">
        <f>(0.6*4)*0.6</f>
        <v>1.44</v>
      </c>
    </row>
    <row r="324" spans="1:9" s="97" customFormat="1" ht="12.6" customHeight="1">
      <c r="A324" s="105"/>
      <c r="B324" s="105"/>
      <c r="C324" s="105"/>
      <c r="D324" s="244" t="s">
        <v>29</v>
      </c>
      <c r="E324" s="245"/>
      <c r="F324" s="246"/>
      <c r="G324" s="119">
        <f>ROUND((SUM(G317:G323)),2)</f>
        <v>224.87</v>
      </c>
    </row>
    <row r="325" spans="1:9" s="97" customFormat="1" ht="12.6" customHeight="1">
      <c r="A325" s="105"/>
      <c r="B325" s="105"/>
      <c r="C325" s="105"/>
      <c r="D325" s="244" t="str">
        <f>"BDI ( " &amp;TEXT($G$7,"0,00") &amp;" ) %:"</f>
        <v>BDI ( 22,01 ) %:</v>
      </c>
      <c r="E325" s="245"/>
      <c r="F325" s="246"/>
      <c r="G325" s="119">
        <f>ROUND(G324*($G$7/100),2)</f>
        <v>49.49</v>
      </c>
    </row>
    <row r="326" spans="1:9" s="97" customFormat="1" ht="12.6" customHeight="1">
      <c r="A326" s="105"/>
      <c r="B326" s="105"/>
      <c r="C326" s="105"/>
      <c r="D326" s="244" t="s">
        <v>30</v>
      </c>
      <c r="E326" s="245"/>
      <c r="F326" s="246"/>
      <c r="G326" s="119">
        <f>ROUND(SUM(G324:G325),2)</f>
        <v>274.36</v>
      </c>
    </row>
    <row r="327" spans="1:9" s="97" customFormat="1" ht="12.6" customHeight="1">
      <c r="A327" s="105"/>
      <c r="B327" s="105"/>
      <c r="C327" s="105"/>
      <c r="D327" s="124"/>
      <c r="E327" s="124"/>
      <c r="F327" s="124"/>
      <c r="G327" s="116"/>
    </row>
    <row r="328" spans="1:9" s="97" customFormat="1" ht="24">
      <c r="A328" s="98" t="s">
        <v>216</v>
      </c>
      <c r="B328" s="98">
        <v>85180</v>
      </c>
      <c r="C328" s="99" t="s">
        <v>553</v>
      </c>
      <c r="D328" s="98" t="s">
        <v>46</v>
      </c>
      <c r="E328" s="100" t="s">
        <v>52</v>
      </c>
      <c r="F328" s="100" t="s">
        <v>24</v>
      </c>
      <c r="G328" s="100" t="s">
        <v>25</v>
      </c>
    </row>
    <row r="329" spans="1:9" s="97" customFormat="1" ht="12.6" customHeight="1">
      <c r="A329" s="101" t="s">
        <v>26</v>
      </c>
      <c r="B329" s="101">
        <v>38641</v>
      </c>
      <c r="C329" s="102" t="s">
        <v>554</v>
      </c>
      <c r="D329" s="101" t="s">
        <v>46</v>
      </c>
      <c r="E329" s="103" t="s">
        <v>66</v>
      </c>
      <c r="F329" s="104">
        <v>86.2</v>
      </c>
      <c r="G329" s="104">
        <f t="shared" ref="G329:G334" si="16">ROUND(E329*F329,2)</f>
        <v>86.2</v>
      </c>
    </row>
    <row r="330" spans="1:9" s="97" customFormat="1" ht="12.6" customHeight="1">
      <c r="A330" s="101" t="s">
        <v>26</v>
      </c>
      <c r="B330" s="101" t="s">
        <v>403</v>
      </c>
      <c r="C330" s="102" t="s">
        <v>174</v>
      </c>
      <c r="D330" s="101" t="s">
        <v>69</v>
      </c>
      <c r="E330" s="103" t="s">
        <v>175</v>
      </c>
      <c r="F330" s="104">
        <v>1.76</v>
      </c>
      <c r="G330" s="104">
        <f t="shared" si="16"/>
        <v>0.18</v>
      </c>
    </row>
    <row r="331" spans="1:9" s="97" customFormat="1" ht="12.6" customHeight="1">
      <c r="A331" s="101" t="s">
        <v>26</v>
      </c>
      <c r="B331" s="101" t="s">
        <v>404</v>
      </c>
      <c r="C331" s="102" t="s">
        <v>176</v>
      </c>
      <c r="D331" s="101" t="s">
        <v>69</v>
      </c>
      <c r="E331" s="103" t="s">
        <v>177</v>
      </c>
      <c r="F331" s="104">
        <v>0.08</v>
      </c>
      <c r="G331" s="104">
        <f t="shared" si="16"/>
        <v>0.01</v>
      </c>
    </row>
    <row r="332" spans="1:9" s="97" customFormat="1" ht="12.6" customHeight="1">
      <c r="A332" s="101" t="s">
        <v>26</v>
      </c>
      <c r="B332" s="101" t="s">
        <v>405</v>
      </c>
      <c r="C332" s="102" t="s">
        <v>178</v>
      </c>
      <c r="D332" s="101" t="s">
        <v>69</v>
      </c>
      <c r="E332" s="108">
        <v>0.5</v>
      </c>
      <c r="F332" s="104">
        <v>1.02</v>
      </c>
      <c r="G332" s="104">
        <f t="shared" si="16"/>
        <v>0.51</v>
      </c>
    </row>
    <row r="333" spans="1:9" s="97" customFormat="1" ht="12.6" customHeight="1">
      <c r="A333" s="101" t="s">
        <v>27</v>
      </c>
      <c r="B333" s="101" t="s">
        <v>33</v>
      </c>
      <c r="C333" s="102" t="s">
        <v>32</v>
      </c>
      <c r="D333" s="101" t="s">
        <v>31</v>
      </c>
      <c r="E333" s="108">
        <v>0.01</v>
      </c>
      <c r="F333" s="104">
        <v>16.010000000000002</v>
      </c>
      <c r="G333" s="104">
        <f t="shared" si="16"/>
        <v>0.16</v>
      </c>
    </row>
    <row r="334" spans="1:9" s="97" customFormat="1" ht="12.6" customHeight="1">
      <c r="A334" s="101" t="s">
        <v>27</v>
      </c>
      <c r="B334" s="101" t="s">
        <v>179</v>
      </c>
      <c r="C334" s="102" t="s">
        <v>180</v>
      </c>
      <c r="D334" s="101" t="s">
        <v>31</v>
      </c>
      <c r="E334" s="108">
        <f>E333</f>
        <v>0.01</v>
      </c>
      <c r="F334" s="104">
        <v>22.41</v>
      </c>
      <c r="G334" s="104">
        <f t="shared" si="16"/>
        <v>0.22</v>
      </c>
    </row>
    <row r="335" spans="1:9" s="97" customFormat="1" ht="12.6" customHeight="1">
      <c r="A335" s="105"/>
      <c r="B335" s="105"/>
      <c r="C335" s="105"/>
      <c r="D335" s="244" t="s">
        <v>29</v>
      </c>
      <c r="E335" s="245"/>
      <c r="F335" s="246"/>
      <c r="G335" s="119">
        <f>ROUND((SUM(G329:G334)),2)</f>
        <v>87.28</v>
      </c>
    </row>
    <row r="336" spans="1:9" s="97" customFormat="1" ht="12.6" customHeight="1">
      <c r="A336" s="105"/>
      <c r="B336" s="105"/>
      <c r="C336" s="105"/>
      <c r="D336" s="244" t="str">
        <f>"BDI ( " &amp;TEXT($G$7,"0,00") &amp;" ) %:"</f>
        <v>BDI ( 22,01 ) %:</v>
      </c>
      <c r="E336" s="245"/>
      <c r="F336" s="246"/>
      <c r="G336" s="119">
        <f>ROUND(G335*($G$7/100),2)</f>
        <v>19.21</v>
      </c>
    </row>
    <row r="337" spans="1:7" s="97" customFormat="1" ht="12.6" customHeight="1">
      <c r="A337" s="105"/>
      <c r="B337" s="105"/>
      <c r="C337" s="105"/>
      <c r="D337" s="244" t="s">
        <v>30</v>
      </c>
      <c r="E337" s="245"/>
      <c r="F337" s="246"/>
      <c r="G337" s="119">
        <f>ROUND(SUM(G335:G336),2)</f>
        <v>106.49</v>
      </c>
    </row>
    <row r="338" spans="1:7" s="97" customFormat="1" ht="12.6" customHeight="1">
      <c r="A338" s="105"/>
      <c r="B338" s="105"/>
      <c r="C338" s="105"/>
    </row>
    <row r="339" spans="1:7" s="97" customFormat="1" ht="24">
      <c r="A339" s="98" t="s">
        <v>215</v>
      </c>
      <c r="B339" s="98">
        <v>85180</v>
      </c>
      <c r="C339" s="99" t="s">
        <v>552</v>
      </c>
      <c r="D339" s="98" t="s">
        <v>46</v>
      </c>
      <c r="E339" s="100" t="s">
        <v>52</v>
      </c>
      <c r="F339" s="100" t="s">
        <v>24</v>
      </c>
      <c r="G339" s="100" t="s">
        <v>25</v>
      </c>
    </row>
    <row r="340" spans="1:7" s="97" customFormat="1" ht="12.6" customHeight="1">
      <c r="A340" s="101" t="s">
        <v>26</v>
      </c>
      <c r="B340" s="101">
        <v>38640</v>
      </c>
      <c r="C340" s="102" t="s">
        <v>551</v>
      </c>
      <c r="D340" s="101" t="s">
        <v>46</v>
      </c>
      <c r="E340" s="103" t="s">
        <v>66</v>
      </c>
      <c r="F340" s="104">
        <v>2.06</v>
      </c>
      <c r="G340" s="104">
        <f t="shared" ref="G340:G345" si="17">ROUND(E340*F340,2)</f>
        <v>2.06</v>
      </c>
    </row>
    <row r="341" spans="1:7" s="97" customFormat="1" ht="12.6" customHeight="1">
      <c r="A341" s="101" t="s">
        <v>26</v>
      </c>
      <c r="B341" s="101" t="s">
        <v>403</v>
      </c>
      <c r="C341" s="102" t="s">
        <v>174</v>
      </c>
      <c r="D341" s="101" t="s">
        <v>69</v>
      </c>
      <c r="E341" s="103" t="s">
        <v>175</v>
      </c>
      <c r="F341" s="104">
        <v>1.76</v>
      </c>
      <c r="G341" s="104">
        <f t="shared" si="17"/>
        <v>0.18</v>
      </c>
    </row>
    <row r="342" spans="1:7" s="97" customFormat="1" ht="12.6" customHeight="1">
      <c r="A342" s="101" t="s">
        <v>26</v>
      </c>
      <c r="B342" s="101" t="s">
        <v>404</v>
      </c>
      <c r="C342" s="102" t="s">
        <v>176</v>
      </c>
      <c r="D342" s="101" t="s">
        <v>69</v>
      </c>
      <c r="E342" s="103" t="s">
        <v>177</v>
      </c>
      <c r="F342" s="104">
        <v>0.08</v>
      </c>
      <c r="G342" s="104">
        <f t="shared" si="17"/>
        <v>0.01</v>
      </c>
    </row>
    <row r="343" spans="1:7" s="97" customFormat="1" ht="12.6" customHeight="1">
      <c r="A343" s="101" t="s">
        <v>26</v>
      </c>
      <c r="B343" s="101" t="s">
        <v>405</v>
      </c>
      <c r="C343" s="102" t="s">
        <v>178</v>
      </c>
      <c r="D343" s="101" t="s">
        <v>69</v>
      </c>
      <c r="E343" s="108">
        <v>0.5</v>
      </c>
      <c r="F343" s="104">
        <v>1.02</v>
      </c>
      <c r="G343" s="104">
        <f t="shared" si="17"/>
        <v>0.51</v>
      </c>
    </row>
    <row r="344" spans="1:7" s="97" customFormat="1" ht="12.6" customHeight="1">
      <c r="A344" s="101" t="s">
        <v>27</v>
      </c>
      <c r="B344" s="101" t="s">
        <v>33</v>
      </c>
      <c r="C344" s="102" t="s">
        <v>32</v>
      </c>
      <c r="D344" s="101" t="s">
        <v>31</v>
      </c>
      <c r="E344" s="108">
        <v>0.01</v>
      </c>
      <c r="F344" s="104">
        <v>16.010000000000002</v>
      </c>
      <c r="G344" s="104">
        <f t="shared" si="17"/>
        <v>0.16</v>
      </c>
    </row>
    <row r="345" spans="1:7" s="97" customFormat="1" ht="12.6" customHeight="1">
      <c r="A345" s="101" t="s">
        <v>27</v>
      </c>
      <c r="B345" s="101" t="s">
        <v>179</v>
      </c>
      <c r="C345" s="102" t="s">
        <v>180</v>
      </c>
      <c r="D345" s="101" t="s">
        <v>31</v>
      </c>
      <c r="E345" s="108">
        <f>E344</f>
        <v>0.01</v>
      </c>
      <c r="F345" s="104">
        <v>22.41</v>
      </c>
      <c r="G345" s="104">
        <f t="shared" si="17"/>
        <v>0.22</v>
      </c>
    </row>
    <row r="346" spans="1:7" s="97" customFormat="1" ht="12.6" customHeight="1">
      <c r="A346" s="105"/>
      <c r="B346" s="105"/>
      <c r="C346" s="105"/>
      <c r="D346" s="244" t="s">
        <v>29</v>
      </c>
      <c r="E346" s="245"/>
      <c r="F346" s="246"/>
      <c r="G346" s="119">
        <f>ROUND((SUM(G340:G345)),2)</f>
        <v>3.14</v>
      </c>
    </row>
    <row r="347" spans="1:7" s="97" customFormat="1" ht="12.6" customHeight="1">
      <c r="A347" s="105"/>
      <c r="B347" s="105"/>
      <c r="C347" s="105"/>
      <c r="D347" s="244" t="str">
        <f>"BDI ( " &amp;TEXT($G$7,"0,00") &amp;" ) %:"</f>
        <v>BDI ( 22,01 ) %:</v>
      </c>
      <c r="E347" s="245"/>
      <c r="F347" s="246"/>
      <c r="G347" s="119">
        <f>ROUND(G346*($G$7/100),2)</f>
        <v>0.69</v>
      </c>
    </row>
    <row r="348" spans="1:7" s="97" customFormat="1" ht="12.6" customHeight="1">
      <c r="A348" s="105"/>
      <c r="B348" s="105"/>
      <c r="C348" s="105"/>
      <c r="D348" s="244" t="s">
        <v>30</v>
      </c>
      <c r="E348" s="245"/>
      <c r="F348" s="246"/>
      <c r="G348" s="119">
        <f>ROUND(SUM(G346:G347),2)</f>
        <v>3.83</v>
      </c>
    </row>
    <row r="349" spans="1:7" s="97" customFormat="1" ht="12.6" customHeight="1">
      <c r="A349" s="105"/>
      <c r="B349" s="105"/>
      <c r="C349" s="105"/>
      <c r="D349" s="124"/>
      <c r="E349" s="124"/>
      <c r="F349" s="124"/>
      <c r="G349" s="116"/>
    </row>
    <row r="350" spans="1:7" s="97" customFormat="1" ht="24">
      <c r="A350" s="98" t="s">
        <v>303</v>
      </c>
      <c r="B350" s="98">
        <v>85180</v>
      </c>
      <c r="C350" s="99" t="s">
        <v>400</v>
      </c>
      <c r="D350" s="98" t="s">
        <v>376</v>
      </c>
      <c r="E350" s="100" t="s">
        <v>52</v>
      </c>
      <c r="F350" s="100" t="s">
        <v>24</v>
      </c>
      <c r="G350" s="100" t="s">
        <v>25</v>
      </c>
    </row>
    <row r="351" spans="1:7" s="97" customFormat="1" ht="12.6" customHeight="1">
      <c r="A351" s="101" t="s">
        <v>26</v>
      </c>
      <c r="B351" s="101" t="s">
        <v>401</v>
      </c>
      <c r="C351" s="102" t="s">
        <v>402</v>
      </c>
      <c r="D351" s="101" t="s">
        <v>376</v>
      </c>
      <c r="E351" s="103" t="s">
        <v>66</v>
      </c>
      <c r="F351" s="104">
        <v>7.5</v>
      </c>
      <c r="G351" s="104">
        <f t="shared" ref="G351:G356" si="18">ROUND(E351*F351,2)</f>
        <v>7.5</v>
      </c>
    </row>
    <row r="352" spans="1:7" s="97" customFormat="1" ht="12.6" customHeight="1">
      <c r="A352" s="101" t="s">
        <v>26</v>
      </c>
      <c r="B352" s="101" t="s">
        <v>403</v>
      </c>
      <c r="C352" s="102" t="s">
        <v>174</v>
      </c>
      <c r="D352" s="101" t="s">
        <v>69</v>
      </c>
      <c r="E352" s="103" t="s">
        <v>175</v>
      </c>
      <c r="F352" s="104">
        <v>1.76</v>
      </c>
      <c r="G352" s="104">
        <f t="shared" si="18"/>
        <v>0.18</v>
      </c>
    </row>
    <row r="353" spans="1:7" s="97" customFormat="1" ht="12.6" customHeight="1">
      <c r="A353" s="101" t="s">
        <v>26</v>
      </c>
      <c r="B353" s="101" t="s">
        <v>404</v>
      </c>
      <c r="C353" s="102" t="s">
        <v>176</v>
      </c>
      <c r="D353" s="101" t="s">
        <v>69</v>
      </c>
      <c r="E353" s="103" t="s">
        <v>177</v>
      </c>
      <c r="F353" s="104">
        <v>0.08</v>
      </c>
      <c r="G353" s="104">
        <f t="shared" si="18"/>
        <v>0.01</v>
      </c>
    </row>
    <row r="354" spans="1:7" s="97" customFormat="1" ht="12.6" customHeight="1">
      <c r="A354" s="101" t="s">
        <v>26</v>
      </c>
      <c r="B354" s="101" t="s">
        <v>405</v>
      </c>
      <c r="C354" s="102" t="s">
        <v>178</v>
      </c>
      <c r="D354" s="101" t="s">
        <v>69</v>
      </c>
      <c r="E354" s="103" t="s">
        <v>132</v>
      </c>
      <c r="F354" s="104">
        <v>1.02</v>
      </c>
      <c r="G354" s="104">
        <f t="shared" si="18"/>
        <v>3.06</v>
      </c>
    </row>
    <row r="355" spans="1:7" s="97" customFormat="1" ht="24">
      <c r="A355" s="101" t="s">
        <v>27</v>
      </c>
      <c r="B355" s="101" t="s">
        <v>33</v>
      </c>
      <c r="C355" s="102" t="s">
        <v>32</v>
      </c>
      <c r="D355" s="101" t="s">
        <v>31</v>
      </c>
      <c r="E355" s="103" t="s">
        <v>175</v>
      </c>
      <c r="F355" s="104">
        <v>16.010000000000002</v>
      </c>
      <c r="G355" s="104">
        <f t="shared" si="18"/>
        <v>1.6</v>
      </c>
    </row>
    <row r="356" spans="1:7" s="97" customFormat="1" ht="12.6" customHeight="1">
      <c r="A356" s="101" t="s">
        <v>27</v>
      </c>
      <c r="B356" s="101" t="s">
        <v>179</v>
      </c>
      <c r="C356" s="102" t="s">
        <v>180</v>
      </c>
      <c r="D356" s="101" t="s">
        <v>31</v>
      </c>
      <c r="E356" s="103" t="s">
        <v>175</v>
      </c>
      <c r="F356" s="104">
        <v>22.41</v>
      </c>
      <c r="G356" s="104">
        <f t="shared" si="18"/>
        <v>2.2400000000000002</v>
      </c>
    </row>
    <row r="357" spans="1:7" s="97" customFormat="1" ht="12.6" customHeight="1">
      <c r="A357" s="105"/>
      <c r="B357" s="105"/>
      <c r="C357" s="105"/>
      <c r="D357" s="244" t="s">
        <v>29</v>
      </c>
      <c r="E357" s="245"/>
      <c r="F357" s="246"/>
      <c r="G357" s="106">
        <f>ROUND((SUM(G351:G356)),2)</f>
        <v>14.59</v>
      </c>
    </row>
    <row r="358" spans="1:7" s="97" customFormat="1" ht="12.6" customHeight="1">
      <c r="A358" s="105"/>
      <c r="B358" s="105"/>
      <c r="C358" s="105"/>
      <c r="D358" s="244" t="str">
        <f>"BDI ( " &amp;TEXT($G$7,"0,00") &amp;" ) %:"</f>
        <v>BDI ( 22,01 ) %:</v>
      </c>
      <c r="E358" s="245"/>
      <c r="F358" s="246"/>
      <c r="G358" s="106">
        <f>ROUND(G357*($G$7/100),2)</f>
        <v>3.21</v>
      </c>
    </row>
    <row r="359" spans="1:7" s="97" customFormat="1" ht="12.6" customHeight="1">
      <c r="A359" s="105"/>
      <c r="B359" s="105"/>
      <c r="C359" s="105"/>
      <c r="D359" s="244" t="s">
        <v>30</v>
      </c>
      <c r="E359" s="245"/>
      <c r="F359" s="246"/>
      <c r="G359" s="106">
        <f>ROUND(SUM(G357:G358),2)</f>
        <v>17.8</v>
      </c>
    </row>
    <row r="360" spans="1:7" s="97" customFormat="1" ht="12.6" customHeight="1">
      <c r="A360" s="105"/>
      <c r="B360" s="105"/>
      <c r="C360" s="105"/>
      <c r="D360" s="124"/>
      <c r="E360" s="124"/>
      <c r="F360" s="124"/>
      <c r="G360" s="116"/>
    </row>
    <row r="361" spans="1:7" s="97" customFormat="1" ht="24">
      <c r="A361" s="98" t="s">
        <v>217</v>
      </c>
      <c r="B361" s="98" t="s">
        <v>321</v>
      </c>
      <c r="C361" s="99" t="s">
        <v>561</v>
      </c>
      <c r="D361" s="98" t="s">
        <v>46</v>
      </c>
      <c r="E361" s="100" t="s">
        <v>52</v>
      </c>
      <c r="F361" s="100" t="s">
        <v>24</v>
      </c>
      <c r="G361" s="100" t="s">
        <v>25</v>
      </c>
    </row>
    <row r="362" spans="1:7" s="97" customFormat="1" ht="12.6" customHeight="1">
      <c r="A362" s="101" t="s">
        <v>27</v>
      </c>
      <c r="B362" s="101">
        <v>88309</v>
      </c>
      <c r="C362" s="102" t="s">
        <v>86</v>
      </c>
      <c r="D362" s="101" t="s">
        <v>31</v>
      </c>
      <c r="E362" s="108">
        <v>0.8</v>
      </c>
      <c r="F362" s="104">
        <v>23.2</v>
      </c>
      <c r="G362" s="118">
        <f t="shared" ref="G362:G364" si="19">ROUND(E362*F362,2)</f>
        <v>18.559999999999999</v>
      </c>
    </row>
    <row r="363" spans="1:7" s="97" customFormat="1" ht="12.6" customHeight="1">
      <c r="A363" s="101" t="s">
        <v>27</v>
      </c>
      <c r="B363" s="101" t="s">
        <v>33</v>
      </c>
      <c r="C363" s="102" t="s">
        <v>32</v>
      </c>
      <c r="D363" s="101" t="s">
        <v>31</v>
      </c>
      <c r="E363" s="108">
        <f>E362</f>
        <v>0.8</v>
      </c>
      <c r="F363" s="104">
        <v>16.010000000000002</v>
      </c>
      <c r="G363" s="118">
        <f t="shared" si="19"/>
        <v>12.81</v>
      </c>
    </row>
    <row r="364" spans="1:7" s="97" customFormat="1" ht="12.6" customHeight="1">
      <c r="A364" s="101" t="s">
        <v>27</v>
      </c>
      <c r="B364" s="147" t="s">
        <v>557</v>
      </c>
      <c r="C364" s="102" t="s">
        <v>562</v>
      </c>
      <c r="D364" s="101" t="s">
        <v>46</v>
      </c>
      <c r="E364" s="108">
        <v>1</v>
      </c>
      <c r="F364" s="49">
        <v>456.84</v>
      </c>
      <c r="G364" s="118">
        <f t="shared" si="19"/>
        <v>456.84</v>
      </c>
    </row>
    <row r="365" spans="1:7" s="97" customFormat="1" ht="12.6" customHeight="1">
      <c r="A365" s="105"/>
      <c r="B365" s="105"/>
      <c r="C365" s="105"/>
      <c r="D365" s="244" t="s">
        <v>29</v>
      </c>
      <c r="E365" s="245"/>
      <c r="F365" s="246"/>
      <c r="G365" s="119">
        <f>ROUND((SUM(G362:G364)),2)</f>
        <v>488.21</v>
      </c>
    </row>
    <row r="366" spans="1:7" s="97" customFormat="1" ht="12.6" customHeight="1">
      <c r="A366" s="105"/>
      <c r="B366" s="105"/>
      <c r="C366" s="105"/>
      <c r="D366" s="244" t="str">
        <f>"BDI ( " &amp;TEXT($G$7,"0,00") &amp;" ) %:"</f>
        <v>BDI ( 22,01 ) %:</v>
      </c>
      <c r="E366" s="245"/>
      <c r="F366" s="246"/>
      <c r="G366" s="119">
        <f>ROUND(G365*($G$7/100),2)</f>
        <v>107.46</v>
      </c>
    </row>
    <row r="367" spans="1:7" s="97" customFormat="1" ht="12.6" customHeight="1">
      <c r="A367" s="105"/>
      <c r="B367" s="105"/>
      <c r="C367" s="105"/>
      <c r="D367" s="244" t="s">
        <v>30</v>
      </c>
      <c r="E367" s="245"/>
      <c r="F367" s="246"/>
      <c r="G367" s="119">
        <f>ROUND(SUM(G365:G366),2)</f>
        <v>595.66999999999996</v>
      </c>
    </row>
    <row r="368" spans="1:7" s="97" customFormat="1" ht="12.6" customHeight="1">
      <c r="A368" s="105"/>
      <c r="B368" s="105"/>
      <c r="C368" s="105"/>
      <c r="D368" s="124"/>
      <c r="E368" s="124"/>
      <c r="F368" s="124"/>
      <c r="G368" s="116"/>
    </row>
    <row r="369" spans="1:7" s="97" customFormat="1" ht="12.6" customHeight="1">
      <c r="A369" s="98" t="s">
        <v>218</v>
      </c>
      <c r="B369" s="98" t="s">
        <v>321</v>
      </c>
      <c r="C369" s="99" t="s">
        <v>564</v>
      </c>
      <c r="D369" s="98" t="s">
        <v>46</v>
      </c>
      <c r="E369" s="100" t="s">
        <v>52</v>
      </c>
      <c r="F369" s="100" t="s">
        <v>24</v>
      </c>
      <c r="G369" s="100" t="s">
        <v>25</v>
      </c>
    </row>
    <row r="370" spans="1:7" s="97" customFormat="1" ht="12.6" customHeight="1">
      <c r="A370" s="101" t="s">
        <v>27</v>
      </c>
      <c r="B370" s="101">
        <v>88309</v>
      </c>
      <c r="C370" s="102" t="s">
        <v>86</v>
      </c>
      <c r="D370" s="101" t="s">
        <v>31</v>
      </c>
      <c r="E370" s="108">
        <v>0.8</v>
      </c>
      <c r="F370" s="104">
        <v>23.2</v>
      </c>
      <c r="G370" s="118">
        <f t="shared" ref="G370:G372" si="20">ROUND(E370*F370,2)</f>
        <v>18.559999999999999</v>
      </c>
    </row>
    <row r="371" spans="1:7" s="97" customFormat="1" ht="12.6" customHeight="1">
      <c r="A371" s="101" t="s">
        <v>27</v>
      </c>
      <c r="B371" s="101" t="s">
        <v>33</v>
      </c>
      <c r="C371" s="102" t="s">
        <v>32</v>
      </c>
      <c r="D371" s="101" t="s">
        <v>31</v>
      </c>
      <c r="E371" s="108">
        <f>E370</f>
        <v>0.8</v>
      </c>
      <c r="F371" s="104">
        <v>16.010000000000002</v>
      </c>
      <c r="G371" s="118">
        <f t="shared" si="20"/>
        <v>12.81</v>
      </c>
    </row>
    <row r="372" spans="1:7" s="97" customFormat="1" ht="12.6" customHeight="1">
      <c r="A372" s="101" t="s">
        <v>27</v>
      </c>
      <c r="B372" s="147" t="s">
        <v>558</v>
      </c>
      <c r="C372" s="102" t="s">
        <v>564</v>
      </c>
      <c r="D372" s="101" t="s">
        <v>46</v>
      </c>
      <c r="E372" s="108">
        <v>1</v>
      </c>
      <c r="F372" s="148">
        <v>200</v>
      </c>
      <c r="G372" s="118">
        <f t="shared" si="20"/>
        <v>200</v>
      </c>
    </row>
    <row r="373" spans="1:7" s="97" customFormat="1" ht="12.6" customHeight="1">
      <c r="A373" s="105"/>
      <c r="B373" s="105"/>
      <c r="C373" s="105"/>
      <c r="D373" s="244" t="s">
        <v>29</v>
      </c>
      <c r="E373" s="245"/>
      <c r="F373" s="246"/>
      <c r="G373" s="119">
        <f>ROUND((SUM(G370:G372)),2)</f>
        <v>231.37</v>
      </c>
    </row>
    <row r="374" spans="1:7" s="97" customFormat="1" ht="12.6" customHeight="1">
      <c r="A374" s="105"/>
      <c r="B374" s="105"/>
      <c r="C374" s="105"/>
      <c r="D374" s="244" t="str">
        <f>"BDI ( " &amp;TEXT($G$7,"0,00") &amp;" ) %:"</f>
        <v>BDI ( 22,01 ) %:</v>
      </c>
      <c r="E374" s="245"/>
      <c r="F374" s="246"/>
      <c r="G374" s="119">
        <f>ROUND(G373*($G$7/100),2)</f>
        <v>50.92</v>
      </c>
    </row>
    <row r="375" spans="1:7" s="97" customFormat="1" ht="12.6" customHeight="1">
      <c r="A375" s="105"/>
      <c r="B375" s="105"/>
      <c r="C375" s="105"/>
      <c r="D375" s="244" t="s">
        <v>30</v>
      </c>
      <c r="E375" s="245"/>
      <c r="F375" s="246"/>
      <c r="G375" s="119">
        <f>ROUND(SUM(G373:G374),2)</f>
        <v>282.29000000000002</v>
      </c>
    </row>
    <row r="376" spans="1:7" s="97" customFormat="1" ht="12.6" customHeight="1">
      <c r="A376" s="105"/>
      <c r="B376" s="105"/>
      <c r="C376" s="105"/>
      <c r="D376" s="124"/>
      <c r="E376" s="124"/>
      <c r="F376" s="124"/>
      <c r="G376" s="116"/>
    </row>
    <row r="377" spans="1:7" s="97" customFormat="1" ht="24.75" customHeight="1">
      <c r="A377" s="98" t="s">
        <v>219</v>
      </c>
      <c r="B377" s="98" t="s">
        <v>321</v>
      </c>
      <c r="C377" s="99" t="s">
        <v>566</v>
      </c>
      <c r="D377" s="98" t="s">
        <v>46</v>
      </c>
      <c r="E377" s="100" t="s">
        <v>52</v>
      </c>
      <c r="F377" s="100" t="s">
        <v>24</v>
      </c>
      <c r="G377" s="100" t="s">
        <v>25</v>
      </c>
    </row>
    <row r="378" spans="1:7" s="97" customFormat="1" ht="12.6" customHeight="1">
      <c r="A378" s="101" t="s">
        <v>27</v>
      </c>
      <c r="B378" s="101">
        <v>88309</v>
      </c>
      <c r="C378" s="102" t="s">
        <v>86</v>
      </c>
      <c r="D378" s="101" t="s">
        <v>31</v>
      </c>
      <c r="E378" s="108">
        <v>0.8</v>
      </c>
      <c r="F378" s="104">
        <v>23.2</v>
      </c>
      <c r="G378" s="118">
        <f>ROUND(E378*F378,2)</f>
        <v>18.559999999999999</v>
      </c>
    </row>
    <row r="379" spans="1:7" s="97" customFormat="1" ht="12.6" customHeight="1">
      <c r="A379" s="101" t="s">
        <v>27</v>
      </c>
      <c r="B379" s="101" t="s">
        <v>33</v>
      </c>
      <c r="C379" s="102" t="s">
        <v>32</v>
      </c>
      <c r="D379" s="101" t="s">
        <v>31</v>
      </c>
      <c r="E379" s="108">
        <f>E378</f>
        <v>0.8</v>
      </c>
      <c r="F379" s="104">
        <v>16.010000000000002</v>
      </c>
      <c r="G379" s="118">
        <f>ROUND(E379*F379,2)</f>
        <v>12.81</v>
      </c>
    </row>
    <row r="380" spans="1:7" s="97" customFormat="1" ht="24">
      <c r="A380" s="101" t="s">
        <v>27</v>
      </c>
      <c r="B380" s="145" t="s">
        <v>559</v>
      </c>
      <c r="C380" s="102" t="s">
        <v>567</v>
      </c>
      <c r="D380" s="101" t="s">
        <v>46</v>
      </c>
      <c r="E380" s="108">
        <v>1</v>
      </c>
      <c r="F380" s="148">
        <v>326.49</v>
      </c>
      <c r="G380" s="118">
        <f>ROUND(E380*F380,2)</f>
        <v>326.49</v>
      </c>
    </row>
    <row r="381" spans="1:7" s="97" customFormat="1" ht="12.6" customHeight="1">
      <c r="A381" s="105"/>
      <c r="B381" s="105"/>
      <c r="C381" s="105"/>
      <c r="D381" s="244" t="s">
        <v>29</v>
      </c>
      <c r="E381" s="245"/>
      <c r="F381" s="246"/>
      <c r="G381" s="119">
        <f>ROUND((SUM(G378:G380)),2)</f>
        <v>357.86</v>
      </c>
    </row>
    <row r="382" spans="1:7" s="97" customFormat="1" ht="12.6" customHeight="1">
      <c r="A382" s="105"/>
      <c r="B382" s="105"/>
      <c r="C382" s="105"/>
      <c r="D382" s="244" t="str">
        <f>"BDI ( " &amp;TEXT($G$7,"0,00") &amp;" ) %:"</f>
        <v>BDI ( 22,01 ) %:</v>
      </c>
      <c r="E382" s="245"/>
      <c r="F382" s="246"/>
      <c r="G382" s="119">
        <f>ROUND(G381*($G$7/100),2)</f>
        <v>78.760000000000005</v>
      </c>
    </row>
    <row r="383" spans="1:7" s="97" customFormat="1" ht="12.6" customHeight="1">
      <c r="A383" s="105"/>
      <c r="B383" s="105"/>
      <c r="C383" s="105"/>
      <c r="D383" s="244" t="s">
        <v>30</v>
      </c>
      <c r="E383" s="245"/>
      <c r="F383" s="246"/>
      <c r="G383" s="119">
        <f>ROUND(SUM(G381:G382),2)</f>
        <v>436.62</v>
      </c>
    </row>
    <row r="384" spans="1:7" s="97" customFormat="1" ht="12.6" customHeight="1"/>
    <row r="385" spans="1:7" s="97" customFormat="1" ht="12.6" customHeight="1">
      <c r="A385" s="98" t="s">
        <v>220</v>
      </c>
      <c r="B385" s="98">
        <v>99803</v>
      </c>
      <c r="C385" s="140" t="s">
        <v>409</v>
      </c>
      <c r="D385" s="98" t="s">
        <v>376</v>
      </c>
      <c r="E385" s="100" t="s">
        <v>52</v>
      </c>
      <c r="F385" s="109" t="s">
        <v>24</v>
      </c>
      <c r="G385" s="109" t="s">
        <v>25</v>
      </c>
    </row>
    <row r="386" spans="1:7" s="97" customFormat="1" ht="12.6" customHeight="1">
      <c r="A386" s="101" t="s">
        <v>27</v>
      </c>
      <c r="B386" s="101" t="s">
        <v>33</v>
      </c>
      <c r="C386" s="141" t="s">
        <v>32</v>
      </c>
      <c r="D386" s="101" t="s">
        <v>31</v>
      </c>
      <c r="E386" s="108" t="s">
        <v>410</v>
      </c>
      <c r="F386" s="104">
        <v>16.010000000000002</v>
      </c>
      <c r="G386" s="104">
        <f>ROUND(E386*F386,2)</f>
        <v>1.55</v>
      </c>
    </row>
    <row r="387" spans="1:7" s="97" customFormat="1">
      <c r="A387" s="105"/>
      <c r="B387" s="105"/>
      <c r="C387" s="105"/>
      <c r="D387" s="241" t="s">
        <v>29</v>
      </c>
      <c r="E387" s="242"/>
      <c r="F387" s="243"/>
      <c r="G387" s="142">
        <f>ROUND((SUM(G386)),2)</f>
        <v>1.55</v>
      </c>
    </row>
    <row r="388" spans="1:7" s="97" customFormat="1">
      <c r="A388" s="105"/>
      <c r="B388" s="105"/>
      <c r="C388" s="105"/>
      <c r="D388" s="244" t="str">
        <f>"BDI ( " &amp;TEXT($G$7,"0,00") &amp;" ) %:"</f>
        <v>BDI ( 22,01 ) %:</v>
      </c>
      <c r="E388" s="245"/>
      <c r="F388" s="246"/>
      <c r="G388" s="119">
        <f>ROUND(G387*($G$7/100),2)</f>
        <v>0.34</v>
      </c>
    </row>
    <row r="389" spans="1:7" s="97" customFormat="1">
      <c r="A389" s="105"/>
      <c r="B389" s="105"/>
      <c r="C389" s="105"/>
      <c r="D389" s="244" t="s">
        <v>30</v>
      </c>
      <c r="E389" s="245"/>
      <c r="F389" s="246"/>
      <c r="G389" s="119">
        <f>ROUND(SUM(G387:G388),2)</f>
        <v>1.89</v>
      </c>
    </row>
    <row r="390" spans="1:7" s="97" customFormat="1">
      <c r="F390" s="110"/>
      <c r="G390" s="110"/>
    </row>
    <row r="391" spans="1:7" s="97" customFormat="1"/>
    <row r="392" spans="1:7" s="97" customFormat="1"/>
    <row r="393" spans="1:7" s="97" customFormat="1"/>
    <row r="394" spans="1:7" s="97" customFormat="1"/>
    <row r="395" spans="1:7" s="97" customFormat="1"/>
    <row r="396" spans="1:7" s="97" customFormat="1"/>
    <row r="397" spans="1:7" s="97" customFormat="1"/>
    <row r="398" spans="1:7" s="97" customFormat="1"/>
    <row r="399" spans="1:7" s="97" customFormat="1"/>
    <row r="400" spans="1:7" s="97" customFormat="1"/>
    <row r="401" s="97" customFormat="1"/>
    <row r="402" s="97" customFormat="1"/>
    <row r="403" s="97" customFormat="1"/>
    <row r="404" s="97" customFormat="1"/>
    <row r="405" s="97" customFormat="1"/>
    <row r="406" s="97" customFormat="1"/>
    <row r="407" s="97" customFormat="1"/>
    <row r="408" s="97" customFormat="1"/>
    <row r="409" s="97" customFormat="1"/>
    <row r="410" s="97" customFormat="1"/>
    <row r="411" s="97" customFormat="1"/>
    <row r="412" s="97" customFormat="1"/>
    <row r="413" s="97" customFormat="1"/>
    <row r="414" s="97" customFormat="1"/>
    <row r="415" s="97" customFormat="1"/>
    <row r="416" s="97" customFormat="1"/>
    <row r="417" spans="6:7" s="97" customFormat="1"/>
    <row r="418" spans="6:7" s="97" customFormat="1"/>
    <row r="419" spans="6:7" s="97" customFormat="1">
      <c r="F419" s="110"/>
      <c r="G419" s="110"/>
    </row>
    <row r="420" spans="6:7" s="97" customFormat="1">
      <c r="F420" s="110"/>
      <c r="G420" s="110"/>
    </row>
    <row r="421" spans="6:7" s="97" customFormat="1">
      <c r="F421" s="110"/>
      <c r="G421" s="110"/>
    </row>
    <row r="422" spans="6:7" s="97" customFormat="1">
      <c r="F422" s="110"/>
      <c r="G422" s="110"/>
    </row>
    <row r="423" spans="6:7" s="97" customFormat="1">
      <c r="F423" s="110"/>
      <c r="G423" s="110"/>
    </row>
    <row r="424" spans="6:7" s="97" customFormat="1">
      <c r="F424" s="110"/>
      <c r="G424" s="110"/>
    </row>
    <row r="425" spans="6:7" s="97" customFormat="1">
      <c r="F425" s="110"/>
      <c r="G425" s="110"/>
    </row>
    <row r="426" spans="6:7" s="97" customFormat="1">
      <c r="F426" s="110"/>
      <c r="G426" s="110"/>
    </row>
    <row r="427" spans="6:7" s="97" customFormat="1">
      <c r="F427" s="110"/>
      <c r="G427" s="110"/>
    </row>
    <row r="428" spans="6:7" s="97" customFormat="1">
      <c r="F428" s="110"/>
      <c r="G428" s="110"/>
    </row>
  </sheetData>
  <mergeCells count="126">
    <mergeCell ref="A5:G5"/>
    <mergeCell ref="E7:F7"/>
    <mergeCell ref="E8:F8"/>
    <mergeCell ref="D272:F272"/>
    <mergeCell ref="D186:F186"/>
    <mergeCell ref="D187:F187"/>
    <mergeCell ref="D37:F37"/>
    <mergeCell ref="D17:F17"/>
    <mergeCell ref="D18:F18"/>
    <mergeCell ref="D88:F88"/>
    <mergeCell ref="D89:F89"/>
    <mergeCell ref="D90:F90"/>
    <mergeCell ref="D104:F104"/>
    <mergeCell ref="D110:F110"/>
    <mergeCell ref="D111:F111"/>
    <mergeCell ref="D112:F112"/>
    <mergeCell ref="D79:F79"/>
    <mergeCell ref="D80:F80"/>
    <mergeCell ref="D81:F81"/>
    <mergeCell ref="D222:F222"/>
    <mergeCell ref="D223:F223"/>
    <mergeCell ref="D224:F224"/>
    <mergeCell ref="D48:F48"/>
    <mergeCell ref="D49:F49"/>
    <mergeCell ref="D58:F58"/>
    <mergeCell ref="D59:F59"/>
    <mergeCell ref="D60:F60"/>
    <mergeCell ref="D47:F47"/>
    <mergeCell ref="D262:F262"/>
    <mergeCell ref="D263:F263"/>
    <mergeCell ref="D264:F264"/>
    <mergeCell ref="D172:F172"/>
    <mergeCell ref="D158:F158"/>
    <mergeCell ref="D159:F159"/>
    <mergeCell ref="D160:F160"/>
    <mergeCell ref="D180:F180"/>
    <mergeCell ref="D196:F196"/>
    <mergeCell ref="D246:F246"/>
    <mergeCell ref="D247:F247"/>
    <mergeCell ref="D248:F248"/>
    <mergeCell ref="D254:F254"/>
    <mergeCell ref="D255:F255"/>
    <mergeCell ref="D256:F256"/>
    <mergeCell ref="D232:F232"/>
    <mergeCell ref="D233:F233"/>
    <mergeCell ref="D234:F234"/>
    <mergeCell ref="D194:F194"/>
    <mergeCell ref="D195:F195"/>
    <mergeCell ref="D19:F19"/>
    <mergeCell ref="D20:F20"/>
    <mergeCell ref="D21:F21"/>
    <mergeCell ref="D25:F25"/>
    <mergeCell ref="D26:F26"/>
    <mergeCell ref="D27:F27"/>
    <mergeCell ref="E9:G9"/>
    <mergeCell ref="D35:F35"/>
    <mergeCell ref="D36:F36"/>
    <mergeCell ref="D146:F146"/>
    <mergeCell ref="D147:F147"/>
    <mergeCell ref="D148:F148"/>
    <mergeCell ref="D170:F170"/>
    <mergeCell ref="D171:F171"/>
    <mergeCell ref="D188:F188"/>
    <mergeCell ref="D178:F178"/>
    <mergeCell ref="D179:F179"/>
    <mergeCell ref="D68:F68"/>
    <mergeCell ref="D69:F69"/>
    <mergeCell ref="D70:F70"/>
    <mergeCell ref="D116:F116"/>
    <mergeCell ref="D117:F117"/>
    <mergeCell ref="D118:F118"/>
    <mergeCell ref="D126:F126"/>
    <mergeCell ref="D127:F127"/>
    <mergeCell ref="D128:F128"/>
    <mergeCell ref="D136:F136"/>
    <mergeCell ref="D137:F137"/>
    <mergeCell ref="D138:F138"/>
    <mergeCell ref="D102:F102"/>
    <mergeCell ref="D103:F103"/>
    <mergeCell ref="D381:F381"/>
    <mergeCell ref="D382:F382"/>
    <mergeCell ref="D383:F383"/>
    <mergeCell ref="D324:F324"/>
    <mergeCell ref="D325:F325"/>
    <mergeCell ref="D326:F326"/>
    <mergeCell ref="D203:F203"/>
    <mergeCell ref="D204:F204"/>
    <mergeCell ref="D205:F205"/>
    <mergeCell ref="D211:F211"/>
    <mergeCell ref="D212:F212"/>
    <mergeCell ref="D213:F213"/>
    <mergeCell ref="D373:F373"/>
    <mergeCell ref="D374:F374"/>
    <mergeCell ref="D375:F375"/>
    <mergeCell ref="D281:F281"/>
    <mergeCell ref="D282:F282"/>
    <mergeCell ref="D283:F283"/>
    <mergeCell ref="D301:F301"/>
    <mergeCell ref="D302:F302"/>
    <mergeCell ref="D303:F303"/>
    <mergeCell ref="D273:F273"/>
    <mergeCell ref="D274:F274"/>
    <mergeCell ref="A1:G1"/>
    <mergeCell ref="A2:G2"/>
    <mergeCell ref="A3:G3"/>
    <mergeCell ref="D387:F387"/>
    <mergeCell ref="D388:F388"/>
    <mergeCell ref="D389:F389"/>
    <mergeCell ref="D312:F312"/>
    <mergeCell ref="D313:F313"/>
    <mergeCell ref="D314:F314"/>
    <mergeCell ref="D290:F290"/>
    <mergeCell ref="D291:F291"/>
    <mergeCell ref="D292:F292"/>
    <mergeCell ref="D346:F346"/>
    <mergeCell ref="D347:F347"/>
    <mergeCell ref="D348:F348"/>
    <mergeCell ref="D357:F357"/>
    <mergeCell ref="D358:F358"/>
    <mergeCell ref="D359:F359"/>
    <mergeCell ref="D335:F335"/>
    <mergeCell ref="D336:F336"/>
    <mergeCell ref="D337:F337"/>
    <mergeCell ref="D365:F365"/>
    <mergeCell ref="D366:F366"/>
    <mergeCell ref="D367:F367"/>
  </mergeCells>
  <conditionalFormatting sqref="A52:E57 A295:E295 B92:D101 A93:A101 B190:D193 E191:E193 B250:C253 D252:D253 D250">
    <cfRule type="expression" dxfId="37" priority="47" stopIfTrue="1">
      <formula>AND(#REF!&lt;&gt;"COMPOSICAO",#REF!&lt;&gt;"INSUMO",#REF!&lt;&gt;"")</formula>
    </cfRule>
    <cfRule type="expression" dxfId="36" priority="48" stopIfTrue="1">
      <formula>AND(OR(#REF!="COMPOSICAO",#REF!="INSUMO",#REF!&lt;&gt;""),#REF!&lt;&gt;"")</formula>
    </cfRule>
  </conditionalFormatting>
  <conditionalFormatting sqref="E93:F101">
    <cfRule type="expression" dxfId="35" priority="45" stopIfTrue="1">
      <formula>AND(#REF!&lt;&gt;"COMPOSICAO",#REF!&lt;&gt;"INSUMO",#REF!&lt;&gt;"")</formula>
    </cfRule>
    <cfRule type="expression" dxfId="34" priority="46" stopIfTrue="1">
      <formula>AND(OR(#REF!="COMPOSICAO",#REF!="INSUMO",#REF!&lt;&gt;""),#REF!&lt;&gt;"")</formula>
    </cfRule>
  </conditionalFormatting>
  <conditionalFormatting sqref="A107:E107">
    <cfRule type="expression" dxfId="33" priority="43" stopIfTrue="1">
      <formula>AND(#REF!&lt;&gt;"COMPOSICAO",#REF!&lt;&gt;"INSUMO",#REF!&lt;&gt;"")</formula>
    </cfRule>
    <cfRule type="expression" dxfId="32" priority="44" stopIfTrue="1">
      <formula>AND(OR(#REF!="COMPOSICAO",#REF!="INSUMO",#REF!&lt;&gt;""),#REF!&lt;&gt;"")</formula>
    </cfRule>
  </conditionalFormatting>
  <conditionalFormatting sqref="E108:E109">
    <cfRule type="expression" dxfId="31" priority="41" stopIfTrue="1">
      <formula>AND(#REF!&lt;&gt;"COMPOSICAO",#REF!&lt;&gt;"INSUMO",#REF!&lt;&gt;"")</formula>
    </cfRule>
    <cfRule type="expression" dxfId="30" priority="42" stopIfTrue="1">
      <formula>AND(OR(#REF!="COMPOSICAO",#REF!="INSUMO",#REF!&lt;&gt;""),#REF!&lt;&gt;"")</formula>
    </cfRule>
  </conditionalFormatting>
  <conditionalFormatting sqref="E141:E145">
    <cfRule type="expression" dxfId="29" priority="37" stopIfTrue="1">
      <formula>AND(#REF!&lt;&gt;"COMPOSICAO",#REF!&lt;&gt;"INSUMO",#REF!&lt;&gt;"")</formula>
    </cfRule>
    <cfRule type="expression" dxfId="28" priority="38" stopIfTrue="1">
      <formula>AND(OR(#REF!="COMPOSICAO",#REF!="INSUMO",#REF!&lt;&gt;""),#REF!&lt;&gt;"")</formula>
    </cfRule>
  </conditionalFormatting>
  <conditionalFormatting sqref="A191:A193">
    <cfRule type="expression" dxfId="27" priority="33" stopIfTrue="1">
      <formula>AND(#REF!&lt;&gt;"COMPOSICAO",#REF!&lt;&gt;"INSUMO",#REF!&lt;&gt;"")</formula>
    </cfRule>
    <cfRule type="expression" dxfId="26" priority="34" stopIfTrue="1">
      <formula>AND(OR(#REF!="COMPOSICAO",#REF!="INSUMO",#REF!&lt;&gt;""),#REF!&lt;&gt;"")</formula>
    </cfRule>
  </conditionalFormatting>
  <conditionalFormatting sqref="D198">
    <cfRule type="expression" dxfId="25" priority="31" stopIfTrue="1">
      <formula>AND(#REF!&lt;&gt;"COMPOSICAO",#REF!&lt;&gt;"INSUMO",#REF!&lt;&gt;"")</formula>
    </cfRule>
    <cfRule type="expression" dxfId="24" priority="32" stopIfTrue="1">
      <formula>AND(OR(#REF!="COMPOSICAO",#REF!="INSUMO",#REF!&lt;&gt;""),#REF!&lt;&gt;"")</formula>
    </cfRule>
  </conditionalFormatting>
  <conditionalFormatting sqref="D207">
    <cfRule type="expression" dxfId="23" priority="29" stopIfTrue="1">
      <formula>AND(#REF!&lt;&gt;"COMPOSICAO",#REF!&lt;&gt;"INSUMO",#REF!&lt;&gt;"")</formula>
    </cfRule>
    <cfRule type="expression" dxfId="22" priority="30" stopIfTrue="1">
      <formula>AND(OR(#REF!="COMPOSICAO",#REF!="INSUMO",#REF!&lt;&gt;""),#REF!&lt;&gt;"")</formula>
    </cfRule>
  </conditionalFormatting>
  <conditionalFormatting sqref="D215">
    <cfRule type="expression" dxfId="21" priority="27" stopIfTrue="1">
      <formula>AND(#REF!&lt;&gt;"COMPOSICAO",#REF!&lt;&gt;"INSUMO",#REF!&lt;&gt;"")</formula>
    </cfRule>
    <cfRule type="expression" dxfId="20" priority="28" stopIfTrue="1">
      <formula>AND(OR(#REF!="COMPOSICAO",#REF!="INSUMO",#REF!&lt;&gt;""),#REF!&lt;&gt;"")</formula>
    </cfRule>
  </conditionalFormatting>
  <conditionalFormatting sqref="D236">
    <cfRule type="expression" dxfId="19" priority="25" stopIfTrue="1">
      <formula>AND(#REF!&lt;&gt;"COMPOSICAO",#REF!&lt;&gt;"INSUMO",#REF!&lt;&gt;"")</formula>
    </cfRule>
    <cfRule type="expression" dxfId="18" priority="26" stopIfTrue="1">
      <formula>AND(OR(#REF!="COMPOSICAO",#REF!="INSUMO",#REF!&lt;&gt;""),#REF!&lt;&gt;"")</formula>
    </cfRule>
  </conditionalFormatting>
  <conditionalFormatting sqref="A251:A253">
    <cfRule type="expression" dxfId="17" priority="23" stopIfTrue="1">
      <formula>AND(#REF!&lt;&gt;"COMPOSICAO",#REF!&lt;&gt;"INSUMO",#REF!&lt;&gt;"")</formula>
    </cfRule>
    <cfRule type="expression" dxfId="16" priority="24" stopIfTrue="1">
      <formula>AND(OR(#REF!="COMPOSICAO",#REF!="INSUMO",#REF!&lt;&gt;""),#REF!&lt;&gt;"")</formula>
    </cfRule>
  </conditionalFormatting>
  <conditionalFormatting sqref="D250">
    <cfRule type="expression" dxfId="15" priority="21" stopIfTrue="1">
      <formula>AND(#REF!&lt;&gt;"COMPOSICAO",#REF!&lt;&gt;"INSUMO",#REF!&lt;&gt;"")</formula>
    </cfRule>
    <cfRule type="expression" dxfId="14" priority="22" stopIfTrue="1">
      <formula>AND(OR(#REF!="COMPOSICAO",#REF!="INSUMO",#REF!&lt;&gt;""),#REF!&lt;&gt;"")</formula>
    </cfRule>
  </conditionalFormatting>
  <conditionalFormatting sqref="A277:E280">
    <cfRule type="expression" dxfId="13" priority="51" stopIfTrue="1">
      <formula>AND(#REF!&lt;&gt;"COMPOSICAO",#REF!&lt;&gt;"INSUMO",#REF!&lt;&gt;"")</formula>
    </cfRule>
    <cfRule type="expression" dxfId="12" priority="52" stopIfTrue="1">
      <formula>AND(OR(#REF!="COMPOSICAO",#REF!="INSUMO",#REF!&lt;&gt;""),#REF!&lt;&gt;"")</formula>
    </cfRule>
  </conditionalFormatting>
  <conditionalFormatting sqref="D296">
    <cfRule type="expression" dxfId="11" priority="7" stopIfTrue="1">
      <formula>AND(#REF!&lt;&gt;"COMPOSICAO",#REF!&lt;&gt;"INSUMO",#REF!&lt;&gt;"")</formula>
    </cfRule>
    <cfRule type="expression" dxfId="10" priority="8" stopIfTrue="1">
      <formula>AND(OR(#REF!="COMPOSICAO",#REF!="INSUMO",#REF!&lt;&gt;""),#REF!&lt;&gt;"")</formula>
    </cfRule>
  </conditionalFormatting>
  <conditionalFormatting sqref="A287:E287">
    <cfRule type="expression" dxfId="9" priority="15" stopIfTrue="1">
      <formula>AND(#REF!&lt;&gt;"COMPOSICAO",#REF!&lt;&gt;"INSUMO",#REF!&lt;&gt;"")</formula>
    </cfRule>
    <cfRule type="expression" dxfId="8" priority="16" stopIfTrue="1">
      <formula>AND(OR(#REF!="COMPOSICAO",#REF!="INSUMO",#REF!&lt;&gt;""),#REF!&lt;&gt;"")</formula>
    </cfRule>
  </conditionalFormatting>
  <conditionalFormatting sqref="A288:E289">
    <cfRule type="expression" dxfId="7" priority="13" stopIfTrue="1">
      <formula>AND(#REF!&lt;&gt;"COMPOSICAO",#REF!&lt;&gt;"INSUMO",#REF!&lt;&gt;"")</formula>
    </cfRule>
    <cfRule type="expression" dxfId="6" priority="14" stopIfTrue="1">
      <formula>AND(OR(#REF!="COMPOSICAO",#REF!="INSUMO",#REF!&lt;&gt;""),#REF!&lt;&gt;"")</formula>
    </cfRule>
  </conditionalFormatting>
  <conditionalFormatting sqref="A286:B286">
    <cfRule type="expression" dxfId="5" priority="11" stopIfTrue="1">
      <formula>AND(#REF!&lt;&gt;"COMPOSICAO",#REF!&lt;&gt;"INSUMO",#REF!&lt;&gt;"")</formula>
    </cfRule>
    <cfRule type="expression" dxfId="4" priority="12" stopIfTrue="1">
      <formula>AND(OR(#REF!="COMPOSICAO",#REF!="INSUMO",#REF!&lt;&gt;""),#REF!&lt;&gt;"")</formula>
    </cfRule>
  </conditionalFormatting>
  <conditionalFormatting sqref="A296:B296">
    <cfRule type="expression" dxfId="3" priority="3" stopIfTrue="1">
      <formula>AND(#REF!&lt;&gt;"COMPOSICAO",#REF!&lt;&gt;"INSUMO",#REF!&lt;&gt;"")</formula>
    </cfRule>
    <cfRule type="expression" dxfId="2" priority="4" stopIfTrue="1">
      <formula>AND(OR(#REF!="COMPOSICAO",#REF!="INSUMO",#REF!&lt;&gt;""),#REF!&lt;&gt;"")</formula>
    </cfRule>
  </conditionalFormatting>
  <conditionalFormatting sqref="A297:E300">
    <cfRule type="expression" dxfId="1" priority="55" stopIfTrue="1">
      <formula>AND(#REF!&lt;&gt;"COMPOSICAO",#REF!&lt;&gt;"INSUMO",#REF!&lt;&gt;"")</formula>
    </cfRule>
    <cfRule type="expression" dxfId="0" priority="56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3" orientation="portrait" r:id="rId1"/>
  <rowBreaks count="5" manualBreakCount="5">
    <brk id="90" max="6" man="1"/>
    <brk id="160" max="6" man="1"/>
    <brk id="234" max="6" man="1"/>
    <brk id="314" max="6" man="1"/>
    <brk id="348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0"/>
  <sheetViews>
    <sheetView zoomScaleNormal="100" workbookViewId="0">
      <selection activeCell="M21" sqref="M21"/>
    </sheetView>
  </sheetViews>
  <sheetFormatPr defaultRowHeight="14.25"/>
  <cols>
    <col min="1" max="1" width="9.28515625" style="163" bestFit="1" customWidth="1"/>
    <col min="2" max="2" width="59" style="163" bestFit="1" customWidth="1"/>
    <col min="3" max="3" width="15.85546875" style="163" bestFit="1" customWidth="1"/>
    <col min="4" max="5" width="12.28515625" style="163" bestFit="1" customWidth="1"/>
    <col min="6" max="9" width="12.85546875" style="163" bestFit="1" customWidth="1"/>
    <col min="10" max="10" width="12.7109375" style="163" bestFit="1" customWidth="1"/>
    <col min="11" max="11" width="6.28515625" style="163" bestFit="1" customWidth="1"/>
    <col min="12" max="16384" width="9.140625" style="163"/>
  </cols>
  <sheetData>
    <row r="1" spans="1:11" ht="15">
      <c r="A1" s="162"/>
      <c r="B1" s="278" t="s">
        <v>462</v>
      </c>
      <c r="C1" s="278"/>
      <c r="D1" s="278"/>
      <c r="E1" s="278"/>
      <c r="F1" s="278"/>
      <c r="G1" s="278"/>
      <c r="H1" s="278"/>
    </row>
    <row r="2" spans="1:11" ht="15">
      <c r="A2" s="162"/>
      <c r="B2" s="278" t="s">
        <v>463</v>
      </c>
      <c r="C2" s="278"/>
      <c r="D2" s="278"/>
      <c r="E2" s="278"/>
      <c r="F2" s="278"/>
      <c r="G2" s="278"/>
      <c r="H2" s="278"/>
    </row>
    <row r="3" spans="1:11" ht="15">
      <c r="A3" s="164"/>
      <c r="B3" s="279" t="s">
        <v>464</v>
      </c>
      <c r="C3" s="279"/>
      <c r="D3" s="279"/>
      <c r="E3" s="279"/>
      <c r="F3" s="279"/>
      <c r="G3" s="279"/>
      <c r="H3" s="279"/>
    </row>
    <row r="4" spans="1:11" ht="15">
      <c r="A4" s="164"/>
      <c r="B4" s="165"/>
      <c r="C4" s="165"/>
      <c r="D4" s="165"/>
      <c r="E4" s="165"/>
      <c r="F4" s="165"/>
      <c r="G4" s="165"/>
      <c r="H4" s="165"/>
    </row>
    <row r="5" spans="1:11" ht="43.5" customHeight="1">
      <c r="A5" s="280" t="str">
        <f>Planilha!A6</f>
        <v>OBJETO: EXECUÇÃO DE OBRAS E SERVIÇOS DE ENGENHARIA RELATIVOS À CONSTRUÇÃO DE UMA PRAÇA NO MUNICÍPIO DE CORRENTINA/BA, ÁREA DE ATUAÇÃO DA 2ª SUPERINTENDÊNCIA REGIONAL DA CODEVASF, NO ESTADO DA BAHIA.</v>
      </c>
      <c r="B5" s="280"/>
      <c r="C5" s="280"/>
      <c r="D5" s="280"/>
      <c r="E5" s="280"/>
      <c r="F5" s="280"/>
      <c r="G5" s="280"/>
      <c r="H5" s="280"/>
    </row>
    <row r="6" spans="1:11" ht="15">
      <c r="A6" s="277" t="s">
        <v>465</v>
      </c>
      <c r="B6" s="277"/>
      <c r="C6" s="277"/>
      <c r="D6" s="277"/>
      <c r="E6" s="277"/>
      <c r="F6" s="277"/>
      <c r="G6" s="277"/>
      <c r="H6" s="277"/>
    </row>
    <row r="7" spans="1:11" ht="15.75" thickBot="1">
      <c r="A7" s="166"/>
      <c r="B7" s="166"/>
      <c r="C7" s="166"/>
      <c r="D7" s="166"/>
      <c r="E7" s="166"/>
      <c r="F7" s="166"/>
      <c r="G7" s="166"/>
      <c r="H7" s="166"/>
    </row>
    <row r="8" spans="1:11" ht="15.75" thickBot="1">
      <c r="A8" s="79" t="s">
        <v>4</v>
      </c>
      <c r="B8" s="80" t="s">
        <v>5</v>
      </c>
      <c r="C8" s="80" t="s">
        <v>20</v>
      </c>
      <c r="D8" s="80" t="s">
        <v>10</v>
      </c>
      <c r="E8" s="81" t="s">
        <v>466</v>
      </c>
      <c r="F8" s="82" t="s">
        <v>467</v>
      </c>
      <c r="G8" s="80" t="s">
        <v>468</v>
      </c>
      <c r="H8" s="83" t="s">
        <v>469</v>
      </c>
      <c r="I8" s="83" t="s">
        <v>470</v>
      </c>
    </row>
    <row r="9" spans="1:11" ht="15" thickBot="1">
      <c r="A9" s="274">
        <v>1</v>
      </c>
      <c r="B9" s="275" t="str">
        <f>Planilha!B15</f>
        <v>SERVIÇOS PRELIMINARES</v>
      </c>
      <c r="C9" s="276">
        <f>Planilha!G21</f>
        <v>44743.199999999997</v>
      </c>
      <c r="D9" s="84">
        <v>0.25</v>
      </c>
      <c r="E9" s="84">
        <v>0.2</v>
      </c>
      <c r="F9" s="84">
        <v>0.15</v>
      </c>
      <c r="G9" s="84">
        <v>0.15</v>
      </c>
      <c r="H9" s="170">
        <v>0.15</v>
      </c>
      <c r="I9" s="170">
        <v>0.1</v>
      </c>
      <c r="K9" s="182"/>
    </row>
    <row r="10" spans="1:11" ht="15" thickTop="1">
      <c r="A10" s="267"/>
      <c r="B10" s="269"/>
      <c r="C10" s="271"/>
      <c r="D10" s="85">
        <f>$C$9*0.25</f>
        <v>11185.8</v>
      </c>
      <c r="E10" s="85">
        <f>$C$9*0.2</f>
        <v>8948.64</v>
      </c>
      <c r="F10" s="85">
        <f>$C$9*0.15</f>
        <v>6711.48</v>
      </c>
      <c r="G10" s="85">
        <f>$C$9*0.15</f>
        <v>6711.48</v>
      </c>
      <c r="H10" s="171">
        <f>$C$9*0.15</f>
        <v>6711.48</v>
      </c>
      <c r="I10" s="171">
        <f>$C$9*0.1</f>
        <v>4474.32</v>
      </c>
      <c r="J10" s="178"/>
    </row>
    <row r="11" spans="1:11" ht="15" customHeight="1" thickBot="1">
      <c r="A11" s="160">
        <v>2</v>
      </c>
      <c r="B11" s="168" t="str">
        <f>Planilha!B22</f>
        <v>CONSTRUÇÃO DA PRAÇA DO POVOADO DE ROSÁRIO</v>
      </c>
      <c r="C11" s="270">
        <f>Planilha!G25</f>
        <v>1120.31</v>
      </c>
      <c r="D11" s="169"/>
      <c r="E11" s="169"/>
      <c r="F11" s="169"/>
      <c r="G11" s="169"/>
      <c r="H11" s="172"/>
      <c r="I11" s="172"/>
      <c r="J11" s="178"/>
    </row>
    <row r="12" spans="1:11" ht="15" customHeight="1" thickBot="1">
      <c r="A12" s="266" t="s">
        <v>44</v>
      </c>
      <c r="B12" s="272" t="str">
        <f>Planilha!B23</f>
        <v>ACOMPANHAMENTO TOPOGRÁFICO</v>
      </c>
      <c r="C12" s="273"/>
      <c r="D12" s="84">
        <v>0.25</v>
      </c>
      <c r="E12" s="84">
        <v>0.25</v>
      </c>
      <c r="F12" s="84">
        <v>0.25</v>
      </c>
      <c r="G12" s="84">
        <v>0.25</v>
      </c>
      <c r="H12" s="181"/>
      <c r="I12" s="181"/>
      <c r="J12" s="178"/>
      <c r="K12" s="182"/>
    </row>
    <row r="13" spans="1:11" ht="15" customHeight="1" thickTop="1" thickBot="1">
      <c r="A13" s="267"/>
      <c r="B13" s="269"/>
      <c r="C13" s="271"/>
      <c r="D13" s="85">
        <f>$C$11*0.25</f>
        <v>280.07749999999999</v>
      </c>
      <c r="E13" s="85">
        <f>$C$11*0.25</f>
        <v>280.07749999999999</v>
      </c>
      <c r="F13" s="85">
        <f>$C$11*0.25</f>
        <v>280.07749999999999</v>
      </c>
      <c r="G13" s="85">
        <f>$C$11*0.25</f>
        <v>280.07749999999999</v>
      </c>
      <c r="H13" s="173"/>
      <c r="I13" s="173"/>
      <c r="J13" s="178"/>
      <c r="K13" s="182"/>
    </row>
    <row r="14" spans="1:11" ht="15" thickBot="1">
      <c r="A14" s="266" t="s">
        <v>190</v>
      </c>
      <c r="B14" s="268" t="str">
        <f>Planilha!B26</f>
        <v>GUIAS E PAVIMENTAÇÃO</v>
      </c>
      <c r="C14" s="270">
        <f>Planilha!G33</f>
        <v>112697.33</v>
      </c>
      <c r="D14" s="84">
        <v>0.2</v>
      </c>
      <c r="E14" s="84">
        <v>0.2</v>
      </c>
      <c r="F14" s="84">
        <v>0.2</v>
      </c>
      <c r="G14" s="84">
        <v>0.2</v>
      </c>
      <c r="H14" s="170">
        <v>0.1</v>
      </c>
      <c r="I14" s="170">
        <v>0.1</v>
      </c>
      <c r="J14" s="178"/>
      <c r="K14" s="182"/>
    </row>
    <row r="15" spans="1:11" ht="15.75" thickTop="1" thickBot="1">
      <c r="A15" s="267"/>
      <c r="B15" s="269"/>
      <c r="C15" s="271"/>
      <c r="D15" s="85">
        <f>$C$14*0.2</f>
        <v>22539.466</v>
      </c>
      <c r="E15" s="85">
        <f>$C$14*0.2</f>
        <v>22539.466</v>
      </c>
      <c r="F15" s="85">
        <f>$C$14*0.2</f>
        <v>22539.466</v>
      </c>
      <c r="G15" s="85">
        <f>$C$14*0.2</f>
        <v>22539.466</v>
      </c>
      <c r="H15" s="171">
        <f>$C$14*0.1</f>
        <v>11269.733</v>
      </c>
      <c r="I15" s="171">
        <f>$C$14*0.1</f>
        <v>11269.733</v>
      </c>
      <c r="J15" s="178"/>
      <c r="K15" s="182"/>
    </row>
    <row r="16" spans="1:11" ht="15" thickBot="1">
      <c r="A16" s="266" t="s">
        <v>191</v>
      </c>
      <c r="B16" s="268" t="str">
        <f>Planilha!B34</f>
        <v>CONSTRUÇÃO DE PERGOLADO - x 1</v>
      </c>
      <c r="C16" s="270">
        <f>Planilha!G46</f>
        <v>39723.53</v>
      </c>
      <c r="D16" s="84">
        <v>0.2</v>
      </c>
      <c r="E16" s="84">
        <v>0.2</v>
      </c>
      <c r="F16" s="84">
        <v>0.2</v>
      </c>
      <c r="G16" s="84">
        <v>0.2</v>
      </c>
      <c r="H16" s="170">
        <v>0.1</v>
      </c>
      <c r="I16" s="170">
        <v>0.1</v>
      </c>
      <c r="J16" s="178"/>
      <c r="K16" s="182"/>
    </row>
    <row r="17" spans="1:11" ht="15.75" thickTop="1" thickBot="1">
      <c r="A17" s="267"/>
      <c r="B17" s="269"/>
      <c r="C17" s="271"/>
      <c r="D17" s="85">
        <f>$C$16*0.2</f>
        <v>7944.7060000000001</v>
      </c>
      <c r="E17" s="85">
        <f>$C$16*0.2</f>
        <v>7944.7060000000001</v>
      </c>
      <c r="F17" s="85">
        <f>$C$16*0.2</f>
        <v>7944.7060000000001</v>
      </c>
      <c r="G17" s="85">
        <f>$C$16*0.2</f>
        <v>7944.7060000000001</v>
      </c>
      <c r="H17" s="171">
        <f>$C$16*0.1</f>
        <v>3972.3530000000001</v>
      </c>
      <c r="I17" s="171">
        <f>$C$16*0.1</f>
        <v>3972.3530000000001</v>
      </c>
      <c r="J17" s="178"/>
      <c r="K17" s="182"/>
    </row>
    <row r="18" spans="1:11" ht="15" thickBot="1">
      <c r="A18" s="266" t="s">
        <v>192</v>
      </c>
      <c r="B18" s="272" t="str">
        <f>Planilha!B47</f>
        <v>CONSTRUÇÃO DE MINI PALCO</v>
      </c>
      <c r="C18" s="273">
        <f>Planilha!G59</f>
        <v>9774.989999999998</v>
      </c>
      <c r="D18" s="84">
        <v>0.2</v>
      </c>
      <c r="E18" s="84">
        <v>0.2</v>
      </c>
      <c r="F18" s="84">
        <v>0.2</v>
      </c>
      <c r="G18" s="84">
        <v>0.2</v>
      </c>
      <c r="H18" s="170">
        <v>0.1</v>
      </c>
      <c r="I18" s="170">
        <v>0.1</v>
      </c>
      <c r="J18" s="178"/>
      <c r="K18" s="182"/>
    </row>
    <row r="19" spans="1:11" ht="15.75" thickTop="1" thickBot="1">
      <c r="A19" s="267"/>
      <c r="B19" s="269"/>
      <c r="C19" s="271"/>
      <c r="D19" s="85">
        <f>$C$18*0.2</f>
        <v>1954.9979999999996</v>
      </c>
      <c r="E19" s="85">
        <f>$C$18*0.2</f>
        <v>1954.9979999999996</v>
      </c>
      <c r="F19" s="85">
        <f>$C$18*0.2</f>
        <v>1954.9979999999996</v>
      </c>
      <c r="G19" s="85">
        <f>$C$18*0.2</f>
        <v>1954.9979999999996</v>
      </c>
      <c r="H19" s="171">
        <f>$C$18*0.1</f>
        <v>977.4989999999998</v>
      </c>
      <c r="I19" s="171">
        <f>$C$18*0.1</f>
        <v>977.4989999999998</v>
      </c>
      <c r="J19" s="178"/>
      <c r="K19" s="182"/>
    </row>
    <row r="20" spans="1:11" ht="15" thickBot="1">
      <c r="A20" s="266" t="s">
        <v>193</v>
      </c>
      <c r="B20" s="268" t="str">
        <f>Planilha!B60</f>
        <v>CONSTRUÇÃO DE PÓRTICO DE CONCRETO - x 12</v>
      </c>
      <c r="C20" s="270">
        <f>Planilha!G67</f>
        <v>9099.08</v>
      </c>
      <c r="D20" s="84">
        <v>0.2</v>
      </c>
      <c r="E20" s="84">
        <v>0.2</v>
      </c>
      <c r="F20" s="84">
        <v>0.2</v>
      </c>
      <c r="G20" s="84">
        <v>0.2</v>
      </c>
      <c r="H20" s="170">
        <v>0.1</v>
      </c>
      <c r="I20" s="170">
        <v>0.1</v>
      </c>
      <c r="J20" s="178"/>
      <c r="K20" s="182"/>
    </row>
    <row r="21" spans="1:11" ht="15.75" thickTop="1" thickBot="1">
      <c r="A21" s="267"/>
      <c r="B21" s="269"/>
      <c r="C21" s="271"/>
      <c r="D21" s="85">
        <f>$C$20*0.2</f>
        <v>1819.816</v>
      </c>
      <c r="E21" s="85">
        <f>$C$20*0.2</f>
        <v>1819.816</v>
      </c>
      <c r="F21" s="85">
        <f>$C$20*0.2</f>
        <v>1819.816</v>
      </c>
      <c r="G21" s="85">
        <f>$C$20*0.2</f>
        <v>1819.816</v>
      </c>
      <c r="H21" s="171">
        <f>$C$20*0.1</f>
        <v>909.90800000000002</v>
      </c>
      <c r="I21" s="171">
        <f>$C$20*0.1</f>
        <v>909.90800000000002</v>
      </c>
      <c r="J21" s="178"/>
      <c r="K21" s="182"/>
    </row>
    <row r="22" spans="1:11" ht="15" thickBot="1">
      <c r="A22" s="266" t="s">
        <v>194</v>
      </c>
      <c r="B22" s="268" t="str">
        <f>Planilha!B68</f>
        <v>INSTALAÇÃO DE PARQUE INFANTIL</v>
      </c>
      <c r="C22" s="270">
        <f>Planilha!G71</f>
        <v>11749.099999999999</v>
      </c>
      <c r="D22" s="180"/>
      <c r="E22" s="84">
        <v>0.2</v>
      </c>
      <c r="F22" s="84">
        <v>0.2</v>
      </c>
      <c r="G22" s="84">
        <v>0.2</v>
      </c>
      <c r="H22" s="170">
        <v>0.2</v>
      </c>
      <c r="I22" s="170">
        <v>0.2</v>
      </c>
      <c r="J22" s="178"/>
      <c r="K22" s="182"/>
    </row>
    <row r="23" spans="1:11" ht="15.75" thickTop="1" thickBot="1">
      <c r="A23" s="267"/>
      <c r="B23" s="269"/>
      <c r="C23" s="271"/>
      <c r="D23" s="95"/>
      <c r="E23" s="85">
        <f>$C$22*0.2</f>
        <v>2349.8199999999997</v>
      </c>
      <c r="F23" s="85">
        <f>$C$22*0.2</f>
        <v>2349.8199999999997</v>
      </c>
      <c r="G23" s="85">
        <f>$C$22*0.2</f>
        <v>2349.8199999999997</v>
      </c>
      <c r="H23" s="171">
        <f>$C$22*0.2</f>
        <v>2349.8199999999997</v>
      </c>
      <c r="I23" s="171">
        <f>$C$22*0.2</f>
        <v>2349.8199999999997</v>
      </c>
      <c r="J23" s="178"/>
      <c r="K23" s="182"/>
    </row>
    <row r="24" spans="1:11" ht="15" thickBot="1">
      <c r="A24" s="266" t="s">
        <v>195</v>
      </c>
      <c r="B24" s="268" t="str">
        <f>Planilha!B72</f>
        <v>ACADEMIA AO AR LIVRE</v>
      </c>
      <c r="C24" s="270">
        <f>Planilha!G75</f>
        <v>12460.37</v>
      </c>
      <c r="D24" s="180"/>
      <c r="E24" s="84">
        <v>0.2</v>
      </c>
      <c r="F24" s="84">
        <v>0.2</v>
      </c>
      <c r="G24" s="84">
        <v>0.2</v>
      </c>
      <c r="H24" s="170">
        <v>0.2</v>
      </c>
      <c r="I24" s="170">
        <v>0.2</v>
      </c>
      <c r="J24" s="178"/>
      <c r="K24" s="182"/>
    </row>
    <row r="25" spans="1:11" ht="15.75" thickTop="1" thickBot="1">
      <c r="A25" s="267"/>
      <c r="B25" s="269"/>
      <c r="C25" s="271"/>
      <c r="D25" s="95"/>
      <c r="E25" s="85">
        <f>$C$24*0.2</f>
        <v>2492.0740000000005</v>
      </c>
      <c r="F25" s="85">
        <f>$C$24*0.2</f>
        <v>2492.0740000000005</v>
      </c>
      <c r="G25" s="85">
        <f>$C$24*0.2</f>
        <v>2492.0740000000005</v>
      </c>
      <c r="H25" s="171">
        <f>$C$24*0.2</f>
        <v>2492.0740000000005</v>
      </c>
      <c r="I25" s="171">
        <f>$C$24*0.2</f>
        <v>2492.0740000000005</v>
      </c>
      <c r="J25" s="178"/>
      <c r="K25" s="182"/>
    </row>
    <row r="26" spans="1:11" ht="15" thickBot="1">
      <c r="A26" s="266" t="s">
        <v>196</v>
      </c>
      <c r="B26" s="268" t="str">
        <f>Planilha!B76</f>
        <v>INSTALAÇÕES ELÉTRICAS</v>
      </c>
      <c r="C26" s="270">
        <f>Planilha!G82</f>
        <v>8549.4500000000007</v>
      </c>
      <c r="D26" s="180"/>
      <c r="E26" s="84">
        <v>0.2</v>
      </c>
      <c r="F26" s="84">
        <v>0.2</v>
      </c>
      <c r="G26" s="84">
        <v>0.2</v>
      </c>
      <c r="H26" s="170">
        <v>0.2</v>
      </c>
      <c r="I26" s="170">
        <v>0.2</v>
      </c>
      <c r="J26" s="178"/>
      <c r="K26" s="182"/>
    </row>
    <row r="27" spans="1:11" ht="15.75" thickTop="1" thickBot="1">
      <c r="A27" s="267"/>
      <c r="B27" s="269"/>
      <c r="C27" s="271"/>
      <c r="D27" s="95"/>
      <c r="E27" s="85">
        <f>$C$26*0.2</f>
        <v>1709.8900000000003</v>
      </c>
      <c r="F27" s="85">
        <f>$C$26*0.2</f>
        <v>1709.8900000000003</v>
      </c>
      <c r="G27" s="85">
        <f>$C$26*0.2</f>
        <v>1709.8900000000003</v>
      </c>
      <c r="H27" s="171">
        <f>$C$26*0.2</f>
        <v>1709.8900000000003</v>
      </c>
      <c r="I27" s="171">
        <f>$C$26*0.2</f>
        <v>1709.8900000000003</v>
      </c>
      <c r="J27" s="178"/>
      <c r="K27" s="182"/>
    </row>
    <row r="28" spans="1:11" ht="15" thickBot="1">
      <c r="A28" s="266" t="s">
        <v>256</v>
      </c>
      <c r="B28" s="268" t="str">
        <f>Planilha!B83</f>
        <v>JARDINAGEM / ARBORIZAÇÃO</v>
      </c>
      <c r="C28" s="270">
        <f>Planilha!G87</f>
        <v>26189.870000000003</v>
      </c>
      <c r="D28" s="180"/>
      <c r="E28" s="180"/>
      <c r="F28" s="180"/>
      <c r="G28" s="84">
        <v>0.1</v>
      </c>
      <c r="H28" s="170">
        <v>0.5</v>
      </c>
      <c r="I28" s="170">
        <v>0.4</v>
      </c>
      <c r="J28" s="178"/>
      <c r="K28" s="182"/>
    </row>
    <row r="29" spans="1:11" ht="15.75" thickTop="1" thickBot="1">
      <c r="A29" s="267"/>
      <c r="B29" s="269"/>
      <c r="C29" s="271"/>
      <c r="D29" s="95"/>
      <c r="E29" s="95"/>
      <c r="F29" s="95"/>
      <c r="G29" s="85">
        <f>$C$28*0.1</f>
        <v>2618.9870000000005</v>
      </c>
      <c r="H29" s="171">
        <f>$C$28*0.5</f>
        <v>13094.935000000001</v>
      </c>
      <c r="I29" s="171">
        <f>$C$28*0.4</f>
        <v>10475.948000000002</v>
      </c>
      <c r="J29" s="178"/>
      <c r="K29" s="182"/>
    </row>
    <row r="30" spans="1:11" ht="15" thickBot="1">
      <c r="A30" s="266" t="s">
        <v>258</v>
      </c>
      <c r="B30" s="268" t="str">
        <f>Planilha!B88</f>
        <v>ELEMENTOS COMPLEMENTARES</v>
      </c>
      <c r="C30" s="270">
        <f>Planilha!G92</f>
        <v>14415.96</v>
      </c>
      <c r="D30" s="180"/>
      <c r="E30" s="180"/>
      <c r="F30" s="84">
        <v>0.25</v>
      </c>
      <c r="G30" s="84">
        <v>0.25</v>
      </c>
      <c r="H30" s="170">
        <v>0.25</v>
      </c>
      <c r="I30" s="170">
        <v>0.25</v>
      </c>
      <c r="J30" s="178"/>
      <c r="K30" s="182"/>
    </row>
    <row r="31" spans="1:11" ht="15.75" thickTop="1" thickBot="1">
      <c r="A31" s="267"/>
      <c r="B31" s="269"/>
      <c r="C31" s="271"/>
      <c r="D31" s="95"/>
      <c r="E31" s="95"/>
      <c r="F31" s="85">
        <f>$C$30*0.25</f>
        <v>3603.99</v>
      </c>
      <c r="G31" s="85">
        <f>$C$30*0.25</f>
        <v>3603.99</v>
      </c>
      <c r="H31" s="171">
        <f>$C$30*0.25</f>
        <v>3603.99</v>
      </c>
      <c r="I31" s="171">
        <f>$C$30*0.25</f>
        <v>3603.99</v>
      </c>
      <c r="J31" s="178"/>
      <c r="K31" s="182"/>
    </row>
    <row r="32" spans="1:11" ht="15" thickBot="1">
      <c r="A32" s="266" t="s">
        <v>296</v>
      </c>
      <c r="B32" s="268" t="str">
        <f>Planilha!B93</f>
        <v>ENTREGA DA OBRA</v>
      </c>
      <c r="C32" s="270">
        <f>Planilha!G95</f>
        <v>2178.37</v>
      </c>
      <c r="D32" s="180"/>
      <c r="E32" s="180"/>
      <c r="F32" s="180"/>
      <c r="G32" s="84">
        <v>0.25</v>
      </c>
      <c r="H32" s="170">
        <v>0.5</v>
      </c>
      <c r="I32" s="170">
        <v>0.25</v>
      </c>
      <c r="J32" s="178"/>
      <c r="K32" s="182"/>
    </row>
    <row r="33" spans="1:11" ht="15.75" thickTop="1" thickBot="1">
      <c r="A33" s="267"/>
      <c r="B33" s="272"/>
      <c r="C33" s="273"/>
      <c r="D33" s="95"/>
      <c r="E33" s="95"/>
      <c r="F33" s="95"/>
      <c r="G33" s="85">
        <f>$C$32*0.25</f>
        <v>544.59249999999997</v>
      </c>
      <c r="H33" s="171">
        <f>$C$32*0.5</f>
        <v>1089.1849999999999</v>
      </c>
      <c r="I33" s="171">
        <f>$C$32*0.25</f>
        <v>544.59249999999997</v>
      </c>
      <c r="J33" s="178"/>
    </row>
    <row r="34" spans="1:11" ht="15">
      <c r="A34" s="260" t="s">
        <v>471</v>
      </c>
      <c r="B34" s="261"/>
      <c r="C34" s="86">
        <f>SUM(C9:C32)</f>
        <v>292701.56</v>
      </c>
      <c r="D34" s="87">
        <f t="shared" ref="D34:I34" si="0">SUM(D10,D13,D15,D17,D19,D21,D23,D33,D25,D27,D29,D31,)</f>
        <v>45724.863499999999</v>
      </c>
      <c r="E34" s="87">
        <f t="shared" si="0"/>
        <v>50039.487499999996</v>
      </c>
      <c r="F34" s="87">
        <f t="shared" si="0"/>
        <v>51406.317499999997</v>
      </c>
      <c r="G34" s="87">
        <f t="shared" si="0"/>
        <v>54569.896999999997</v>
      </c>
      <c r="H34" s="174">
        <f t="shared" si="0"/>
        <v>48180.866999999998</v>
      </c>
      <c r="I34" s="174">
        <f t="shared" si="0"/>
        <v>42780.127499999995</v>
      </c>
      <c r="J34" s="178"/>
      <c r="K34" s="182"/>
    </row>
    <row r="35" spans="1:11" ht="15">
      <c r="A35" s="262" t="s">
        <v>6</v>
      </c>
      <c r="B35" s="263"/>
      <c r="C35" s="88">
        <v>1</v>
      </c>
      <c r="D35" s="89">
        <f>D34/C34</f>
        <v>0.15621667168429168</v>
      </c>
      <c r="E35" s="89">
        <f>E34/C34</f>
        <v>0.1709573652426041</v>
      </c>
      <c r="F35" s="89">
        <f>F34/C34</f>
        <v>0.17562707045360468</v>
      </c>
      <c r="G35" s="89">
        <f>G34/C34</f>
        <v>0.18643527899202175</v>
      </c>
      <c r="H35" s="175">
        <f>H34/C34</f>
        <v>0.16460748278895404</v>
      </c>
      <c r="I35" s="175">
        <f>I34/C34</f>
        <v>0.14615613083852369</v>
      </c>
      <c r="J35" s="179"/>
    </row>
    <row r="36" spans="1:11" ht="15">
      <c r="A36" s="262" t="s">
        <v>472</v>
      </c>
      <c r="B36" s="263"/>
      <c r="C36" s="90">
        <f>C34</f>
        <v>292701.56</v>
      </c>
      <c r="D36" s="91">
        <f>D34</f>
        <v>45724.863499999999</v>
      </c>
      <c r="E36" s="92">
        <f>D36+E34</f>
        <v>95764.350999999995</v>
      </c>
      <c r="F36" s="92">
        <f>E36+F34</f>
        <v>147170.6685</v>
      </c>
      <c r="G36" s="91">
        <f>F36+G34</f>
        <v>201740.5655</v>
      </c>
      <c r="H36" s="176">
        <f>G36+H34</f>
        <v>249921.4325</v>
      </c>
      <c r="I36" s="176">
        <f>H36+I34</f>
        <v>292701.56</v>
      </c>
      <c r="J36" s="178"/>
    </row>
    <row r="37" spans="1:11" ht="15.75" thickBot="1">
      <c r="A37" s="264" t="s">
        <v>473</v>
      </c>
      <c r="B37" s="265"/>
      <c r="C37" s="93">
        <v>1</v>
      </c>
      <c r="D37" s="94">
        <f>D36/C34</f>
        <v>0.15621667168429168</v>
      </c>
      <c r="E37" s="94">
        <f t="shared" ref="E37:I37" si="1">D37+E35</f>
        <v>0.32717403692689578</v>
      </c>
      <c r="F37" s="94">
        <f t="shared" si="1"/>
        <v>0.50280110738050043</v>
      </c>
      <c r="G37" s="94">
        <f t="shared" si="1"/>
        <v>0.68923638637252216</v>
      </c>
      <c r="H37" s="177">
        <f t="shared" si="1"/>
        <v>0.85384386916147625</v>
      </c>
      <c r="I37" s="177">
        <f t="shared" si="1"/>
        <v>1</v>
      </c>
    </row>
    <row r="40" spans="1:11">
      <c r="C40" s="167"/>
    </row>
  </sheetData>
  <mergeCells count="45">
    <mergeCell ref="A6:H6"/>
    <mergeCell ref="B1:H1"/>
    <mergeCell ref="B2:H2"/>
    <mergeCell ref="B3:H3"/>
    <mergeCell ref="A5:H5"/>
    <mergeCell ref="A9:A10"/>
    <mergeCell ref="B9:B10"/>
    <mergeCell ref="C9:C10"/>
    <mergeCell ref="A12:A13"/>
    <mergeCell ref="B12:B13"/>
    <mergeCell ref="C11:C13"/>
    <mergeCell ref="A14:A15"/>
    <mergeCell ref="B14:B15"/>
    <mergeCell ref="C14:C15"/>
    <mergeCell ref="A16:A17"/>
    <mergeCell ref="B16:B17"/>
    <mergeCell ref="C16:C17"/>
    <mergeCell ref="C22:C23"/>
    <mergeCell ref="A32:A33"/>
    <mergeCell ref="B32:B33"/>
    <mergeCell ref="C32:C33"/>
    <mergeCell ref="A18:A19"/>
    <mergeCell ref="B18:B19"/>
    <mergeCell ref="C18:C19"/>
    <mergeCell ref="A20:A21"/>
    <mergeCell ref="B20:B21"/>
    <mergeCell ref="C20:C21"/>
    <mergeCell ref="C24:C25"/>
    <mergeCell ref="C26:C27"/>
    <mergeCell ref="C28:C29"/>
    <mergeCell ref="C30:C31"/>
    <mergeCell ref="A34:B34"/>
    <mergeCell ref="A35:B35"/>
    <mergeCell ref="A36:B36"/>
    <mergeCell ref="A37:B37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</mergeCells>
  <pageMargins left="0.51181102362204722" right="0.51181102362204722" top="0.78740157480314965" bottom="0.78740157480314965" header="0.31496062992125984" footer="0.31496062992125984"/>
  <pageSetup paperSize="9" scale="8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5"/>
  <sheetViews>
    <sheetView showGridLines="0" zoomScaleNormal="100" zoomScaleSheetLayoutView="106" workbookViewId="0">
      <selection activeCell="A6" sqref="A6:M6"/>
    </sheetView>
  </sheetViews>
  <sheetFormatPr defaultRowHeight="12.75"/>
  <cols>
    <col min="1" max="1" width="9.140625" style="6"/>
    <col min="2" max="2" width="27.5703125" style="6" customWidth="1"/>
    <col min="3" max="6" width="9.140625" style="6"/>
    <col min="7" max="7" width="14.42578125" style="6" customWidth="1"/>
    <col min="8" max="10" width="9.140625" style="6"/>
    <col min="11" max="11" width="8.28515625" style="6" customWidth="1"/>
    <col min="12" max="16384" width="9.140625" style="6"/>
  </cols>
  <sheetData>
    <row r="1" spans="1:14" customFormat="1" ht="12.75" customHeight="1">
      <c r="A1" s="281" t="s">
        <v>316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194"/>
    </row>
    <row r="2" spans="1:14" customFormat="1" ht="16.5" customHeight="1">
      <c r="A2" s="281" t="s">
        <v>315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194"/>
    </row>
    <row r="3" spans="1:14" customFormat="1" ht="16.5" customHeight="1">
      <c r="A3" s="235" t="s">
        <v>311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194"/>
    </row>
    <row r="4" spans="1:14" customFormat="1" ht="13.5" customHeight="1">
      <c r="A4" s="236" t="s">
        <v>312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194"/>
    </row>
    <row r="5" spans="1:14" customFormat="1" ht="4.5" customHeight="1">
      <c r="A5" s="193"/>
      <c r="B5" s="193"/>
      <c r="C5" s="193"/>
      <c r="D5" s="193"/>
      <c r="E5" s="193"/>
      <c r="F5" s="193"/>
      <c r="G5" s="193"/>
      <c r="H5" s="194"/>
      <c r="I5" s="194"/>
      <c r="J5" s="194"/>
      <c r="K5" s="194"/>
      <c r="L5" s="194"/>
      <c r="M5" s="194"/>
      <c r="N5" s="194"/>
    </row>
    <row r="6" spans="1:14" customFormat="1" ht="32.25" customHeight="1">
      <c r="A6" s="230" t="str">
        <f>Planilha!A6</f>
        <v>OBJETO: EXECUÇÃO DE OBRAS E SERVIÇOS DE ENGENHARIA RELATIVOS À CONSTRUÇÃO DE UMA PRAÇA NO MUNICÍPIO DE CORRENTINA/BA, ÁREA DE ATUAÇÃO DA 2ª SUPERINTENDÊNCIA REGIONAL DA CODEVASF, NO ESTADO DA BAHIA.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194"/>
    </row>
    <row r="7" spans="1:14" customFormat="1" ht="4.5" customHeight="1">
      <c r="A7" s="193"/>
      <c r="B7" s="193"/>
      <c r="C7" s="193"/>
      <c r="D7" s="193"/>
      <c r="E7" s="193"/>
      <c r="F7" s="193"/>
      <c r="G7" s="193"/>
      <c r="H7" s="194"/>
      <c r="I7" s="194"/>
      <c r="J7" s="194"/>
      <c r="K7" s="194"/>
      <c r="L7" s="194"/>
      <c r="M7" s="194"/>
      <c r="N7" s="194"/>
    </row>
    <row r="8" spans="1:14" ht="26.25" customHeight="1">
      <c r="A8" s="285" t="s">
        <v>11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</row>
    <row r="9" spans="1:14" ht="12.75" customHeight="1">
      <c r="A9" s="285"/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</row>
    <row r="10" spans="1:14">
      <c r="A10" s="195"/>
      <c r="B10" s="7"/>
      <c r="C10" s="7"/>
      <c r="D10" s="7"/>
      <c r="E10" s="21"/>
      <c r="F10" s="19"/>
      <c r="G10" s="20"/>
      <c r="H10" s="20"/>
      <c r="I10" s="20"/>
      <c r="J10" s="20"/>
      <c r="K10" s="20"/>
      <c r="L10" s="20"/>
      <c r="M10" s="20"/>
      <c r="N10" s="20"/>
    </row>
    <row r="11" spans="1:14" ht="20.25">
      <c r="A11" s="284"/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</row>
    <row r="12" spans="1:14" ht="23.25">
      <c r="A12" s="8"/>
      <c r="B12" s="8"/>
      <c r="C12" s="8"/>
      <c r="D12" s="8"/>
      <c r="E12" s="8"/>
      <c r="F12" s="8"/>
      <c r="G12" s="20"/>
      <c r="H12" s="20"/>
      <c r="I12" s="20"/>
      <c r="J12" s="20"/>
      <c r="K12" s="20"/>
      <c r="L12" s="20"/>
      <c r="M12" s="20"/>
      <c r="N12" s="20"/>
    </row>
    <row r="13" spans="1:14">
      <c r="A13" s="9" t="s">
        <v>12</v>
      </c>
      <c r="B13" s="9"/>
      <c r="C13" s="44" t="s">
        <v>445</v>
      </c>
      <c r="D13" s="45"/>
      <c r="E13" s="46"/>
      <c r="F13" s="46"/>
      <c r="G13" s="47"/>
      <c r="H13" s="47"/>
      <c r="I13" s="47"/>
      <c r="J13" s="47"/>
      <c r="K13" s="47"/>
      <c r="L13" s="20"/>
      <c r="M13" s="20"/>
      <c r="N13" s="20"/>
    </row>
    <row r="14" spans="1:14">
      <c r="A14" s="22" t="s">
        <v>13</v>
      </c>
      <c r="B14" s="22"/>
      <c r="C14" s="283" t="s">
        <v>446</v>
      </c>
      <c r="D14" s="283"/>
      <c r="E14" s="283"/>
      <c r="F14" s="283"/>
      <c r="G14" s="283"/>
      <c r="H14" s="283"/>
      <c r="I14" s="283"/>
      <c r="J14" s="283"/>
      <c r="K14" s="283"/>
      <c r="L14" s="20"/>
      <c r="M14" s="20"/>
      <c r="N14" s="20"/>
    </row>
    <row r="15" spans="1:14">
      <c r="A15" s="22" t="s">
        <v>447</v>
      </c>
      <c r="B15" s="22"/>
      <c r="C15" s="33">
        <v>200</v>
      </c>
      <c r="D15" s="22" t="s">
        <v>14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>
      <c r="A16" s="22"/>
      <c r="B16" s="22"/>
      <c r="C16" s="33"/>
      <c r="D16" s="22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>
      <c r="A17" s="22"/>
      <c r="B17" s="22"/>
      <c r="C17" s="36"/>
      <c r="D17" s="22"/>
      <c r="E17" s="20"/>
      <c r="F17" s="20"/>
      <c r="G17" s="43" t="s">
        <v>35</v>
      </c>
      <c r="H17" s="20"/>
      <c r="I17" s="20"/>
      <c r="J17" s="20"/>
      <c r="K17" s="20"/>
      <c r="L17" s="20"/>
      <c r="M17" s="20"/>
      <c r="N17" s="20"/>
    </row>
    <row r="18" spans="1:14">
      <c r="A18" s="22" t="s">
        <v>15</v>
      </c>
      <c r="B18" s="22"/>
      <c r="C18" s="196">
        <f>SUM(C15:C17)</f>
        <v>200</v>
      </c>
      <c r="D18" s="22" t="s">
        <v>14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>
      <c r="A19" s="22"/>
      <c r="B19" s="22"/>
      <c r="C19" s="22"/>
      <c r="D19" s="22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>
      <c r="A20" s="22" t="s">
        <v>16</v>
      </c>
      <c r="B20" s="22"/>
      <c r="C20" s="22"/>
      <c r="D20" s="22"/>
      <c r="E20" s="22" t="s">
        <v>448</v>
      </c>
      <c r="F20" s="22"/>
      <c r="G20" s="22"/>
      <c r="H20" s="33"/>
      <c r="I20" s="22"/>
      <c r="J20" s="20"/>
      <c r="K20" s="20"/>
      <c r="L20" s="20"/>
      <c r="M20" s="20"/>
      <c r="N20" s="20"/>
    </row>
    <row r="21" spans="1:14">
      <c r="A21" s="20"/>
      <c r="B21" s="20"/>
      <c r="C21" s="20"/>
      <c r="D21" s="20"/>
      <c r="E21" s="22"/>
      <c r="F21" s="22"/>
      <c r="G21" s="22"/>
      <c r="H21" s="23"/>
      <c r="I21" s="22"/>
      <c r="J21" s="20"/>
      <c r="K21" s="20"/>
      <c r="L21" s="20"/>
      <c r="M21" s="20"/>
      <c r="N21" s="20"/>
    </row>
    <row r="22" spans="1:14">
      <c r="A22" s="20"/>
      <c r="B22" s="20"/>
      <c r="C22" s="20"/>
      <c r="D22" s="20"/>
      <c r="E22" s="24" t="s">
        <v>7</v>
      </c>
      <c r="F22" s="22"/>
      <c r="G22" s="22"/>
      <c r="H22" s="196">
        <v>1</v>
      </c>
      <c r="I22" s="22" t="s">
        <v>17</v>
      </c>
      <c r="J22" s="20"/>
      <c r="K22" s="20"/>
      <c r="L22" s="20"/>
      <c r="M22" s="20"/>
      <c r="N22" s="197"/>
    </row>
    <row r="23" spans="1:14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5.75">
      <c r="A25" s="198" t="str">
        <f>"Momento de transporte  =  "&amp;TEXT(H22,"0,00")&amp;"  x  "&amp;TEXT(C18,"0,00")&amp;"            =&gt;"</f>
        <v>Momento de transporte  =  1,00  x  200,00            =&gt;</v>
      </c>
      <c r="B25" s="20"/>
      <c r="C25" s="20"/>
      <c r="D25" s="20"/>
      <c r="E25" s="20"/>
      <c r="F25" s="282">
        <f>ROUND(C18*H22,2)</f>
        <v>200</v>
      </c>
      <c r="G25" s="282"/>
      <c r="H25" s="198" t="s">
        <v>417</v>
      </c>
      <c r="I25" s="20"/>
      <c r="J25" s="20"/>
      <c r="K25" s="20"/>
      <c r="L25" s="20"/>
      <c r="M25" s="20"/>
      <c r="N25" s="20"/>
    </row>
  </sheetData>
  <mergeCells count="9">
    <mergeCell ref="A6:M6"/>
    <mergeCell ref="A1:M1"/>
    <mergeCell ref="F25:G25"/>
    <mergeCell ref="C14:K14"/>
    <mergeCell ref="A11:N11"/>
    <mergeCell ref="A8:N9"/>
    <mergeCell ref="A2:M2"/>
    <mergeCell ref="A3:M3"/>
    <mergeCell ref="A4:M4"/>
  </mergeCells>
  <printOptions horizontalCentered="1"/>
  <pageMargins left="0.51181102362204722" right="0.51181102362204722" top="0.78740157480314965" bottom="0.78740157480314965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Meno</vt:lpstr>
      <vt:lpstr>Compô's</vt:lpstr>
      <vt:lpstr>Crono</vt:lpstr>
      <vt:lpstr>Mobilização</vt:lpstr>
      <vt:lpstr>'Compô''s'!Area_de_impressao</vt:lpstr>
      <vt:lpstr>Planilha!Area_de_impressao</vt:lpstr>
      <vt:lpstr>'Compô''s'!Titulos_de_impressao</vt:lpstr>
      <vt:lpstr>Meno!Titulos_de_impressao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2019-10-22T19:50:53Z</cp:lastPrinted>
  <dcterms:created xsi:type="dcterms:W3CDTF">1998-01-22T12:19:54Z</dcterms:created>
  <dcterms:modified xsi:type="dcterms:W3CDTF">2019-11-04T14:54:51Z</dcterms:modified>
</cp:coreProperties>
</file>