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est235574\MEUS DOCUMENTOS DE TRABALHO\EDITAIS\EDITAIS 2019\EDITAL Nº 001-2019 - PASSARELA METÁLICA BICO DA PEDRA\"/>
    </mc:Choice>
  </mc:AlternateContent>
  <bookViews>
    <workbookView xWindow="0" yWindow="240" windowWidth="15390" windowHeight="7845" tabRatio="506" firstSheet="5" activeTab="5"/>
  </bookViews>
  <sheets>
    <sheet name="For Reaj" sheetId="14" state="hidden" r:id="rId1"/>
    <sheet name="PRELIMINARES" sheetId="23" state="hidden" r:id="rId2"/>
    <sheet name="Planilha Boa Vista" sheetId="5" state="hidden" r:id="rId3"/>
    <sheet name="BDI SERVIÇO" sheetId="19" state="hidden" r:id="rId4"/>
    <sheet name="BDI FORNECIMENTO" sheetId="18" state="hidden" r:id="rId5"/>
    <sheet name="PLANILHA RESUMO" sheetId="29" r:id="rId6"/>
    <sheet name="CPU " sheetId="32" r:id="rId7"/>
    <sheet name="CPU TOMADA" sheetId="28" r:id="rId8"/>
    <sheet name="BDI FORNECIMENTOS" sheetId="33" r:id="rId9"/>
    <sheet name="BDI SERVIÇOS" sheetId="31" r:id="rId10"/>
    <sheet name="CRONOGRAMA 1" sheetId="35" r:id="rId11"/>
    <sheet name="Cronograma fis+fin" sheetId="30" r:id="rId12"/>
    <sheet name="Cronograma" sheetId="7" state="hidden" r:id="rId13"/>
    <sheet name="Para word 1" sheetId="13" state="hidden" r:id="rId14"/>
    <sheet name="Para word 2" sheetId="12" state="hidden" r:id="rId15"/>
    <sheet name="Cron barras" sheetId="11" state="hidden" r:id="rId16"/>
    <sheet name="Resumo interceptor" sheetId="8" state="hidden" r:id="rId17"/>
    <sheet name="Interceptor(mão-de-obra)" sheetId="9" state="hidden" r:id="rId18"/>
    <sheet name="Interceptor (materiais)" sheetId="10" state="hidden" r:id="rId19"/>
  </sheets>
  <externalReferences>
    <externalReference r:id="rId20"/>
    <externalReference r:id="rId21"/>
    <externalReference r:id="rId22"/>
    <externalReference r:id="rId23"/>
  </externalReferences>
  <definedNames>
    <definedName name="_esc15" localSheetId="8">#REF!</definedName>
    <definedName name="_esc15" localSheetId="5">#REF!</definedName>
    <definedName name="_esc15">#REF!</definedName>
    <definedName name="_esc4" localSheetId="8">#REF!</definedName>
    <definedName name="_esc4" localSheetId="5">#REF!</definedName>
    <definedName name="_esc4">#REF!</definedName>
    <definedName name="_esc6" localSheetId="8">#REF!</definedName>
    <definedName name="_esc6" localSheetId="5">#REF!</definedName>
    <definedName name="_esc6">#REF!</definedName>
    <definedName name="_xlnm._FilterDatabase" localSheetId="2" hidden="1">'Planilha Boa Vista'!$D$1:$D$254</definedName>
    <definedName name="_xlnm._FilterDatabase" localSheetId="5" hidden="1">'PLANILHA RESUMO'!$E$1:$E$60</definedName>
    <definedName name="_xlnm._FilterDatabase" localSheetId="1" hidden="1">PRELIMINARES!$D$1:$D$20</definedName>
    <definedName name="_xlnm.Print_Area" localSheetId="8">'BDI FORNECIMENTOS'!$C$3:$F$38</definedName>
    <definedName name="_xlnm.Print_Area" localSheetId="9">'BDI SERVIÇOS'!$C$3:$F$38</definedName>
    <definedName name="_xlnm.Print_Area" localSheetId="6">'CPU '!$A$1:$I$376</definedName>
    <definedName name="_xlnm.Print_Area" localSheetId="7">'CPU TOMADA'!$A$1:$H$32</definedName>
    <definedName name="_xlnm.Print_Area" localSheetId="15">'Cron barras'!$A$2:$T$52</definedName>
    <definedName name="_xlnm.Print_Area" localSheetId="12">Cronograma!$A$10:$AU$72</definedName>
    <definedName name="_xlnm.Print_Area" localSheetId="10">'CRONOGRAMA 1'!$A$1:$I$28</definedName>
    <definedName name="_xlnm.Print_Area" localSheetId="2">'Planilha Boa Vista'!$B$1:$H$251</definedName>
    <definedName name="_xlnm.Print_Area" localSheetId="5">'PLANILHA RESUMO'!$C$1:$K$80</definedName>
    <definedName name="_xlnm.Print_Area" localSheetId="1">PRELIMINARES!$B$1:$H$17</definedName>
    <definedName name="_xlnm.Print_Area" localSheetId="16">'Resumo interceptor'!$A$1:$M$39</definedName>
    <definedName name="Asf" localSheetId="8">#REF!</definedName>
    <definedName name="Asf" localSheetId="5">#REF!</definedName>
    <definedName name="Asf">#REF!</definedName>
    <definedName name="_xlnm.Database" localSheetId="8">#REF!</definedName>
    <definedName name="_xlnm.Database" localSheetId="5">#REF!</definedName>
    <definedName name="_xlnm.Database">#REF!</definedName>
    <definedName name="Cim" localSheetId="8">#REF!</definedName>
    <definedName name="Cim" localSheetId="5">#REF!</definedName>
    <definedName name="Cim">#REF!</definedName>
    <definedName name="comp001101">'[1]assemblies A _ E'!$B$2108:$H$2111</definedName>
    <definedName name="comp001102">'[1]assemblies A _ E'!$B$2070:$H$2073</definedName>
    <definedName name="comp001103">'[2]assemblies L _ Q'!$B$633:$H$636</definedName>
    <definedName name="comp001201">'[2]assemblies L _ Q'!$B$426:$H$448</definedName>
    <definedName name="comp001202">'[2]assemblies L _ Q'!$B$450:$H$464</definedName>
    <definedName name="comp001301">'[2]assemblies L _ Q'!$B$466:$H$469</definedName>
    <definedName name="comp002201">'[3]assemblies R _ Z'!$B$834:$H$837</definedName>
    <definedName name="comp010102">'[2]assemblies L _ Q'!$B$2205:$H$2208</definedName>
    <definedName name="comp010103">'[2]assemblies L _ Q'!$B$2210:$H$2213</definedName>
    <definedName name="comp010104">'[2]assemblies L _ Q'!$B$2215:$H$2218</definedName>
    <definedName name="comp010105">'[2]assemblies L _ Q'!$B$2220:$H$2223</definedName>
    <definedName name="comp010111">'[2]assemblies L _ Q'!$B$1335:$H$1346</definedName>
    <definedName name="comp010113">'[2]assemblies L _ Q'!$B$1348:$H$1359</definedName>
    <definedName name="comp010121">'[3]assemblies R _ Z'!$B$940:$H$951</definedName>
    <definedName name="comp010151">'[2]assemblies L _ Q'!$B$490:$H$493</definedName>
    <definedName name="comp010152">'[1]assemblies A _ E'!$B$1696:$H$1699</definedName>
    <definedName name="comp010153">'[3]assemblies R _ Z'!$B$66:$H$69</definedName>
    <definedName name="comp010154">'[2]assemblies L _ Q'!$B$476:$H$479</definedName>
    <definedName name="comp010155">'[2]assemblies L _ Q'!$B$471:$H$474</definedName>
    <definedName name="comp010156">'[1]assemblies A _ E'!$B$1930:$H$1938</definedName>
    <definedName name="comp010157">'[3]assemblies R _ Z'!$B$667:$H$670</definedName>
    <definedName name="comp010158">'[1]assemblies A _ E'!$B$1945:$H$1948</definedName>
    <definedName name="comp010159">'[2]assemblies L _ Q'!$B$2265:$H$2268</definedName>
    <definedName name="comp010160">'[1]assemblies A _ E'!$B$345:$H$352</definedName>
    <definedName name="comp010161">'[2]assemblies L _ Q'!$B$481:$H$488</definedName>
    <definedName name="comp010201">'[1]assemblies A _ E'!$B$1783:$H$1787</definedName>
    <definedName name="comp010202">'[1]assemblies A _ E'!$B$1789:$H$1793</definedName>
    <definedName name="comp010203">'[1]assemblies A _ E'!$B$1812:$H$1816</definedName>
    <definedName name="comp010204">'[1]assemblies A _ E'!$B$1847:$H$1851</definedName>
    <definedName name="comp010205">'[1]assemblies A _ E'!$B$1818:$H$1827</definedName>
    <definedName name="comp010206">'[1]assemblies A _ E'!$B$1835:$H$1839</definedName>
    <definedName name="comp010207">'[1]assemblies A _ E'!$B$1841:$H$1845</definedName>
    <definedName name="comp010208">'[1]assemblies A _ E'!$B$1853:$H$1857</definedName>
    <definedName name="comp010209">'[1]assemblies A _ E'!$B$1859:$H$1863</definedName>
    <definedName name="comp010210">'[1]assemblies A _ E'!$B$1871:$H$1875</definedName>
    <definedName name="comp010211">'[1]assemblies A _ E'!$B$1877:$H$1880</definedName>
    <definedName name="comp010212">'[1]assemblies A _ E'!$B$1882:$H$1886</definedName>
    <definedName name="comp010213">'[1]assemblies A _ E'!$B$1888:$H$1892</definedName>
    <definedName name="comp010214">'[1]assemblies A _ E'!$B$1894:$H$1898</definedName>
    <definedName name="comp010215">'[1]assemblies A _ E'!$B$1900:$H$1904</definedName>
    <definedName name="comp010216">'[1]assemblies A _ E'!$B$1906:$H$1910</definedName>
    <definedName name="comp010217">'[1]assemblies A _ E'!$B$1912:$H$1916</definedName>
    <definedName name="comp010218">'[1]assemblies A _ E'!$B$1918:$H$1922</definedName>
    <definedName name="comp010219">'[1]assemblies A _ E'!$B$1924:$H$1928</definedName>
    <definedName name="comp010220">'[1]assemblies A _ E'!$B$1940:$H$1943</definedName>
    <definedName name="comp010221">'[1]assemblies A _ E'!$B$1775:$H$1781</definedName>
    <definedName name="comp010222">'[1]assemblies A _ E'!$B$1800:$H$1804</definedName>
    <definedName name="comp010223">'[1]assemblies A _ E'!$B$1795:$H$1798</definedName>
    <definedName name="comp010224">'[1]assemblies A _ E'!$B$1806:$H$1810</definedName>
    <definedName name="comp010225">'[1]assemblies A _ E'!$B$1829:$H$1833</definedName>
    <definedName name="comp010226">'[3]assemblies R _ Z'!$B$439:$H$442</definedName>
    <definedName name="comp010227">'[1]assemblies A _ E'!$B$1865:$H$1869</definedName>
    <definedName name="comp010228">'[3]assemblies R _ Z'!$B$444:$H$448</definedName>
    <definedName name="comp010301">'[2]assemblies L _ Q'!$B$516:$H$527</definedName>
    <definedName name="comp020001">'[1]assemblies A _ E'!$B$1980:$H$1983</definedName>
    <definedName name="comp020011">'[3]assemblies R _ Z'!$B$849:$H$861</definedName>
    <definedName name="comp020101">'[1]assemblies A _ E'!$B$2270:$H$2273</definedName>
    <definedName name="comp020102">'[1]assemblies A _ E'!$B$2275:$H$2278</definedName>
    <definedName name="comp020103">'[1]assemblies A _ E'!$B$2280:$H$2283</definedName>
    <definedName name="comp020104">'[1]assemblies A _ E'!$B$2285:$H$2288</definedName>
    <definedName name="comp020105">'[1]assemblies A _ E'!$B$2290:$H$2293</definedName>
    <definedName name="comp020106">'[1]assemblies A _ E'!$B$2295:$H$2298</definedName>
    <definedName name="comp020111">'[1]assemblies A _ E'!$B$2264:$H$2268</definedName>
    <definedName name="comp020121">'[1]assemblies A _ E'!$B$2491:$H$2502</definedName>
    <definedName name="comp020122">'[1]assemblies A _ E'!$B$2504:$H$2515</definedName>
    <definedName name="comp020125">'[1]assemblies A _ E'!$B$1585:$H$1588</definedName>
    <definedName name="comp020131">'[1]assemblies A _ E'!$B$2310:$H$2317</definedName>
    <definedName name="comp020132">'[1]assemblies A _ E'!$B$2319:$H$2326</definedName>
    <definedName name="comp020133">'[1]assemblies A _ E'!$B$2328:$H$2335</definedName>
    <definedName name="comp020134">'[1]assemblies A _ E'!$B$2337:$H$2344</definedName>
    <definedName name="comp020135">'[1]assemblies A _ E'!$B$2346:$H$2353</definedName>
    <definedName name="comp020136">'[1]assemblies A _ E'!$B$2355:$H$2362</definedName>
    <definedName name="comp020137">'[1]assemblies A _ E'!$B$2364:$H$2371</definedName>
    <definedName name="comp020138">'[1]assemblies A _ E'!$B$2373:$H$2393</definedName>
    <definedName name="comp020139">'[1]assemblies A _ E'!$B$2395:$H$2415</definedName>
    <definedName name="comp020140">'[1]assemblies A _ E'!$B$2417:$H$2437</definedName>
    <definedName name="comp020141">'[1]assemblies A _ E'!$B$2183:$H$2192</definedName>
    <definedName name="comp020142">'[1]assemblies A _ E'!$B$2305:$H$2308</definedName>
    <definedName name="comp020143">'[1]assemblies A _ E'!$B$2194:$H$2207</definedName>
    <definedName name="comp020144">'[1]assemblies A _ E'!$B$2222:$H$2232</definedName>
    <definedName name="comp020145">'[1]assemblies A _ E'!$B$2234:$H$2257</definedName>
    <definedName name="comp020146">'[1]assemblies A _ E'!$B$2300:$H$2303</definedName>
    <definedName name="comp020147">'[1]assemblies A _ E'!$B$2209:$H$2220</definedName>
    <definedName name="comp020151">'[3]assemblies R _ Z'!$B$1056:$H$1059</definedName>
    <definedName name="comp020152">'[3]assemblies R _ Z'!$B$1061:$H$1064</definedName>
    <definedName name="comp020153">'[3]assemblies R _ Z'!$B$1066:$H$1069</definedName>
    <definedName name="comp020154">'[3]assemblies R _ Z'!$B$1071:$H$1074</definedName>
    <definedName name="comp020155">'[3]assemblies R _ Z'!$B$1076:$H$1079</definedName>
    <definedName name="comp020156">'[2]assemblies L _ Q'!$B$638:$H$641</definedName>
    <definedName name="comp020161">'[1]assemblies A _ E'!$B$1394:$H$1402</definedName>
    <definedName name="comp020171">'[2]assemblies L _ Q'!$B$821:$H$824</definedName>
    <definedName name="comp020172">'[2]assemblies L _ Q'!$B$826:$H$829</definedName>
    <definedName name="comp020173">'[2]assemblies L _ Q'!$B$831:$H$834</definedName>
    <definedName name="comp020174">'[2]assemblies L _ Q'!$B$836:$H$839</definedName>
    <definedName name="comp020175">'[2]assemblies L _ Q'!$B$841:$H$844</definedName>
    <definedName name="comp020176">'[2]assemblies L _ Q'!$B$846:$H$849</definedName>
    <definedName name="comp020177">'[2]assemblies L _ Q'!$B$851:$H$854</definedName>
    <definedName name="comp020178">'[2]assemblies L _ Q'!$B$856:$H$859</definedName>
    <definedName name="comp020179">'[2]assemblies L _ Q'!$B$861:$H$864</definedName>
    <definedName name="comp020180">'[2]assemblies L _ Q'!$B$866:$H$869</definedName>
    <definedName name="comp020181">'[2]assemblies L _ Q'!$B$871:$H$874</definedName>
    <definedName name="comp020182">'[2]assemblies L _ Q'!$B$876:$H$879</definedName>
    <definedName name="comp020201">'[3]assemblies R _ Z'!$B$96:$H$100</definedName>
    <definedName name="comp020202">'[3]assemblies R _ Z'!$B$91:$H$94</definedName>
    <definedName name="comp020203">'[3]assemblies R _ Z'!$B$71:$H$78</definedName>
    <definedName name="comp020204">'[3]assemblies R _ Z'!$B$80:$H$84</definedName>
    <definedName name="comp020205">'[3]assemblies R _ Z'!$B$86:$H$89</definedName>
    <definedName name="comp020301">'[3]assemblies R _ Z'!$B$1050:$H$1054</definedName>
    <definedName name="comp020302">'[1]assemblies A _ E'!$B$647:$H$655</definedName>
    <definedName name="comp020303">'[1]assemblies A _ E'!$B$1580:$H$1583</definedName>
    <definedName name="comp020304">'[1]assemblies A _ E'!$B$680:$H$694</definedName>
    <definedName name="comp020305">'[1]assemblies A _ E'!$B$727:$H$737</definedName>
    <definedName name="comp020306">'[1]assemblies A _ E'!$B$657:$H$672</definedName>
    <definedName name="comp020307">'[1]assemblies A _ E'!$B$696:$H$715</definedName>
    <definedName name="comp020308">'[1]assemblies A _ E'!$B$674:$H$678</definedName>
    <definedName name="comp020309">'[1]assemblies A _ E'!$B$717:$H$725</definedName>
    <definedName name="comp020310">'[1]assemblies A _ E'!$B$1575:$H$1578</definedName>
    <definedName name="comp020321">'[3]assemblies R _ Z'!$B$422:$H$426</definedName>
    <definedName name="comp020331">'[3]assemblies R _ Z'!$B$637:$H$655</definedName>
    <definedName name="comp020341">'[1]assemblies A _ E'!$B$2113:$H$2137</definedName>
    <definedName name="comp020342">'[1]assemblies A _ E'!$B$2139:$H$2163</definedName>
    <definedName name="comp020351">'[1]assemblies A _ E'!$B$924:$H$942</definedName>
    <definedName name="comp020361">'[2]assemblies L _ Q'!$B$2225:$H$2233</definedName>
    <definedName name="comp020401">'[1]assemblies A _ E'!$B$153:$H$163</definedName>
    <definedName name="comp020402">'[1]assemblies A _ E'!$B$2040:$H$2051</definedName>
    <definedName name="comp020403">'[3]assemblies R _ Z'!$B$10:$H$28</definedName>
    <definedName name="comp020501">'[1]assemblies A _ E'!$B$1683:$H$1694</definedName>
    <definedName name="comp020502">'[1]assemblies A _ E'!$B$1665:$H$1681</definedName>
    <definedName name="comp020601">'[3]assemblies R _ Z'!$B$892:$H$904</definedName>
    <definedName name="comp020901">'[1]assemblies A _ E'!$B$969:$H$977</definedName>
    <definedName name="comp030101">'[4]assemblies F _ K'!$B$199:$H$211</definedName>
    <definedName name="comp030102">'[4]assemblies F _ K'!$B$213:$H$224</definedName>
    <definedName name="comp030103">'[4]assemblies F _ K'!$B$173:$H$186</definedName>
    <definedName name="comp030104">'[2]assemblies L _ Q'!$B$643:$H$647</definedName>
    <definedName name="comp030105">'[4]assemblies F _ K'!$B$262:$H$271</definedName>
    <definedName name="comp030106">'[4]assemblies F _ K'!$B$226:$H$236</definedName>
    <definedName name="comp030107">'[4]assemblies F _ K'!$B$188:$H$197</definedName>
    <definedName name="comp030108">'[4]assemblies F _ K'!$B$250:$H$260</definedName>
    <definedName name="comp030109">'[4]assemblies F _ K'!$B$238:$H$248</definedName>
    <definedName name="comp030204">'[1]assemblies A _ E'!$B$439:$H$448</definedName>
    <definedName name="comp030205">'[1]assemblies A _ E'!$B$461:$H$470</definedName>
    <definedName name="comp030206">'[1]assemblies A _ E'!$B$450:$H$459</definedName>
    <definedName name="comp030207">'[1]assemblies A _ E'!$B$472:$H$481</definedName>
    <definedName name="comp030209">'[1]assemblies A _ E'!$B$483:$H$491</definedName>
    <definedName name="comp030221">'[1]assemblies A _ E'!$B$336:$H$343</definedName>
    <definedName name="comp030301">'[2]assemblies L _ Q'!$B$1800:$H$1814</definedName>
    <definedName name="comp030302">'[2]assemblies L _ Q'!$B$1816:$H$1826</definedName>
    <definedName name="comp030303">'[2]assemblies L _ Q'!$B$1828:$H$1842</definedName>
    <definedName name="comp030304">'[2]assemblies L _ Q'!$B$1844:$H$1854</definedName>
    <definedName name="comp030305">'[2]assemblies L _ Q'!$B$1856:$H$1870</definedName>
    <definedName name="comp030306">'[2]assemblies L _ Q'!$B$1872:$H$1882</definedName>
    <definedName name="comp030307">'[2]assemblies L _ Q'!$B$1884:$H$1898</definedName>
    <definedName name="comp030308">'[2]assemblies L _ Q'!$B$1900:$H$1910</definedName>
    <definedName name="comp030309">'[2]assemblies L _ Q'!$B$1912:$H$1926</definedName>
    <definedName name="comp030310">'[2]assemblies L _ Q'!$B$1928:$H$1942</definedName>
    <definedName name="comp030311">'[2]assemblies L _ Q'!$B$1944:$H$1954</definedName>
    <definedName name="comp030312">'[2]assemblies L _ Q'!$B$1956:$H$1970</definedName>
    <definedName name="comp030313">'[2]assemblies L _ Q'!$B$1972:$H$1986</definedName>
    <definedName name="comp030314">'[2]assemblies L _ Q'!$B$1988:$H$2002</definedName>
    <definedName name="comp030315">'[2]assemblies L _ Q'!$B$2004:$H$2018</definedName>
    <definedName name="comp030321">'[2]assemblies L _ Q'!$B$2139:$H$2157</definedName>
    <definedName name="comp030322">'[2]assemblies L _ Q'!$B$2159:$H$2177</definedName>
    <definedName name="comp030323">'[2]assemblies L _ Q'!$B$2179:$H$2197</definedName>
    <definedName name="comp030331">'[2]assemblies L _ Q'!$B$2031:$H$2041</definedName>
    <definedName name="comp030332">'[2]assemblies L _ Q'!$B$2043:$H$2057</definedName>
    <definedName name="comp030333">'[2]assemblies L _ Q'!$B$2059:$H$2068</definedName>
    <definedName name="comp030334">'[2]assemblies L _ Q'!$B$2070:$H$2083</definedName>
    <definedName name="comp030335">'[2]assemblies L _ Q'!$B$2085:$H$2095</definedName>
    <definedName name="comp030336">'[2]assemblies L _ Q'!$B$2097:$H$2111</definedName>
    <definedName name="comp030337">'[2]assemblies L _ Q'!$B$2113:$H$2122</definedName>
    <definedName name="comp030338">'[2]assemblies L _ Q'!$B$2124:$H$2137</definedName>
    <definedName name="comp030341">'[2]assemblies L _ Q'!$B$2020:$H$2029</definedName>
    <definedName name="comp030401">'[2]assemblies L _ Q'!$B$64:$H$68</definedName>
    <definedName name="comp030402">'[2]assemblies L _ Q'!$B$52:$H$56</definedName>
    <definedName name="comp030403">'[2]assemblies L _ Q'!$B$58:$H$62</definedName>
    <definedName name="comp030410">'[1]assemblies A _ E'!$B$58:$H$66</definedName>
    <definedName name="comp030501">'[1]assemblies A _ E'!$B$2479:$H$2489</definedName>
    <definedName name="comp030502">'[2]assemblies L _ Q'!$B$10:$H$29</definedName>
    <definedName name="comp030503">'[2]assemblies L _ Q'!$B$31:$H$50</definedName>
    <definedName name="comp030601">'[2]assemblies L _ Q'!$B$921:$H$932</definedName>
    <definedName name="comp030611">'[2]assemblies L _ Q'!$B$900:$H$919</definedName>
    <definedName name="comp030621">'[1]assemblies A _ E'!$B$811:$H$832</definedName>
    <definedName name="comp040001">'[1]assemblies A _ E'!$B$359:$H$367</definedName>
    <definedName name="comp040002">'[1]assemblies A _ E'!$B$369:$H$377</definedName>
    <definedName name="comp040003">'[1]assemblies A _ E'!$B$379:$H$387</definedName>
    <definedName name="comp040004">'[1]assemblies A _ E'!$B$389:$H$397</definedName>
    <definedName name="comp040005">'[1]assemblies A _ E'!$B$399:$H$407</definedName>
    <definedName name="comp040006">'[1]assemblies A _ E'!$B$409:$H$417</definedName>
    <definedName name="comp040007">'[1]assemblies A _ E'!$B$419:$H$427</definedName>
    <definedName name="comp040008">'[1]assemblies A _ E'!$B$429:$H$437</definedName>
    <definedName name="comp040101">'[1]assemblies A _ E'!$B$264:$H$280</definedName>
    <definedName name="comp040102">'[1]assemblies A _ E'!$B$246:$H$262</definedName>
    <definedName name="comp040110">'[1]assemblies A _ E'!$B$318:$H$334</definedName>
    <definedName name="comp040111">'[1]assemblies A _ E'!$B$300:$H$316</definedName>
    <definedName name="comp040112">'[1]assemblies A _ E'!$B$282:$H$298</definedName>
    <definedName name="comp040121">'[1]assemblies A _ E'!$B$165:$H$177</definedName>
    <definedName name="comp040131">'[1]assemblies A _ E'!$B$205:$H$215</definedName>
    <definedName name="comp040132">'[1]assemblies A _ E'!$B$217:$H$244</definedName>
    <definedName name="comp040141">'[1]assemblies A _ E'!$B$192:$H$203</definedName>
    <definedName name="comp040201">'[1]assemblies A _ E'!$B$179:$H$190</definedName>
    <definedName name="comp040301">'[1]assemblies A _ E'!$B$1950:$H$1953</definedName>
    <definedName name="comp040302">'[1]assemblies A _ E'!$B$1955:$H$1958</definedName>
    <definedName name="comp040401">'[3]assemblies R _ Z'!$B$1392:$H$1404</definedName>
    <definedName name="comp040410">'[3]assemblies R _ Z'!$B$1406:$H$1418</definedName>
    <definedName name="comp050101">'[2]assemblies L _ Q'!$B$1486:$H$1501</definedName>
    <definedName name="comp050102">'[2]assemblies L _ Q'!$B$1503:$H$1518</definedName>
    <definedName name="comp050103">'[2]assemblies L _ Q'!$B$1520:$H$1535</definedName>
    <definedName name="comp050104">'[2]assemblies L _ Q'!$B$1537:$H$1552</definedName>
    <definedName name="comp050105">'[2]assemblies L _ Q'!$B$1554:$H$1569</definedName>
    <definedName name="comp050106">'[2]assemblies L _ Q'!$B$1571:$H$1586</definedName>
    <definedName name="comp050107">'[2]assemblies L _ Q'!$B$1588:$H$1603</definedName>
    <definedName name="comp050108">'[2]assemblies L _ Q'!$B$1605:$H$1620</definedName>
    <definedName name="comp050151">'[2]assemblies L _ Q'!$B$1622:$H$1637</definedName>
    <definedName name="comp050152">'[2]assemblies L _ Q'!$B$1639:$H$1654</definedName>
    <definedName name="comp050153">'[2]assemblies L _ Q'!$B$1656:$H$1671</definedName>
    <definedName name="comp050154">'[2]assemblies L _ Q'!$B$1673:$H$1688</definedName>
    <definedName name="comp050201">'[2]assemblies L _ Q'!$B$1459:$H$1471</definedName>
    <definedName name="comp050202">'[1]assemblies A _ E'!$B$944:$H$955</definedName>
    <definedName name="comp050203">'[4]assemblies F _ K'!$B$1709:$H$1717</definedName>
    <definedName name="comp050204">'[4]assemblies F _ K'!$B$143:$H$151</definedName>
    <definedName name="comp050205">'[4]assemblies F _ K'!$B$153:$H$161</definedName>
    <definedName name="comp050206">'[4]assemblies F _ K'!$B$163:$H$171</definedName>
    <definedName name="comp050207">'[3]assemblies R _ Z'!$B$455:$H$458</definedName>
    <definedName name="comp050208">'[3]assemblies R _ Z'!$B$460:$H$463</definedName>
    <definedName name="comp050210">'[2]assemblies L _ Q'!$B$1391:$H$1405</definedName>
    <definedName name="comp050211">'[2]assemblies L _ Q'!$B$1407:$H$1422</definedName>
    <definedName name="comp050212">'[2]assemblies L _ Q'!$B$1424:$H$1439</definedName>
    <definedName name="comp050213">'[2]assemblies L _ Q'!$B$1441:$H$1457</definedName>
    <definedName name="comp050301">'[4]assemblies F _ K'!$B$2951:$H$2963</definedName>
    <definedName name="comp050302">'[4]assemblies F _ K'!$B$2965:$H$2978</definedName>
    <definedName name="comp050310">'[4]assemblies F _ K'!$B$2869:$H$2883</definedName>
    <definedName name="comp050311">'[4]assemblies F _ K'!$B$2885:$H$2899</definedName>
    <definedName name="comp050312">'[4]assemblies F _ K'!$B$2901:$H$2916</definedName>
    <definedName name="comp050313">'[4]assemblies F _ K'!$B$2918:$H$2932</definedName>
    <definedName name="comp050314">'[4]assemblies F _ K'!$B$2934:$H$2949</definedName>
    <definedName name="comp050401">'[4]assemblies F _ K'!$B$36:$H$43</definedName>
    <definedName name="comp050402">'[4]assemblies F _ K'!$B$100:$H$110</definedName>
    <definedName name="comp050403">'[4]assemblies F _ K'!$B$112:$H$120</definedName>
    <definedName name="comp050410">'[4]assemblies F _ K'!$B$45:$H$53</definedName>
    <definedName name="comp050501">'[1]assemblies A _ E'!$B$881:$H$893</definedName>
    <definedName name="comp050601">'[2]assemblies L _ Q'!$B$1776:$H$1787</definedName>
    <definedName name="comp050602">'[2]assemblies L _ Q'!$B$1473:$H$1484</definedName>
    <definedName name="comp051101">'[1]assemblies A _ E'!$B$2527:$H$2538</definedName>
    <definedName name="comp051102">'[1]assemblies A _ E'!$B$2540:$H$2551</definedName>
    <definedName name="comp051103">'[1]assemblies A _ E'!$B$2553:$H$2564</definedName>
    <definedName name="comp051104">'[1]assemblies A _ E'!$B$2566:$H$2577</definedName>
    <definedName name="comp051110">'[2]assemblies L _ Q'!$B$1376:$H$1389</definedName>
    <definedName name="comp051201">'[1]assemblies A _ E'!$B$2584:$H$2587</definedName>
    <definedName name="comp051301">'[2]assemblies L _ Q'!$B$1695:$H$1705</definedName>
    <definedName name="comp051401">'[4]assemblies F _ K'!$B$1658:$H$1669</definedName>
    <definedName name="comp051501">'[4]assemblies F _ K'!$B$27:$H$34</definedName>
    <definedName name="comp051502">'[4]assemblies F _ K'!$B$60:$H$67</definedName>
    <definedName name="comp051503">'[4]assemblies F _ K'!$B$69:$H$77</definedName>
    <definedName name="comp051504">'[4]assemblies F _ K'!$B$79:$H$88</definedName>
    <definedName name="comp051505">'[4]assemblies F _ K'!$B$122:$H$130</definedName>
    <definedName name="comp051506">'[4]assemblies F _ K'!$B$132:$H$141</definedName>
    <definedName name="comp051601">'[4]assemblies F _ K'!$B$2851:$H$2862</definedName>
    <definedName name="comp060101">'[2]assemblies L _ Q'!$B$1371:$H$1374</definedName>
    <definedName name="comp060110">'[4]assemblies F _ K'!$B$55:$H$58</definedName>
    <definedName name="comp060201">'[1]assemblies A _ E'!$B$2579:$H$2582</definedName>
    <definedName name="comp060210">'[2]assemblies L _ Q'!$B$1690:$H$1693</definedName>
    <definedName name="comp060220">'[4]assemblies F _ K'!$B$2864:$H$2867</definedName>
    <definedName name="comp060301">'[2]assemblies L _ Q'!$B$1366:$H$1369</definedName>
    <definedName name="comp060310">'[4]assemblies F _ K'!$B$2846:$H$2849</definedName>
    <definedName name="comp060401">'[3]assemblies R _ Z'!$B$42:$H$52</definedName>
    <definedName name="comp060402">'[3]assemblies R _ Z'!$B$54:$H$64</definedName>
    <definedName name="comp070001">'[3]assemblies R _ Z'!$B$657:$H$665</definedName>
    <definedName name="comp070101">'[1]assemblies A _ E'!$B$2602:$H$2616</definedName>
    <definedName name="comp070102">'[1]assemblies A _ E'!$B$2618:$H$2628</definedName>
    <definedName name="comp070103">'[1]assemblies A _ E'!$B$2630:$H$2642</definedName>
    <definedName name="comp070104">'[1]assemblies A _ E'!$B$2644:$H$2657</definedName>
    <definedName name="comp070105">'[1]assemblies A _ E'!$B$2659:$H$2670</definedName>
    <definedName name="comp070106">'[1]assemblies A _ E'!$B$2672:$H$2685</definedName>
    <definedName name="comp070107">'[1]assemblies A _ E'!$B$2687:$H$2696</definedName>
    <definedName name="comp070108">'[1]assemblies A _ E'!$B$2698:$H$2709</definedName>
    <definedName name="comp070109">'[1]assemblies A _ E'!$B$2711:$H$2714</definedName>
    <definedName name="comp070201">'[4]assemblies F _ K'!$B$1757:$H$1764</definedName>
    <definedName name="comp070301">'[3]assemblies R _ Z'!$B$953:$H$961</definedName>
    <definedName name="comp070311">'[3]assemblies R _ Z'!$B$968:$H$977</definedName>
    <definedName name="comp070321">'[3]assemblies R _ Z'!$B$963:$H$966</definedName>
    <definedName name="comp070331">'[3]assemblies R _ Z'!$B$979:$H$982</definedName>
    <definedName name="comp070341">'[2]assemblies L _ Q'!$B$1361:$H$1364</definedName>
    <definedName name="comp070401">'[1]assemblies A _ E'!$B$1741:$H$1752</definedName>
    <definedName name="comp070411">'[1]assemblies A _ E'!$B$1754:$H$1762</definedName>
    <definedName name="comp070421">'[1]assemblies A _ E'!$B$46:$H$56</definedName>
    <definedName name="comp070431">'[1]assemblies A _ E'!$B$1239:$H$1242</definedName>
    <definedName name="comp080001">'[4]assemblies F _ K'!$B$2800:$H$2823</definedName>
    <definedName name="comp080102">'[4]assemblies F _ K'!$B$1972:$H$1987</definedName>
    <definedName name="comp080201">'[1]assemblies A _ E'!$B$10:$H$14</definedName>
    <definedName name="comp080202">'[1]assemblies A _ E'!$B$16:$H$20</definedName>
    <definedName name="comp080203">'[1]assemblies A _ E'!$B$22:$H$26</definedName>
    <definedName name="comp080204">'[1]assemblies A _ E'!$B$28:$H$32</definedName>
    <definedName name="comp080205">'[1]assemblies A _ E'!$B$34:$H$38</definedName>
    <definedName name="comp080206">'[1]assemblies A _ E'!$B$40:$H$44</definedName>
    <definedName name="comp080207">'[1]assemblies A _ E'!$B$2075:$H$2084</definedName>
    <definedName name="comp080208">'[1]assemblies A _ E'!$B$2086:$H$2095</definedName>
    <definedName name="comp080209">'[1]assemblies A _ E'!$B$2097:$H$2106</definedName>
    <definedName name="comp080341">'[4]assemblies F _ K'!$B$1294:$H$1303</definedName>
    <definedName name="comp080342">'[4]assemblies F _ K'!$B$1305:$H$1314</definedName>
    <definedName name="comp080343">'[4]assemblies F _ K'!$B$1316:$H$1325</definedName>
    <definedName name="comp080344">'[4]assemblies F _ K'!$B$1327:$H$1336</definedName>
    <definedName name="comp080345">'[4]assemblies F _ K'!$B$1338:$H$1347</definedName>
    <definedName name="comp080346">'[4]assemblies F _ K'!$B$1349:$H$1358</definedName>
    <definedName name="comp080347">'[4]assemblies F _ K'!$B$1360:$H$1369</definedName>
    <definedName name="comp080348">'[4]assemblies F _ K'!$B$1371:$H$1380</definedName>
    <definedName name="comp080351">'[4]assemblies F _ K'!$B$1382:$H$1392</definedName>
    <definedName name="comp080352">'[4]assemblies F _ K'!$B$1394:$H$1404</definedName>
    <definedName name="comp080353">'[4]assemblies F _ K'!$B$1406:$H$1416</definedName>
    <definedName name="comp080354">'[4]assemblies F _ K'!$B$1418:$H$1428</definedName>
    <definedName name="comp080355">'[4]assemblies F _ K'!$B$1430:$H$1440</definedName>
    <definedName name="comp080356">'[4]assemblies F _ K'!$B$1442:$H$1452</definedName>
    <definedName name="comp080357">'[4]assemblies F _ K'!$B$1454:$H$1464</definedName>
    <definedName name="comp080358">'[4]assemblies F _ K'!$B$1466:$H$1476</definedName>
    <definedName name="comp080361">'[4]assemblies F _ K'!$B$518:$H$528</definedName>
    <definedName name="comp080362">'[4]assemblies F _ K'!$B$530:$H$540</definedName>
    <definedName name="comp080363">'[4]assemblies F _ K'!$B$542:$H$552</definedName>
    <definedName name="comp080364">'[4]assemblies F _ K'!$B$554:$H$564</definedName>
    <definedName name="comp080365">'[4]assemblies F _ K'!$B$566:$H$576</definedName>
    <definedName name="comp080366">'[4]assemblies F _ K'!$B$578:$H$588</definedName>
    <definedName name="comp080367">'[4]assemblies F _ K'!$B$590:$H$600</definedName>
    <definedName name="comp080368">'[4]assemblies F _ K'!$B$602:$H$612</definedName>
    <definedName name="comp080371">'[4]assemblies F _ K'!$B$2453:$H$2463</definedName>
    <definedName name="comp080381">'[4]assemblies F _ K'!$B$674:$H$684</definedName>
    <definedName name="comp080382">'[4]assemblies F _ K'!$B$686:$H$696</definedName>
    <definedName name="comp080383">'[4]assemblies F _ K'!$B$698:$H$708</definedName>
    <definedName name="comp080384">'[4]assemblies F _ K'!$B$710:$H$720</definedName>
    <definedName name="comp080385">'[4]assemblies F _ K'!$B$722:$H$732</definedName>
    <definedName name="comp080386">'[4]assemblies F _ K'!$B$734:$H$744</definedName>
    <definedName name="comp080387">'[4]assemblies F _ K'!$B$746:$H$756</definedName>
    <definedName name="comp080388">'[4]assemblies F _ K'!$B$758:$H$768</definedName>
    <definedName name="comp080401">'[4]assemblies F _ K'!$B$1766:$H$1775</definedName>
    <definedName name="comp080411">'[4]assemblies F _ K'!$B$273:$H$283</definedName>
    <definedName name="comp080412">'[4]assemblies F _ K'!$B$285:$H$295</definedName>
    <definedName name="comp080413">'[4]assemblies F _ K'!$B$297:$H$307</definedName>
    <definedName name="comp080414">'[4]assemblies F _ K'!$B$309:$H$319</definedName>
    <definedName name="comp080415">'[4]assemblies F _ K'!$B$321:$H$331</definedName>
    <definedName name="comp080416">'[4]assemblies F _ K'!$B$333:$H$343</definedName>
    <definedName name="comp080417">'[4]assemblies F _ K'!$B$345:$H$355</definedName>
    <definedName name="comp080418">'[4]assemblies F _ K'!$B$357:$H$367</definedName>
    <definedName name="comp080420">'[3]assemblies R _ Z'!$B$314:$H$323</definedName>
    <definedName name="comp080431">'[3]assemblies R _ Z'!$B$171:$H$180</definedName>
    <definedName name="comp080432">'[3]assemblies R _ Z'!$B$182:$H$191</definedName>
    <definedName name="comp080433">'[3]assemblies R _ Z'!$B$193:$H$202</definedName>
    <definedName name="comp080434">'[3]assemblies R _ Z'!$B$204:$H$213</definedName>
    <definedName name="comp080435">'[3]assemblies R _ Z'!$B$215:$H$224</definedName>
    <definedName name="comp080436">'[3]assemblies R _ Z'!$B$226:$H$235</definedName>
    <definedName name="comp080437">'[3]assemblies R _ Z'!$B$237:$H$246</definedName>
    <definedName name="comp080441">'[3]assemblies R _ Z'!$B$1213:$H$1222</definedName>
    <definedName name="comp080442">'[3]assemblies R _ Z'!$B$1224:$H$1233</definedName>
    <definedName name="comp080443">'[3]assemblies R _ Z'!$B$1235:$H$1244</definedName>
    <definedName name="comp080444">'[3]assemblies R _ Z'!$B$1246:$H$1255</definedName>
    <definedName name="comp080445">'[3]assemblies R _ Z'!$B$1257:$H$1266</definedName>
    <definedName name="comp080446">'[3]assemblies R _ Z'!$B$1268:$H$1277</definedName>
    <definedName name="comp080447">'[3]assemblies R _ Z'!$B$1279:$H$1288</definedName>
    <definedName name="comp080451">'[3]assemblies R _ Z'!$B$1290:$H$1299</definedName>
    <definedName name="comp080452">'[3]assemblies R _ Z'!$B$1301:$H$1310</definedName>
    <definedName name="comp080453">'[3]assemblies R _ Z'!$B$1312:$H$1321</definedName>
    <definedName name="comp080454">'[3]assemblies R _ Z'!$B$1323:$H$1332</definedName>
    <definedName name="comp080455">'[3]assemblies R _ Z'!$B$1334:$H$1343</definedName>
    <definedName name="comp080456">'[3]assemblies R _ Z'!$B$1345:$H$1354</definedName>
    <definedName name="comp080457">'[3]assemblies R _ Z'!$B$1356:$H$1365</definedName>
    <definedName name="comp080461">'[3]assemblies R _ Z'!$B$1367:$H$1380</definedName>
    <definedName name="comp080501">'[4]assemblies F _ K'!$B$1989:$H$1997</definedName>
    <definedName name="comp080601">'[4]assemblies F _ K'!$B$1538:$H$1547</definedName>
    <definedName name="comp080602">'[4]assemblies F _ K'!$B$1549:$H$1558</definedName>
    <definedName name="comp080603">'[4]assemblies F _ K'!$B$1560:$H$1569</definedName>
    <definedName name="comp080604">'[4]assemblies F _ K'!$B$1571:$H$1580</definedName>
    <definedName name="comp080605">'[4]assemblies F _ K'!$B$1582:$H$1591</definedName>
    <definedName name="comp080606">'[4]assemblies F _ K'!$B$1593:$H$1602</definedName>
    <definedName name="comp080607">'[4]assemblies F _ K'!$B$1604:$H$1613</definedName>
    <definedName name="comp080608">'[4]assemblies F _ K'!$B$1615:$H$1624</definedName>
    <definedName name="comp081111">'[1]assemblies A _ E'!$B$1244:$H$1252</definedName>
    <definedName name="comp082001">'[4]assemblies F _ K'!$B$2825:$H$2844</definedName>
    <definedName name="comp082351">'[4]assemblies F _ K'!$B$1490:$H$1500</definedName>
    <definedName name="comp082352">'[4]assemblies F _ K'!$B$1502:$H$1512</definedName>
    <definedName name="comp082353">'[4]assemblies F _ K'!$B$1514:$H$1524</definedName>
    <definedName name="comp082354">'[4]assemblies F _ K'!$B$1526:$H$1536</definedName>
    <definedName name="comp082371">'[4]assemblies F _ K'!$B$470:$H$480</definedName>
    <definedName name="comp082372">'[4]assemblies F _ K'!$B$482:$H$492</definedName>
    <definedName name="comp082373">'[4]assemblies F _ K'!$B$494:$H$504</definedName>
    <definedName name="comp082374">'[4]assemblies F _ K'!$B$506:$H$516</definedName>
    <definedName name="comp082381">'[4]assemblies F _ K'!$B$614:$H$624</definedName>
    <definedName name="comp082382">'[4]assemblies F _ K'!$B$638:$H$648</definedName>
    <definedName name="comp082383">'[4]assemblies F _ K'!$B$650:$H$660</definedName>
    <definedName name="comp082384">'[4]assemblies F _ K'!$B$662:$H$672</definedName>
    <definedName name="comp082391">'[4]assemblies F _ K'!$B$626:$H$636</definedName>
    <definedName name="comp082401">'[1]assemblies A _ E'!$B$1112:$H$1120</definedName>
    <definedName name="comp082410">'[3]assemblies R _ Z'!$B$911:$H$922</definedName>
    <definedName name="comp083101">'[1]assemblies A _ E'!$B$796:$H$809</definedName>
    <definedName name="comp083102">'[1]assemblies A _ E'!$B$781:$H$794</definedName>
    <definedName name="comp083111">'[2]assemblies L _ Q'!$B$539:$H$548</definedName>
    <definedName name="comp083112">'[2]assemblies L _ Q'!$B$550:$H$559</definedName>
    <definedName name="comp083201">'[1]assemblies A _ E'!$B$1089:$H$1098</definedName>
    <definedName name="comp083202">'[3]assemblies R _ Z'!$B$1188:$H$1201</definedName>
    <definedName name="comp083301">'[2]assemblies L _ Q'!$B$412:$H$424</definedName>
    <definedName name="comp083302">'[2]assemblies L _ Q'!$B$398:$H$410</definedName>
    <definedName name="comp083310">'[2]assemblies L _ Q'!$B$934:$H$943</definedName>
    <definedName name="comp083311">'[2]assemblies L _ Q'!$B$945:$H$954</definedName>
    <definedName name="comp083320">'[1]assemblies A _ E'!$B$1701:$H$1708</definedName>
    <definedName name="comp083321">'[1]assemblies A _ E'!$B$1710:$H$1717</definedName>
    <definedName name="comp083322">'[1]assemblies A _ E'!$B$1719:$H$1728</definedName>
    <definedName name="comp083323">'[1]assemblies A _ E'!$B$1730:$H$1739</definedName>
    <definedName name="comp083330">'[1]assemblies A _ E'!$B$834:$H$844</definedName>
    <definedName name="comp083331">'[1]assemblies A _ E'!$B$846:$H$856</definedName>
    <definedName name="comp083341">'[3]assemblies R _ Z'!$B$929:$H$938</definedName>
    <definedName name="comp083401">'[1]assemblies A _ E'!$B$1553:$H$1562</definedName>
    <definedName name="comp083402">'[1]assemblies A _ E'!$B$1542:$H$1551</definedName>
    <definedName name="comp083403">'[1]assemblies A _ E'!$B$1564:$H$1573</definedName>
    <definedName name="comp083410">'[3]assemblies R _ Z'!$B$278:$H$288</definedName>
    <definedName name="comp083411">'[3]assemblies R _ Z'!$B$325:$H$335</definedName>
    <definedName name="comp083412">'[3]assemblies R _ Z'!$B$290:$H$300</definedName>
    <definedName name="comp083413">'[3]assemblies R _ Z'!$B$302:$H$312</definedName>
    <definedName name="comp083420">'[3]assemblies R _ Z'!$B$995:$H$1004</definedName>
    <definedName name="comp083421">'[3]assemblies R _ Z'!$B$1006:$H$1015</definedName>
    <definedName name="comp083422">'[3]assemblies R _ Z'!$B$1017:$H$1026</definedName>
    <definedName name="comp083423">'[3]assemblies R _ Z'!$B$984:$H$993</definedName>
    <definedName name="comp083424">'[3]assemblies R _ Z'!$B$1028:$H$1037</definedName>
    <definedName name="comp083425">'[3]assemblies R _ Z'!$B$1039:$H$1048</definedName>
    <definedName name="comp083431">'[1]assemblies A _ E'!$B$1985:$H$1994</definedName>
    <definedName name="comp083501">'[1]assemblies A _ E'!$B$1204:$H$1214</definedName>
    <definedName name="comp083502">'[1]assemblies A _ E'!$B$1100:$H$1110</definedName>
    <definedName name="comp083503">'[3]assemblies R _ Z'!$B$30:$H$40</definedName>
    <definedName name="comp083504">'[3]assemblies R _ Z'!$B$839:$H$847</definedName>
    <definedName name="comp083601">'[2]assemblies L _ Q'!$B$1728:$H$1738</definedName>
    <definedName name="comp083602">'[2]assemblies L _ Q'!$B$1707:$H$1717</definedName>
    <definedName name="comp083603">'[2]assemblies L _ Q'!$B$1719:$H$1726</definedName>
    <definedName name="comp083604">'[2]assemblies L _ Q'!$B$1767:$H$1774</definedName>
    <definedName name="comp083605">'[2]assemblies L _ Q'!$B$1740:$H$1747</definedName>
    <definedName name="comp083606">'[2]assemblies L _ Q'!$B$1758:$H$1765</definedName>
    <definedName name="comp083607">'[3]assemblies R _ Z'!$B$787:$H$797</definedName>
    <definedName name="comp083608">'[2]assemblies L _ Q'!$B$1749:$H$1756</definedName>
    <definedName name="comp083609">'[3]assemblies R _ Z'!$B$799:$H$806</definedName>
    <definedName name="comp083610">'[1]assemblies A _ E'!$B$995:$H$1005</definedName>
    <definedName name="comp083611">'[1]assemblies A _ E'!$B$1007:$H$1014</definedName>
    <definedName name="comp083612">'[1]assemblies A _ E'!$B$493:$H$503</definedName>
    <definedName name="comp083701">'[1]assemblies A _ E'!$B$957:$H$967</definedName>
    <definedName name="comp084101">'[1]assemblies A _ E'!$B$1016:$H$1019</definedName>
    <definedName name="comp084102">'[1]assemblies A _ E'!$B$1021:$H$1024</definedName>
    <definedName name="comp084103">'[1]assemblies A _ E'!$B$1026:$H$1029</definedName>
    <definedName name="comp084104">'[1]assemblies A _ E'!$B$1031:$H$1034</definedName>
    <definedName name="comp084105">'[1]assemblies A _ E'!$B$1036:$H$1039</definedName>
    <definedName name="comp084201">'[1]assemblies A _ E'!$B$1041:$H$1051</definedName>
    <definedName name="comp084202">'[1]assemblies A _ E'!$B$1053:$H$1063</definedName>
    <definedName name="comp084203">'[1]assemblies A _ E'!$B$1065:$H$1075</definedName>
    <definedName name="comp084204">'[1]assemblies A _ E'!$B$1077:$H$1087</definedName>
    <definedName name="comp085103">'[4]assemblies F _ K'!$B$1035:$H$1045</definedName>
    <definedName name="comp085104">'[4]assemblies F _ K'!$B$1047:$H$1057</definedName>
    <definedName name="comp085105">'[4]assemblies F _ K'!$B$1059:$H$1073</definedName>
    <definedName name="comp085106">'[4]assemblies F _ K'!$B$1075:$H$1089</definedName>
    <definedName name="comp085203">'[4]assemblies F _ K'!$B$939:$H$953</definedName>
    <definedName name="comp085204">'[4]assemblies F _ K'!$B$955:$H$969</definedName>
    <definedName name="comp085205">'[4]assemblies F _ K'!$B$971:$H$985</definedName>
    <definedName name="comp085206">'[4]assemblies F _ K'!$B$987:$H$1001</definedName>
    <definedName name="comp085208">'[4]assemblies F _ K'!$B$1003:$H$1017</definedName>
    <definedName name="comp085210">'[4]assemblies F _ K'!$B$1019:$H$1033</definedName>
    <definedName name="comp085221">'[4]assemblies F _ K'!$B$1091:$H$1101</definedName>
    <definedName name="comp085301">'[4]assemblies F _ K'!$B$1478:$H$1488</definedName>
    <definedName name="comp086101">'[4]assemblies F _ K'!$B$1224:$H$1236</definedName>
    <definedName name="comp086102">'[4]assemblies F _ K'!$B$1238:$H$1250</definedName>
    <definedName name="comp086103">'[4]assemblies F _ K'!$B$1252:$H$1264</definedName>
    <definedName name="comp086104">'[4]assemblies F _ K'!$B$1266:$H$1278</definedName>
    <definedName name="comp086105">'[4]assemblies F _ K'!$B$1280:$H$1292</definedName>
    <definedName name="comp086502">'[3]assemblies R _ Z'!$B$248:$H$256</definedName>
    <definedName name="comp086504">'[3]assemblies R _ Z'!$B$258:$H$266</definedName>
    <definedName name="comp086505">'[3]assemblies R _ Z'!$B$268:$H$276</definedName>
    <definedName name="comp086511">'[3]assemblies R _ Z'!$B$337:$H$345</definedName>
    <definedName name="comp086521">'[3]assemblies R _ Z'!$B$1382:$H$1390</definedName>
    <definedName name="comp086531">'[3]assemblies R _ Z'!$B$1203:$H$1211</definedName>
    <definedName name="comp086541">'[3]assemblies R _ Z'!$B$1173:$H$1186</definedName>
    <definedName name="comp086605">'[2]assemblies L _ Q'!$B$529:$H$537</definedName>
    <definedName name="comp086611">'[1]assemblies A _ E'!$B$551:$H$555</definedName>
    <definedName name="comp086621">'[4]assemblies F _ K'!$B$10:$H$25</definedName>
    <definedName name="comp086622">'[4]assemblies F _ K'!$B$922:$H$937</definedName>
    <definedName name="comp086701">'[3]assemblies R _ Z'!$B$924:$H$927</definedName>
    <definedName name="comp086711">'[4]assemblies F _ K'!$B$1694:$H$1697</definedName>
    <definedName name="comp087101">'[4]assemblies F _ K'!$B$1103:$H$1112</definedName>
    <definedName name="comp087102">'[4]assemblies F _ K'!$B$1114:$H$1123</definedName>
    <definedName name="comp087103">'[4]assemblies F _ K'!$B$1125:$H$1134</definedName>
    <definedName name="comp087104">'[4]assemblies F _ K'!$B$1136:$H$1145</definedName>
    <definedName name="comp087105">'[4]assemblies F _ K'!$B$1147:$H$1156</definedName>
    <definedName name="comp087106">'[4]assemblies F _ K'!$B$1158:$H$1167</definedName>
    <definedName name="comp087107">'[4]assemblies F _ K'!$B$1169:$H$1178</definedName>
    <definedName name="comp087108">'[4]assemblies F _ K'!$B$1180:$H$1189</definedName>
    <definedName name="comp087109">'[4]assemblies F _ K'!$B$1191:$H$1200</definedName>
    <definedName name="comp087112">'[4]assemblies F _ K'!$B$1202:$H$1211</definedName>
    <definedName name="comp087114">'[4]assemblies F _ K'!$B$1213:$H$1222</definedName>
    <definedName name="comp090001">'[4]assemblies F _ K'!$B$2763:$H$2778</definedName>
    <definedName name="comp090002">'[4]assemblies F _ K'!$B$2780:$H$2798</definedName>
    <definedName name="comp090101">'[3]assemblies R _ Z'!$B$906:$H$909</definedName>
    <definedName name="comp090201">'[4]assemblies F _ K'!$B$2261:$H$2281</definedName>
    <definedName name="comp090202">'[4]assemblies F _ K'!$B$2283:$H$2303</definedName>
    <definedName name="comp090211">'[4]assemblies F _ K'!$B$2691:$H$2699</definedName>
    <definedName name="comp090301">'[4]assemblies F _ K'!$B$2631:$H$2639</definedName>
    <definedName name="comp090302">'[4]assemblies F _ K'!$B$2641:$H$2649</definedName>
    <definedName name="comp090303">'[4]assemblies F _ K'!$B$2651:$H$2659</definedName>
    <definedName name="comp090304">'[4]assemblies F _ K'!$B$2661:$H$2669</definedName>
    <definedName name="comp090305">'[4]assemblies F _ K'!$B$2671:$H$2679</definedName>
    <definedName name="comp090306">'[4]assemblies F _ K'!$B$2681:$H$2689</definedName>
    <definedName name="comp090401">'[4]assemblies F _ K'!$B$792:$H$800</definedName>
    <definedName name="comp090402">'[4]assemblies F _ K'!$B$802:$H$810</definedName>
    <definedName name="comp090403">'[4]assemblies F _ K'!$B$812:$H$820</definedName>
    <definedName name="comp090404">'[4]assemblies F _ K'!$B$822:$H$830</definedName>
    <definedName name="comp090411">'[4]assemblies F _ K'!$B$832:$H$840</definedName>
    <definedName name="comp090412">'[4]assemblies F _ K'!$B$842:$H$850</definedName>
    <definedName name="comp090413">'[4]assemblies F _ K'!$B$852:$H$860</definedName>
    <definedName name="comp090414">'[4]assemblies F _ K'!$B$862:$H$870</definedName>
    <definedName name="comp090415">'[4]assemblies F _ K'!$B$872:$H$880</definedName>
    <definedName name="comp090416">'[4]assemblies F _ K'!$B$882:$H$890</definedName>
    <definedName name="comp090417">'[4]assemblies F _ K'!$B$892:$H$900</definedName>
    <definedName name="comp090418">'[4]assemblies F _ K'!$B$902:$H$910</definedName>
    <definedName name="comp090419">'[4]assemblies F _ K'!$B$912:$H$920</definedName>
    <definedName name="comp090421">'[4]assemblies F _ K'!$B$380:$H$388</definedName>
    <definedName name="comp090422">'[4]assemblies F _ K'!$B$390:$H$398</definedName>
    <definedName name="comp090423">'[4]assemblies F _ K'!$B$400:$H$408</definedName>
    <definedName name="comp090424">'[4]assemblies F _ K'!$B$410:$H$418</definedName>
    <definedName name="comp090425">'[4]assemblies F _ K'!$B$420:$H$428</definedName>
    <definedName name="comp090426">'[4]assemblies F _ K'!$B$430:$H$438</definedName>
    <definedName name="comp090427">'[4]assemblies F _ K'!$B$440:$H$448</definedName>
    <definedName name="comp090428">'[4]assemblies F _ K'!$B$450:$H$458</definedName>
    <definedName name="comp090429">'[4]assemblies F _ K'!$B$460:$H$468</definedName>
    <definedName name="comp090451">'[4]assemblies F _ K'!$B$369:$H$378</definedName>
    <definedName name="comp090461">'[1]assemblies A _ E'!$B$557:$H$561</definedName>
    <definedName name="comp090462">'[1]assemblies A _ E'!$B$563:$H$567</definedName>
    <definedName name="comp090463">'[1]assemblies A _ E'!$B$569:$H$573</definedName>
    <definedName name="comp090464">'[1]assemblies A _ E'!$B$575:$H$579</definedName>
    <definedName name="comp090471">'[1]assemblies A _ E'!$B$581:$H$585</definedName>
    <definedName name="comp090472">'[1]assemblies A _ E'!$B$587:$H$591</definedName>
    <definedName name="comp090473">'[1]assemblies A _ E'!$B$593:$H$597</definedName>
    <definedName name="comp090474">'[1]assemblies A _ E'!$B$599:$H$603</definedName>
    <definedName name="comp090475">'[1]assemblies A _ E'!$B$605:$H$609</definedName>
    <definedName name="comp090476">'[1]assemblies A _ E'!$B$611:$H$615</definedName>
    <definedName name="comp090477">'[1]assemblies A _ E'!$B$617:$H$621</definedName>
    <definedName name="comp090478">'[1]assemblies A _ E'!$B$623:$H$627</definedName>
    <definedName name="comp090479">'[1]assemblies A _ E'!$B$629:$H$633</definedName>
    <definedName name="comp090501">'[4]assemblies F _ K'!$B$2305:$H$2314</definedName>
    <definedName name="comp090502">'[4]assemblies F _ K'!$B$2316:$H$2325</definedName>
    <definedName name="comp090503">'[4]assemblies F _ K'!$B$2327:$H$2336</definedName>
    <definedName name="comp090504">'[4]assemblies F _ K'!$B$2338:$H$2347</definedName>
    <definedName name="comp090505">'[4]assemblies F _ K'!$B$2349:$H$2358</definedName>
    <definedName name="comp090506">'[4]assemblies F _ K'!$B$2360:$H$2369</definedName>
    <definedName name="comp090507">'[4]assemblies F _ K'!$B$2371:$H$2380</definedName>
    <definedName name="comp090508">'[4]assemblies F _ K'!$B$2382:$H$2391</definedName>
    <definedName name="comp090511">'[4]assemblies F _ K'!$B$1790:$H$1799</definedName>
    <definedName name="comp090512">'[4]assemblies F _ K'!$B$1801:$H$1810</definedName>
    <definedName name="comp090513">'[4]assemblies F _ K'!$B$1812:$H$1821</definedName>
    <definedName name="comp090514">'[4]assemblies F _ K'!$B$1823:$H$1832</definedName>
    <definedName name="comp090515">'[4]assemblies F _ K'!$B$1834:$H$1843</definedName>
    <definedName name="comp090516">'[4]assemblies F _ K'!$B$1845:$H$1854</definedName>
    <definedName name="comp090517">'[4]assemblies F _ K'!$B$1856:$H$1865</definedName>
    <definedName name="comp090518">'[4]assemblies F _ K'!$B$1867:$H$1876</definedName>
    <definedName name="comp090519">'[4]assemblies F _ K'!$B$1878:$H$1887</definedName>
    <definedName name="comp090520">'[4]assemblies F _ K'!$B$1889:$H$1898</definedName>
    <definedName name="comp090521">'[4]assemblies F _ K'!$B$1900:$H$1909</definedName>
    <definedName name="comp090522">'[4]assemblies F _ K'!$B$1911:$H$1920</definedName>
    <definedName name="comp090601">'[4]assemblies F _ K'!$B$2011:$H$2019</definedName>
    <definedName name="comp090602">'[4]assemblies F _ K'!$B$2021:$H$2029</definedName>
    <definedName name="comp090603">'[4]assemblies F _ K'!$B$2031:$H$2039</definedName>
    <definedName name="comp090611">'[4]assemblies F _ K'!$B$2041:$H$2049</definedName>
    <definedName name="comp090612">'[4]assemblies F _ K'!$B$2051:$H$2059</definedName>
    <definedName name="comp090613">'[4]assemblies F _ K'!$B$2061:$H$2069</definedName>
    <definedName name="comp090614">'[4]assemblies F _ K'!$B$2071:$H$2079</definedName>
    <definedName name="comp090615">'[4]assemblies F _ K'!$B$2081:$H$2089</definedName>
    <definedName name="comp090616">'[4]assemblies F _ K'!$B$2091:$H$2099</definedName>
    <definedName name="comp090617">'[4]assemblies F _ K'!$B$2101:$H$2109</definedName>
    <definedName name="comp090618">'[4]assemblies F _ K'!$B$2111:$H$2119</definedName>
    <definedName name="comp090619">'[4]assemblies F _ K'!$B$2121:$H$2129</definedName>
    <definedName name="comp090620">'[4]assemblies F _ K'!$B$2131:$H$2139</definedName>
    <definedName name="comp090621">'[4]assemblies F _ K'!$B$2141:$H$2149</definedName>
    <definedName name="comp090631">'[4]assemblies F _ K'!$B$2151:$H$2159</definedName>
    <definedName name="comp090632">'[4]assemblies F _ K'!$B$2161:$H$2169</definedName>
    <definedName name="comp090633">'[4]assemblies F _ K'!$B$2171:$H$2179</definedName>
    <definedName name="comp090634">'[4]assemblies F _ K'!$B$2181:$H$2189</definedName>
    <definedName name="comp090635">'[4]assemblies F _ K'!$B$2191:$H$2199</definedName>
    <definedName name="comp090636">'[4]assemblies F _ K'!$B$2201:$H$2209</definedName>
    <definedName name="comp090637">'[4]assemblies F _ K'!$B$2211:$H$2219</definedName>
    <definedName name="comp090638">'[4]assemblies F _ K'!$B$2221:$H$2229</definedName>
    <definedName name="comp090639">'[4]assemblies F _ K'!$B$2231:$H$2239</definedName>
    <definedName name="comp090640">'[4]assemblies F _ K'!$B$2241:$H$2249</definedName>
    <definedName name="comp090641">'[4]assemblies F _ K'!$B$2251:$H$2259</definedName>
    <definedName name="comp091001">'[4]assemblies F _ K'!$B$1922:$H$1930</definedName>
    <definedName name="comp091002">'[4]assemblies F _ K'!$B$1932:$H$1940</definedName>
    <definedName name="comp091003">'[4]assemblies F _ K'!$B$1942:$H$1950</definedName>
    <definedName name="comp091004">'[4]assemblies F _ K'!$B$1952:$H$1960</definedName>
    <definedName name="comp091101">'[4]assemblies F _ K'!$B$2621:$H$2629</definedName>
    <definedName name="comp091102">'[4]assemblies F _ K'!$B$2403:$H$2411</definedName>
    <definedName name="comp091103">'[4]assemblies F _ K'!$B$2413:$H$2421</definedName>
    <definedName name="comp091104">'[4]assemblies F _ K'!$B$2423:$H$2431</definedName>
    <definedName name="comp091105">'[4]assemblies F _ K'!$B$2433:$H$2441</definedName>
    <definedName name="comp091106">'[4]assemblies F _ K'!$B$2443:$H$2451</definedName>
    <definedName name="comp091201">'[4]assemblies F _ K'!$B$2712:$H$2720</definedName>
    <definedName name="comp091202">'[4]assemblies F _ K'!$B$2722:$H$2730</definedName>
    <definedName name="comp091203">'[4]assemblies F _ K'!$B$2732:$H$2740</definedName>
    <definedName name="comp091204">'[4]assemblies F _ K'!$B$2742:$H$2750</definedName>
    <definedName name="comp091301">'[4]assemblies F _ K'!$B$2569:$H$2577</definedName>
    <definedName name="comp091302">'[4]assemblies F _ K'!$B$2579:$H$2587</definedName>
    <definedName name="comp091401">'[4]assemblies F _ K'!$B$2465:$H$2473</definedName>
    <definedName name="comp091402">'[4]assemblies F _ K'!$B$2475:$H$2483</definedName>
    <definedName name="comp091403">'[4]assemblies F _ K'!$B$2485:$H$2493</definedName>
    <definedName name="comp091404">'[4]assemblies F _ K'!$B$2495:$H$2503</definedName>
    <definedName name="comp091405">'[4]assemblies F _ K'!$B$2516:$H$2525</definedName>
    <definedName name="comp091406">'[4]assemblies F _ K'!$B$2527:$H$2536</definedName>
    <definedName name="comp091407">'[4]assemblies F _ K'!$B$2505:$H$2514</definedName>
    <definedName name="comp091501">'[4]assemblies F _ K'!$B$2701:$H$2710</definedName>
    <definedName name="comp091510">'[4]assemblies F _ K'!$B$2589:$H$2603</definedName>
    <definedName name="comp091511">'[4]assemblies F _ K'!$B$2605:$H$2619</definedName>
    <definedName name="comp091601">'[4]assemblies F _ K'!$B$1962:$H$1970</definedName>
    <definedName name="comp091701">'[1]assemblies A _ E'!$B$1139:$H$1142</definedName>
    <definedName name="comp092101">'[4]assemblies F _ K'!$B$1777:$H$1788</definedName>
    <definedName name="comp092102">'[4]assemblies F _ K'!$B$2393:$H$2401</definedName>
    <definedName name="comp093101">'[4]assemblies F _ K'!$B$2549:$H$2557</definedName>
    <definedName name="comp093102">'[4]assemblies F _ K'!$B$2559:$H$2567</definedName>
    <definedName name="comp093110">'[4]assemblies F _ K'!$B$2538:$H$2547</definedName>
    <definedName name="comp093115">'[4]assemblies F _ K'!$B$1999:$H$2009</definedName>
    <definedName name="comp093119">'[4]assemblies F _ K'!$B$2752:$H$2761</definedName>
    <definedName name="comp094101">'[1]assemblies A _ E'!$B$1144:$H$1154</definedName>
    <definedName name="comp094102">'[1]assemblies A _ E'!$B$1156:$H$1166</definedName>
    <definedName name="comp094103">'[1]assemblies A _ E'!$B$1180:$H$1190</definedName>
    <definedName name="comp094104">'[1]assemblies A _ E'!$B$1168:$H$1178</definedName>
    <definedName name="comp094105">'[1]assemblies A _ E'!$B$1192:$H$1202</definedName>
    <definedName name="comp094201">'[1]assemblies A _ E'!$B$1122:$H$1137</definedName>
    <definedName name="comp100101">'[4]assemblies F _ K'!$B$1626:$H$1629</definedName>
    <definedName name="comp100201">'[4]assemblies F _ K'!$B$1631:$H$1634</definedName>
    <definedName name="comp100210">'[3]assemblies R _ Z'!$B$808:$H$811</definedName>
    <definedName name="comp100301">'[4]assemblies F _ K'!$B$1636:$H$1639</definedName>
    <definedName name="comp110101">'[4]assemblies F _ K'!$B$1728:$H$1736</definedName>
    <definedName name="comp110201">'[4]assemblies F _ K'!$B$1738:$H$1745</definedName>
    <definedName name="comp120101">'[1]assemblies A _ E'!$B$1526:$H$1540</definedName>
    <definedName name="comp120102">'[1]assemblies A _ E'!$B$1510:$H$1524</definedName>
    <definedName name="comp120201">'[1]assemblies A _ E'!$B$2053:$H$2068</definedName>
    <definedName name="comp120301">'[3]assemblies R _ Z'!$B$102:$H$117</definedName>
    <definedName name="comp120302">'[3]assemblies R _ Z'!$B$119:$H$134</definedName>
    <definedName name="comp120303">'[3]assemblies R _ Z'!$B$136:$H$151</definedName>
    <definedName name="comp120401">'[3]assemblies R _ Z'!$B$527:$H$541</definedName>
    <definedName name="comp120402">'[3]assemblies R _ Z'!$B$561:$H$577</definedName>
    <definedName name="comp120403">'[3]assemblies R _ Z'!$B$543:$H$559</definedName>
    <definedName name="comp120404">'[3]assemblies R _ Z'!$B$579:$H$595</definedName>
    <definedName name="comp120501">'[1]assemblies A _ E'!$B$739:$H$751</definedName>
    <definedName name="comp120502">'[1]assemblies A _ E'!$B$753:$H$765</definedName>
    <definedName name="comp120503">'[1]assemblies A _ E'!$B$767:$H$779</definedName>
    <definedName name="comp120511">'[3]assemblies R _ Z'!$B$485:$H$497</definedName>
    <definedName name="comp120512">'[3]assemblies R _ Z'!$B$499:$H$511</definedName>
    <definedName name="comp120513">'[3]assemblies R _ Z'!$B$513:$H$525</definedName>
    <definedName name="comp120521">'[3]assemblies R _ Z'!$B$597:$H$608</definedName>
    <definedName name="comp120531">'[3]assemblies R _ Z'!$B$610:$H$620</definedName>
    <definedName name="comp120541">'[2]assemblies L _ Q'!$B$1299:$H$1316</definedName>
    <definedName name="comp120542">'[2]assemblies L _ Q'!$B$1318:$H$1333</definedName>
    <definedName name="comp120601">'[1]assemblies A _ E'!$B$1464:$H$1467</definedName>
    <definedName name="comp121101">'[4]assemblies F _ K'!$B$770:$H$779</definedName>
    <definedName name="comp121102">'[4]assemblies F _ K'!$B$781:$H$790</definedName>
    <definedName name="comp130001">'[2]assemblies L _ Q'!$B$88:$H$100</definedName>
    <definedName name="comp130002">'[2]assemblies L _ Q'!$B$102:$H$118</definedName>
    <definedName name="comp130003">'[2]assemblies L _ Q'!$B$120:$H$131</definedName>
    <definedName name="comp130004">'[2]assemblies L _ Q'!$B$133:$H$148</definedName>
    <definedName name="comp130005">'[2]assemblies L _ Q'!$B$150:$H$162</definedName>
    <definedName name="comp130006">'[2]assemblies L _ Q'!$B$164:$H$180</definedName>
    <definedName name="comp130007">'[2]assemblies L _ Q'!$B$182:$H$194</definedName>
    <definedName name="comp130008">'[2]assemblies L _ Q'!$B$196:$H$212</definedName>
    <definedName name="comp130009">'[2]assemblies L _ Q'!$B$214:$H$226</definedName>
    <definedName name="comp130010">'[2]assemblies L _ Q'!$B$228:$H$244</definedName>
    <definedName name="comp130011">'[2]assemblies L _ Q'!$B$246:$H$258</definedName>
    <definedName name="comp130012">'[2]assemblies L _ Q'!$B$260:$H$276</definedName>
    <definedName name="comp130013">'[2]assemblies L _ Q'!$B$278:$H$289</definedName>
    <definedName name="comp130014">'[2]assemblies L _ Q'!$B$291:$H$306</definedName>
    <definedName name="comp130015">'[2]assemblies L _ Q'!$B$308:$H$319</definedName>
    <definedName name="comp130016">'[2]assemblies L _ Q'!$B$321:$H$336</definedName>
    <definedName name="comp130017">'[2]assemblies L _ Q'!$B$338:$H$349</definedName>
    <definedName name="comp130018">'[2]assemblies L _ Q'!$B$351:$H$366</definedName>
    <definedName name="comp130019">'[2]assemblies L _ Q'!$B$368:$H$379</definedName>
    <definedName name="comp130020">'[2]assemblies L _ Q'!$B$381:$H$396</definedName>
    <definedName name="comp130101">'[3]assemblies R _ Z'!$B$383:$H$393</definedName>
    <definedName name="comp130102">'[3]assemblies R _ Z'!$B$371:$H$381</definedName>
    <definedName name="comp130103">'[3]assemblies R _ Z'!$B$347:$H$357</definedName>
    <definedName name="comp130104">'[3]assemblies R _ Z'!$B$359:$H$369</definedName>
    <definedName name="comp130201">'[2]assemblies L _ Q'!$B$1182:$H$1196</definedName>
    <definedName name="comp130202">'[2]assemblies L _ Q'!$B$1198:$H$1213</definedName>
    <definedName name="comp130211">'[2]assemblies L _ Q'!$B$1294:$H$1297</definedName>
    <definedName name="comp130221">'[2]assemblies L _ Q'!$B$1169:$H$1180</definedName>
    <definedName name="comp130231">'[2]assemblies L _ Q'!$B$1215:$H$1230</definedName>
    <definedName name="comp130241">'[2]assemblies L _ Q'!$B$1232:$H$1235</definedName>
    <definedName name="comp130251">'[2]assemblies L _ Q'!$B$1255:$H$1270</definedName>
    <definedName name="comp130252">'[2]assemblies L _ Q'!$B$1272:$H$1287</definedName>
    <definedName name="comp130261">'[2]assemblies L _ Q'!$B$1237:$H$1253</definedName>
    <definedName name="comp130271">'[2]assemblies L _ Q'!$B$1289:$H$1292</definedName>
    <definedName name="comp130311">'[3]assemblies R _ Z'!$B$709:$H$712</definedName>
    <definedName name="comp130321">'[3]assemblies R _ Z'!$B$672:$H$683</definedName>
    <definedName name="comp130351">'[3]assemblies R _ Z'!$B$685:$H$695</definedName>
    <definedName name="comp130352">'[3]assemblies R _ Z'!$B$697:$H$707</definedName>
    <definedName name="comp130361">'[3]assemblies R _ Z'!$B$714:$H$725</definedName>
    <definedName name="comp130402">'[3]assemblies R _ Z'!$B$863:$H$873</definedName>
    <definedName name="comp130451">'[3]assemblies R _ Z'!$B$875:$H$890</definedName>
    <definedName name="comp130501">'[1]assemblies A _ E'!$B$1216:$H$1237</definedName>
    <definedName name="comp130601">'[3]assemblies R _ Z'!$B$153:$H$157</definedName>
    <definedName name="comp130602">'[3]assemblies R _ Z'!$B$159:$H$163</definedName>
    <definedName name="comp130603">'[3]assemblies R _ Z'!$B$165:$H$169</definedName>
    <definedName name="comp140101">'[3]assemblies R _ Z'!$B$1420:$H$1423</definedName>
    <definedName name="comp140201">'[3]assemblies R _ Z'!$B$1430:$H$1433</definedName>
    <definedName name="comp140301">'[3]assemblies R _ Z'!$B$1425:$H$1428</definedName>
    <definedName name="comp140401">'[3]assemblies R _ Z'!$B$1435:$H$1438</definedName>
    <definedName name="comp140501">'[1]assemblies A _ E'!$B$2522:$H$2525</definedName>
    <definedName name="comp150201">'[1]assemblies A _ E'!$B$1996:$H$2005</definedName>
    <definedName name="comp150202">'[1]assemblies A _ E'!$B$2007:$H$2016</definedName>
    <definedName name="comp150203">'[1]assemblies A _ E'!$B$2018:$H$2027</definedName>
    <definedName name="comp150204">'[1]assemblies A _ E'!$B$2029:$H$2038</definedName>
    <definedName name="comp150301">'[2]assemblies L _ Q'!$B$956:$H$966</definedName>
    <definedName name="comp150302">'[2]assemblies L _ Q'!$B$968:$H$979</definedName>
    <definedName name="comp150303">'[2]assemblies L _ Q'!$B$981:$H$993</definedName>
    <definedName name="comp150304">'[2]assemblies L _ Q'!$B$995:$H$1007</definedName>
    <definedName name="comp150305">'[2]assemblies L _ Q'!$B$1009:$H$1019</definedName>
    <definedName name="comp150306">'[2]assemblies L _ Q'!$B$1021:$H$1030</definedName>
    <definedName name="comp150307">'[2]assemblies L _ Q'!$B$1032:$H$1042</definedName>
    <definedName name="comp150308">'[2]assemblies L _ Q'!$B$1044:$H$1053</definedName>
    <definedName name="comp150309">'[2]assemblies L _ Q'!$B$1055:$H$1067</definedName>
    <definedName name="comp150310">'[2]assemblies L _ Q'!$B$1069:$H$1077</definedName>
    <definedName name="comp150311">'[2]assemblies L _ Q'!$B$1107:$H$1117</definedName>
    <definedName name="comp150312">'[2]assemblies L _ Q'!$B$1119:$H$1128</definedName>
    <definedName name="comp150313">'[2]assemblies L _ Q'!$B$1130:$H$1142</definedName>
    <definedName name="comp150314">'[2]assemblies L _ Q'!$B$1144:$H$1154</definedName>
    <definedName name="comp150315">'[2]assemblies L _ Q'!$B$1156:$H$1167</definedName>
    <definedName name="comp150316">'[2]assemblies L _ Q'!$B$1079:$H$1091</definedName>
    <definedName name="comp150317">'[2]assemblies L _ Q'!$B$1093:$H$1105</definedName>
    <definedName name="comp160101">'[1]assemblies A _ E'!$B$2175:$H$2181</definedName>
    <definedName name="comp160102">'[1]assemblies A _ E'!$B$2259:$H$2262</definedName>
    <definedName name="comp160103">'[1]assemblies A _ E'!$B$2517:$H$2520</definedName>
    <definedName name="comp160104">'[1]assemblies A _ E'!$B$1590:$H$1593</definedName>
    <definedName name="comp160105">'[1]assemblies A _ E'!$B$1595:$H$1598</definedName>
    <definedName name="comp160110">'[1]assemblies A _ E'!$B$979:$H$982</definedName>
    <definedName name="comp160111">'[1]assemblies A _ E'!$B$984:$H$988</definedName>
    <definedName name="comp160121">'[2]assemblies L _ Q'!$B$1789:$H$1798</definedName>
    <definedName name="comp160122">'[3]assemblies R _ Z'!$B$416:$H$420</definedName>
    <definedName name="comp160123">'[3]assemblies R _ Z'!$B$395:$H$414</definedName>
    <definedName name="comp160131">'[2]assemblies L _ Q'!$B$79:$H$86</definedName>
    <definedName name="comp160132">'[2]assemblies L _ Q'!$B$70:$H$77</definedName>
    <definedName name="comp160141">'[3]assemblies R _ Z'!$B$813:$H$832</definedName>
    <definedName name="comp160142">'[2]assemblies L _ Q'!$B$500:$H$514</definedName>
    <definedName name="comp160151">'[3]assemblies R _ Z'!$B$433:$H$437</definedName>
    <definedName name="comp160201">'[2]assemblies L _ Q'!$B$811:$H$819</definedName>
    <definedName name="comp160211">'[1]assemblies A _ E'!$B$522:$H$537</definedName>
    <definedName name="comp160212">'[2]assemblies L _ Q'!$B$615:$H$631</definedName>
    <definedName name="comp160213">'[2]assemblies L _ Q'!$B$561:$H$577</definedName>
    <definedName name="comp160214">'[1]assemblies A _ E'!$B$505:$H$520</definedName>
    <definedName name="comp160215">'[2]assemblies L _ Q'!$B$579:$H$595</definedName>
    <definedName name="comp160216">'[2]assemblies L _ Q'!$B$597:$H$613</definedName>
    <definedName name="comp160221">'[1]assemblies A _ E'!$B$539:$H$549</definedName>
    <definedName name="comp160222">'[2]assemblies L _ Q'!$B$798:$H$809</definedName>
    <definedName name="comp160223">'[2]assemblies L _ Q'!$B$701:$H$710</definedName>
    <definedName name="comp160224">'[2]assemblies L _ Q'!$B$712:$H$721</definedName>
    <definedName name="comp160225">'[2]assemblies L _ Q'!$B$723:$H$732</definedName>
    <definedName name="comp160226">'[2]assemblies L _ Q'!$B$734:$H$748</definedName>
    <definedName name="comp160227">'[2]assemblies L _ Q'!$B$750:$H$764</definedName>
    <definedName name="comp160228">'[2]assemblies L _ Q'!$B$766:$H$780</definedName>
    <definedName name="comp160229">'[2]assemblies L _ Q'!$B$782:$H$796</definedName>
    <definedName name="comp160241">'[2]assemblies L _ Q'!$B$649:$H$659</definedName>
    <definedName name="comp160301">'[4]assemblies F _ K'!$B$1747:$H$1750</definedName>
    <definedName name="comp160302">'[4]assemblies F _ K'!$B$1752:$H$1755</definedName>
    <definedName name="comp160310">'[3]assemblies R _ Z'!$B$622:$H$625</definedName>
    <definedName name="comp160311">'[3]assemblies R _ Z'!$B$627:$H$630</definedName>
    <definedName name="comp160312">'[3]assemblies R _ Z'!$B$632:$H$635</definedName>
    <definedName name="comp160401">'[1]assemblies A _ E'!$B$913:$H$922</definedName>
    <definedName name="comp170101">'[2]assemblies L _ Q'!$B$2199:$H$2203</definedName>
    <definedName name="comp170102">'[4]assemblies F _ K'!$B$1719:$H$1726</definedName>
    <definedName name="comp170103">'[1]assemblies A _ E'!$B$113:$H$131</definedName>
    <definedName name="comp170104">'[1]assemblies A _ E'!$B$895:$H$911</definedName>
    <definedName name="comp170105">'[1]assemblies A _ E'!$B$1764:$H$1773</definedName>
    <definedName name="comp170106">'[1]assemblies A _ E'!$B$2165:$H$2168</definedName>
    <definedName name="comp170107">'[1]assemblies A _ E'!$B$2170:$H$2173</definedName>
    <definedName name="comp170108">'[1]assemblies A _ E'!$B$93:$H$111</definedName>
    <definedName name="comp170109">'[1]assemblies A _ E'!$B$73:$H$91</definedName>
    <definedName name="comp170110">'[1]assemblies A _ E'!$B$133:$H$151</definedName>
    <definedName name="comp170111">'[1]assemblies A _ E'!$B$2716:$H$2725</definedName>
    <definedName name="comp170121">'[4]assemblies F _ K'!$B$1671:$H$1674</definedName>
    <definedName name="comp170201">'[1]assemblies A _ E'!$B$1474:$H$1489</definedName>
    <definedName name="comp170202">'[1]assemblies A _ E'!$B$1491:$H$1503</definedName>
    <definedName name="comp170211">'[1]assemblies A _ E'!$B$1469:$H$1472</definedName>
    <definedName name="comp170231">'[1]assemblies A _ E'!$B$354:$H$357</definedName>
    <definedName name="comp170232">'[1]assemblies A _ E'!$B$68:$H$71</definedName>
    <definedName name="comp170301">'[1]assemblies A _ E'!$B$858:$H$874</definedName>
    <definedName name="comp170311">'[1]assemblies A _ E'!$B$876:$H$879</definedName>
    <definedName name="comp170401">'[1]assemblies A _ E'!$B$1505:$H$1508</definedName>
    <definedName name="comp170402">'[4]assemblies F _ K'!$B$1676:$H$1692</definedName>
    <definedName name="comp170411">'[1]assemblies A _ E'!$B$1600:$H$1603</definedName>
    <definedName name="comp170421">'[1]assemblies A _ E'!$B$990:$H$993</definedName>
    <definedName name="comp170501">'[2]assemblies L _ Q'!$B$2235:$H$2263</definedName>
    <definedName name="comp170601">'[3]assemblies R _ Z'!$B$428:$H$431</definedName>
    <definedName name="comp170602">'[3]assemblies R _ Z'!$B$450:$H$453</definedName>
    <definedName name="comp170702">'[1]assemblies A _ E'!$B$635:$H$645</definedName>
    <definedName name="comp170801">'[1]assemblies A _ E'!$B$2589:$H$2600</definedName>
    <definedName name="comp170811">'[4]assemblies F _ K'!$B$1699:$H$1702</definedName>
    <definedName name="comp170812">'[4]assemblies F _ K'!$B$1704:$H$1707</definedName>
    <definedName name="comp171101">'[2]assemblies L _ Q'!$B$495:$H$498</definedName>
    <definedName name="comp203201">'[1]assemblies A _ E'!$B$1254:$H$1261</definedName>
    <definedName name="comp203202">'[1]assemblies A _ E'!$B$1263:$H$1272</definedName>
    <definedName name="comp203203">'[1]assemblies A _ E'!$B$1274:$H$1281</definedName>
    <definedName name="comp203204">'[1]assemblies A _ E'!$B$1283:$H$1292</definedName>
    <definedName name="comp203205">'[1]assemblies A _ E'!$B$1294:$H$1301</definedName>
    <definedName name="comp203206">'[1]assemblies A _ E'!$B$1303:$H$1312</definedName>
    <definedName name="comp203207">'[1]assemblies A _ E'!$B$1314:$H$1321</definedName>
    <definedName name="comp203208">'[1]assemblies A _ E'!$B$1323:$H$1332</definedName>
    <definedName name="comp203209">'[1]assemblies A _ E'!$B$1334:$H$1341</definedName>
    <definedName name="comp203210">'[1]assemblies A _ E'!$B$1343:$H$1352</definedName>
    <definedName name="comp203211">'[1]assemblies A _ E'!$B$1354:$H$1361</definedName>
    <definedName name="comp203212">'[1]assemblies A _ E'!$B$1363:$H$1372</definedName>
    <definedName name="comp203213">'[1]assemblies A _ E'!$B$1374:$H$1381</definedName>
    <definedName name="comp203214">'[1]assemblies A _ E'!$B$1383:$H$1392</definedName>
    <definedName name="comp203301">'[1]assemblies A _ E'!$B$1404:$H$1411</definedName>
    <definedName name="comp203302">'[1]assemblies A _ E'!$B$1413:$H$1422</definedName>
    <definedName name="comp203303">'[1]assemblies A _ E'!$B$1424:$H$1431</definedName>
    <definedName name="comp203304">'[1]assemblies A _ E'!$B$1433:$H$1442</definedName>
    <definedName name="comp203305">'[1]assemblies A _ E'!$B$1444:$H$1451</definedName>
    <definedName name="comp203306">'[1]assemblies A _ E'!$B$1453:$H$1462</definedName>
    <definedName name="comp203501">'[1]assemblies A _ E'!$B$1645:$H$1652</definedName>
    <definedName name="comp203502">'[1]assemblies A _ E'!$B$1654:$H$1663</definedName>
    <definedName name="comp203601">'[1]assemblies A _ E'!$B$1605:$H$1612</definedName>
    <definedName name="comp203602">'[1]assemblies A _ E'!$B$1614:$H$1623</definedName>
    <definedName name="comp203603">'[1]assemblies A _ E'!$B$1625:$H$1632</definedName>
    <definedName name="comp203604">'[1]assemblies A _ E'!$B$1634:$H$1643</definedName>
    <definedName name="comp204101">'[1]assemblies A _ E'!$B$1960:$H$1967</definedName>
    <definedName name="comp204102">'[1]assemblies A _ E'!$B$1969:$H$1978</definedName>
    <definedName name="comp205101">'[1]assemblies A _ E'!$B$2439:$H$2446</definedName>
    <definedName name="comp205102">'[1]assemblies A _ E'!$B$2448:$H$2457</definedName>
    <definedName name="comp205103">'[1]assemblies A _ E'!$B$2459:$H$2466</definedName>
    <definedName name="comp205104">'[1]assemblies A _ E'!$B$2468:$H$2477</definedName>
    <definedName name="comp207201">'[4]assemblies F _ K'!$B$1641:$H$1647</definedName>
    <definedName name="comp207202">'[4]assemblies F _ K'!$B$1649:$H$1656</definedName>
    <definedName name="comp212201">'[2]assemblies L _ Q'!$B$670:$H$679</definedName>
    <definedName name="comp212301">'[2]assemblies L _ Q'!$B$681:$H$688</definedName>
    <definedName name="comp212302">'[2]assemblies L _ Q'!$B$690:$H$699</definedName>
    <definedName name="comp215101">'[2]assemblies L _ Q'!$B$881:$H$888</definedName>
    <definedName name="comp215102">'[2]assemblies L _ Q'!$B$890:$H$898</definedName>
    <definedName name="comp217201">'[3]assemblies R _ Z'!$B$465:$H$472</definedName>
    <definedName name="comp217202">'[3]assemblies R _ Z'!$B$474:$H$483</definedName>
    <definedName name="comp217301">'[3]assemblies R _ Z'!$B$747:$H$754</definedName>
    <definedName name="comp217302">'[3]assemblies R _ Z'!$B$756:$H$765</definedName>
    <definedName name="comp217303">'[3]assemblies R _ Z'!$B$767:$H$774</definedName>
    <definedName name="comp217304">'[3]assemblies R _ Z'!$B$776:$H$785</definedName>
    <definedName name="comp217305">'[3]assemblies R _ Z'!$B$727:$H$734</definedName>
    <definedName name="comp217306">'[3]assemblies R _ Z'!$B$736:$H$745</definedName>
    <definedName name="comp219201">'[3]assemblies R _ Z'!$B$1081:$H$1088</definedName>
    <definedName name="comp219202">'[3]assemblies R _ Z'!$B$1090:$H$1099</definedName>
    <definedName name="comp219203">'[3]assemblies R _ Z'!$B$1101:$H$1108</definedName>
    <definedName name="comp219204">'[3]assemblies R _ Z'!$B$1110:$H$1119</definedName>
    <definedName name="comp219205">'[3]assemblies R _ Z'!$B$1121:$H$1125</definedName>
    <definedName name="comp219206">'[3]assemblies R _ Z'!$B$1127:$H$1131</definedName>
    <definedName name="comp219207">'[3]assemblies R _ Z'!$B$1133:$H$1140</definedName>
    <definedName name="comp219208">'[3]assemblies R _ Z'!$B$1142:$H$1151</definedName>
    <definedName name="comp219209">'[3]assemblies R _ Z'!$B$1153:$H$1160</definedName>
    <definedName name="comp219210">'[3]assemblies R _ Z'!$B$1162:$H$1171</definedName>
    <definedName name="Excel_BuiltIn__FilterDatabase_1" localSheetId="8">#REF!</definedName>
    <definedName name="Excel_BuiltIn__FilterDatabase_1" localSheetId="5">#REF!</definedName>
    <definedName name="Excel_BuiltIn__FilterDatabase_1">#REF!</definedName>
    <definedName name="FoFo" localSheetId="8">#REF!</definedName>
    <definedName name="FoFo" localSheetId="5">#REF!</definedName>
    <definedName name="FoFo">#REF!</definedName>
    <definedName name="_xlnm.Recorder" localSheetId="8">#REF!</definedName>
    <definedName name="_xlnm.Recorder" localSheetId="5">#REF!</definedName>
    <definedName name="_xlnm.Recorder">#REF!</definedName>
    <definedName name="mãodeobra" localSheetId="8">#REF!</definedName>
    <definedName name="mãodeobra" localSheetId="5">#REF!</definedName>
    <definedName name="mãodeobra">#REF!</definedName>
    <definedName name="materiais" localSheetId="8">#REF!</definedName>
    <definedName name="materiais" localSheetId="5">#REF!</definedName>
    <definedName name="materiais">#REF!</definedName>
    <definedName name="MBV" localSheetId="8">#REF!</definedName>
    <definedName name="MBV" localSheetId="5">#REF!</definedName>
    <definedName name="MBV">#REF!</definedName>
    <definedName name="Par" localSheetId="8">#REF!</definedName>
    <definedName name="Par" localSheetId="5">#REF!</definedName>
    <definedName name="Par">#REF!</definedName>
    <definedName name="PVC" localSheetId="8">#REF!</definedName>
    <definedName name="PVC" localSheetId="5">#REF!</definedName>
    <definedName name="PVC">#REF!</definedName>
    <definedName name="serviçosterceirizados" localSheetId="8">#REF!</definedName>
    <definedName name="serviçosterceirizados" localSheetId="5">#REF!</definedName>
    <definedName name="serviçosterceirizados">#REF!</definedName>
    <definedName name="SSS" localSheetId="8">#REF!</definedName>
    <definedName name="SSS" localSheetId="5">#REF!</definedName>
    <definedName name="SSS">#REF!</definedName>
    <definedName name="_xlnm.Print_Titles" localSheetId="12">Cronograma!$1:$9</definedName>
    <definedName name="_xlnm.Print_Titles" localSheetId="18">'Interceptor (materiais)'!$1:$6</definedName>
    <definedName name="_xlnm.Print_Titles" localSheetId="17">'Interceptor(mão-de-obra)'!$1:$6</definedName>
    <definedName name="_xlnm.Print_Titles" localSheetId="2">'Planilha Boa Vista'!$2:$13</definedName>
    <definedName name="_xlnm.Print_Titles" localSheetId="5">'PLANILHA RESUMO'!$1:$9</definedName>
    <definedName name="_xlnm.Print_Titles" localSheetId="1">PRELIMINARES!$2:$11</definedName>
    <definedName name="_xlnm.Print_Titles" localSheetId="16">'Resumo interceptor'!$1:$7</definedName>
    <definedName name="usodeequipamentos" localSheetId="8">#REF!</definedName>
    <definedName name="usodeequipamentos" localSheetId="5">#REF!</definedName>
    <definedName name="usodeequipamentos">#REF!</definedName>
    <definedName name="VTE" localSheetId="8">#REF!</definedName>
    <definedName name="VTE" localSheetId="5">#REF!</definedName>
    <definedName name="VTE">#REF!</definedName>
  </definedNames>
  <calcPr calcId="152511"/>
</workbook>
</file>

<file path=xl/calcChain.xml><?xml version="1.0" encoding="utf-8"?>
<calcChain xmlns="http://schemas.openxmlformats.org/spreadsheetml/2006/main">
  <c r="L23" i="35" l="1"/>
  <c r="I66" i="29" l="1"/>
  <c r="I67" i="29"/>
  <c r="I68" i="29"/>
  <c r="I70" i="29"/>
  <c r="I71" i="29"/>
  <c r="I72" i="29"/>
  <c r="I73" i="29"/>
  <c r="I74" i="29"/>
  <c r="I75" i="29"/>
  <c r="I76" i="29"/>
  <c r="I77" i="29"/>
  <c r="I78" i="29"/>
  <c r="I79" i="29"/>
  <c r="I285" i="32"/>
  <c r="I43" i="32"/>
  <c r="I44" i="32"/>
  <c r="I370" i="32"/>
  <c r="I369" i="32"/>
  <c r="K61" i="29"/>
  <c r="I61" i="29"/>
  <c r="J61" i="29"/>
  <c r="J65" i="29"/>
  <c r="I257" i="32" l="1"/>
  <c r="J77" i="29" l="1"/>
  <c r="J78" i="29"/>
  <c r="J60" i="29"/>
  <c r="J62" i="29"/>
  <c r="J63" i="29"/>
  <c r="J59" i="29"/>
  <c r="J34" i="29"/>
  <c r="J35" i="29"/>
  <c r="J36" i="29"/>
  <c r="J37" i="29"/>
  <c r="J38" i="29"/>
  <c r="J39" i="29"/>
  <c r="J40" i="29"/>
  <c r="J41" i="29"/>
  <c r="J42" i="29"/>
  <c r="J43" i="29"/>
  <c r="J44" i="29"/>
  <c r="J45" i="29"/>
  <c r="J46" i="29"/>
  <c r="J47" i="29"/>
  <c r="J48" i="29"/>
  <c r="J49" i="29"/>
  <c r="J50" i="29"/>
  <c r="J51" i="29"/>
  <c r="J52" i="29"/>
  <c r="J53" i="29"/>
  <c r="J54" i="29"/>
  <c r="J55" i="29"/>
  <c r="J56" i="29"/>
  <c r="J57" i="29"/>
  <c r="J33" i="29"/>
  <c r="J17" i="29"/>
  <c r="J24" i="29"/>
  <c r="J25" i="29"/>
  <c r="J26" i="29"/>
  <c r="J27" i="29"/>
  <c r="J28" i="29"/>
  <c r="J29" i="29"/>
  <c r="K8" i="35"/>
  <c r="K12" i="35"/>
  <c r="K14" i="35"/>
  <c r="K10" i="35"/>
  <c r="K6" i="35"/>
  <c r="F15" i="31"/>
  <c r="J58" i="29" l="1"/>
  <c r="J32" i="29"/>
  <c r="J14" i="29"/>
  <c r="G79" i="29" l="1"/>
  <c r="J79" i="29" s="1"/>
  <c r="K78" i="29"/>
  <c r="K77" i="29"/>
  <c r="G76" i="29"/>
  <c r="J76" i="29" s="1"/>
  <c r="G75" i="29"/>
  <c r="J75" i="29" s="1"/>
  <c r="G73" i="29"/>
  <c r="J73" i="29" s="1"/>
  <c r="G72" i="29"/>
  <c r="J72" i="29" s="1"/>
  <c r="G71" i="29"/>
  <c r="J71" i="29" s="1"/>
  <c r="G70" i="29"/>
  <c r="J70" i="29" s="1"/>
  <c r="G68" i="29"/>
  <c r="J68" i="29" s="1"/>
  <c r="G66" i="29"/>
  <c r="J66" i="29" s="1"/>
  <c r="I371" i="32"/>
  <c r="I361" i="32"/>
  <c r="I358" i="32"/>
  <c r="I343" i="32"/>
  <c r="I342" i="32"/>
  <c r="I339" i="32"/>
  <c r="I331" i="32"/>
  <c r="I327" i="32"/>
  <c r="I10" i="32"/>
  <c r="I9" i="32"/>
  <c r="I351" i="32"/>
  <c r="I366" i="32" l="1"/>
  <c r="I372" i="32"/>
  <c r="I373" i="32" s="1"/>
  <c r="I344" i="32"/>
  <c r="I345" i="32" s="1"/>
  <c r="I346" i="32" s="1"/>
  <c r="I348" i="32" s="1"/>
  <c r="H13" i="29" s="1"/>
  <c r="K76" i="29"/>
  <c r="K79" i="29"/>
  <c r="G74" i="29"/>
  <c r="J74" i="29" s="1"/>
  <c r="G67" i="29"/>
  <c r="J67" i="29" s="1"/>
  <c r="K70" i="29"/>
  <c r="K73" i="29"/>
  <c r="K75" i="29"/>
  <c r="K66" i="29"/>
  <c r="K68" i="29"/>
  <c r="K72" i="29"/>
  <c r="K71" i="29"/>
  <c r="I374" i="32" l="1"/>
  <c r="I376" i="32" s="1"/>
  <c r="H69" i="29" s="1"/>
  <c r="K74" i="29"/>
  <c r="K67" i="29"/>
  <c r="J69" i="29" l="1"/>
  <c r="J64" i="29" s="1"/>
  <c r="I69" i="29"/>
  <c r="K69" i="29" s="1"/>
  <c r="I315" i="32"/>
  <c r="I314" i="32"/>
  <c r="I310" i="32"/>
  <c r="I309" i="32"/>
  <c r="I308" i="32"/>
  <c r="I307" i="32"/>
  <c r="I306" i="32"/>
  <c r="I294" i="32"/>
  <c r="I293" i="32"/>
  <c r="I283" i="32"/>
  <c r="I282" i="32"/>
  <c r="I278" i="32"/>
  <c r="I277" i="32"/>
  <c r="I276" i="32"/>
  <c r="I275" i="32"/>
  <c r="I274" i="32"/>
  <c r="I295" i="32" l="1"/>
  <c r="I311" i="32"/>
  <c r="I316" i="32"/>
  <c r="I263" i="32"/>
  <c r="I284" i="32"/>
  <c r="I279" i="32"/>
  <c r="I317" i="32" l="1"/>
  <c r="I318" i="32" s="1"/>
  <c r="I320" i="32" s="1"/>
  <c r="H31" i="29" s="1"/>
  <c r="J31" i="29" s="1"/>
  <c r="I286" i="32"/>
  <c r="I288" i="32" s="1"/>
  <c r="H30" i="29" s="1"/>
  <c r="J30" i="29" s="1"/>
  <c r="I8" i="32" l="1"/>
  <c r="I7" i="32"/>
  <c r="I250" i="32"/>
  <c r="I249" i="32"/>
  <c r="I248" i="32"/>
  <c r="I244" i="32"/>
  <c r="I243" i="32"/>
  <c r="I242" i="32"/>
  <c r="I241" i="32"/>
  <c r="I240" i="32"/>
  <c r="I236" i="32"/>
  <c r="I235" i="32"/>
  <c r="I234" i="32"/>
  <c r="I233" i="32"/>
  <c r="I232" i="32"/>
  <c r="I228" i="32"/>
  <c r="I229" i="32" s="1"/>
  <c r="I217" i="32"/>
  <c r="I216" i="32"/>
  <c r="I215" i="32"/>
  <c r="I211" i="32"/>
  <c r="I210" i="32"/>
  <c r="I209" i="32"/>
  <c r="I208" i="32"/>
  <c r="I207" i="32"/>
  <c r="I203" i="32"/>
  <c r="I202" i="32"/>
  <c r="I201" i="32"/>
  <c r="I200" i="32"/>
  <c r="I199" i="32"/>
  <c r="I195" i="32"/>
  <c r="I196" i="32" s="1"/>
  <c r="I168" i="32"/>
  <c r="I169" i="32"/>
  <c r="I170" i="32"/>
  <c r="I184" i="32"/>
  <c r="I183" i="32"/>
  <c r="I182" i="32"/>
  <c r="I178" i="32"/>
  <c r="I177" i="32"/>
  <c r="I176" i="32"/>
  <c r="I175" i="32"/>
  <c r="I174" i="32"/>
  <c r="I167" i="32"/>
  <c r="I166" i="32"/>
  <c r="I162" i="32"/>
  <c r="I163" i="32" s="1"/>
  <c r="I141" i="32"/>
  <c r="I134" i="32"/>
  <c r="I133" i="32"/>
  <c r="I151" i="32"/>
  <c r="I150" i="32"/>
  <c r="I149" i="32"/>
  <c r="I145" i="32"/>
  <c r="I144" i="32"/>
  <c r="I143" i="32"/>
  <c r="I142" i="32"/>
  <c r="I129" i="32"/>
  <c r="I130" i="32" s="1"/>
  <c r="I138" i="32" l="1"/>
  <c r="I146" i="32"/>
  <c r="I171" i="32"/>
  <c r="I152" i="32"/>
  <c r="I185" i="32"/>
  <c r="I251" i="32"/>
  <c r="I218" i="32"/>
  <c r="I179" i="32"/>
  <c r="I237" i="32"/>
  <c r="I245" i="32"/>
  <c r="I212" i="32"/>
  <c r="I204" i="32"/>
  <c r="Q8" i="30"/>
  <c r="Q9" i="30"/>
  <c r="Q10" i="30"/>
  <c r="Q11" i="30"/>
  <c r="Q12" i="30"/>
  <c r="Q13" i="30"/>
  <c r="Q14" i="30"/>
  <c r="Q15" i="30"/>
  <c r="Q16" i="30"/>
  <c r="Q17" i="30"/>
  <c r="Q18" i="30"/>
  <c r="Q19" i="30"/>
  <c r="Q20" i="30"/>
  <c r="Q21" i="30"/>
  <c r="Q22" i="30"/>
  <c r="Q23" i="30"/>
  <c r="Q24" i="30"/>
  <c r="Q25" i="30"/>
  <c r="Q26" i="30"/>
  <c r="Q27" i="30"/>
  <c r="Q28" i="30"/>
  <c r="Q29" i="30"/>
  <c r="Q30" i="30"/>
  <c r="Q31" i="30"/>
  <c r="Q32" i="30"/>
  <c r="Q33" i="30"/>
  <c r="Q34" i="30"/>
  <c r="Q35" i="30"/>
  <c r="Q36" i="30"/>
  <c r="Q37" i="30"/>
  <c r="Q38" i="30"/>
  <c r="Q39" i="30"/>
  <c r="Q40" i="30"/>
  <c r="Q41" i="30"/>
  <c r="Q42" i="30"/>
  <c r="Q43" i="30"/>
  <c r="Q44" i="30"/>
  <c r="Q45" i="30"/>
  <c r="Q46" i="30"/>
  <c r="Q47" i="30"/>
  <c r="Q48" i="30"/>
  <c r="Q49" i="30"/>
  <c r="Q50" i="30"/>
  <c r="Q51" i="30"/>
  <c r="Q52" i="30"/>
  <c r="Q53" i="30"/>
  <c r="Q54" i="30"/>
  <c r="Q55" i="30"/>
  <c r="Q56" i="30"/>
  <c r="Q57" i="30"/>
  <c r="Q58" i="30"/>
  <c r="Q59" i="30"/>
  <c r="Q60" i="30"/>
  <c r="Q61" i="30"/>
  <c r="Q62" i="30"/>
  <c r="Q63" i="30"/>
  <c r="Q64" i="30"/>
  <c r="Q65" i="30"/>
  <c r="Q66" i="30"/>
  <c r="Q67" i="30"/>
  <c r="Q68" i="30"/>
  <c r="Q69" i="30"/>
  <c r="Q70" i="30"/>
  <c r="Q71" i="30"/>
  <c r="Q72" i="30"/>
  <c r="Q7" i="30"/>
  <c r="L73" i="30"/>
  <c r="M73" i="30"/>
  <c r="N73" i="30"/>
  <c r="O73" i="30"/>
  <c r="P73" i="30"/>
  <c r="K73" i="30"/>
  <c r="I30" i="32"/>
  <c r="I118" i="32"/>
  <c r="I117" i="32"/>
  <c r="I116" i="32"/>
  <c r="I115" i="32"/>
  <c r="I111" i="32"/>
  <c r="I110" i="32"/>
  <c r="I109" i="32"/>
  <c r="I108" i="32"/>
  <c r="I104" i="32"/>
  <c r="I153" i="32" l="1"/>
  <c r="I154" i="32" s="1"/>
  <c r="I156" i="32" s="1"/>
  <c r="H19" i="29" s="1"/>
  <c r="Q73" i="30"/>
  <c r="I186" i="32"/>
  <c r="I187" i="32" s="1"/>
  <c r="I189" i="32" s="1"/>
  <c r="H21" i="29" s="1"/>
  <c r="J21" i="29" s="1"/>
  <c r="I252" i="32"/>
  <c r="I253" i="32" s="1"/>
  <c r="I255" i="32" s="1"/>
  <c r="H23" i="29" s="1"/>
  <c r="J23" i="29" s="1"/>
  <c r="I219" i="32"/>
  <c r="I220" i="32" s="1"/>
  <c r="I222" i="32" s="1"/>
  <c r="H22" i="29" s="1"/>
  <c r="J22" i="29" s="1"/>
  <c r="I112" i="32"/>
  <c r="I119" i="32"/>
  <c r="I120" i="32" s="1"/>
  <c r="H20" i="29" l="1"/>
  <c r="J20" i="29" s="1"/>
  <c r="J19" i="29"/>
  <c r="I121" i="32"/>
  <c r="I123" i="32" s="1"/>
  <c r="H18" i="29" s="1"/>
  <c r="J18" i="29" s="1"/>
  <c r="F18" i="33"/>
  <c r="F17" i="33"/>
  <c r="F16" i="33"/>
  <c r="F15" i="33"/>
  <c r="E14" i="33"/>
  <c r="E34" i="33" s="1"/>
  <c r="K6" i="29" s="1"/>
  <c r="I86" i="32"/>
  <c r="I85" i="32"/>
  <c r="I82" i="32"/>
  <c r="I74" i="32"/>
  <c r="I70" i="32"/>
  <c r="I48" i="32"/>
  <c r="I50" i="32" s="1"/>
  <c r="I32" i="32"/>
  <c r="I31" i="32"/>
  <c r="I22" i="32"/>
  <c r="I21" i="32"/>
  <c r="I20" i="32"/>
  <c r="I19" i="32"/>
  <c r="I18" i="32"/>
  <c r="I17" i="32"/>
  <c r="I16" i="32"/>
  <c r="I15" i="32"/>
  <c r="I11" i="32"/>
  <c r="I12" i="32" s="1"/>
  <c r="F14" i="33" l="1"/>
  <c r="I34" i="29"/>
  <c r="I42" i="29"/>
  <c r="K42" i="29" s="1"/>
  <c r="I50" i="29"/>
  <c r="I33" i="29"/>
  <c r="K33" i="29" s="1"/>
  <c r="I36" i="29"/>
  <c r="K36" i="29" s="1"/>
  <c r="I52" i="29"/>
  <c r="K52" i="29" s="1"/>
  <c r="I39" i="29"/>
  <c r="K39" i="29" s="1"/>
  <c r="I47" i="29"/>
  <c r="K47" i="29" s="1"/>
  <c r="I56" i="29"/>
  <c r="I57" i="29"/>
  <c r="I35" i="29"/>
  <c r="K35" i="29" s="1"/>
  <c r="I43" i="29"/>
  <c r="K43" i="29" s="1"/>
  <c r="I51" i="29"/>
  <c r="K51" i="29" s="1"/>
  <c r="I38" i="29"/>
  <c r="K38" i="29" s="1"/>
  <c r="I40" i="29"/>
  <c r="K40" i="29" s="1"/>
  <c r="I41" i="29"/>
  <c r="K41" i="29" s="1"/>
  <c r="I44" i="29"/>
  <c r="K44" i="29" s="1"/>
  <c r="I37" i="29"/>
  <c r="K37" i="29" s="1"/>
  <c r="I45" i="29"/>
  <c r="K45" i="29" s="1"/>
  <c r="I53" i="29"/>
  <c r="K53" i="29" s="1"/>
  <c r="I54" i="29"/>
  <c r="K54" i="29" s="1"/>
  <c r="I55" i="29"/>
  <c r="K55" i="29" s="1"/>
  <c r="I48" i="29"/>
  <c r="K48" i="29" s="1"/>
  <c r="I46" i="29"/>
  <c r="K46" i="29" s="1"/>
  <c r="I49" i="29"/>
  <c r="K49" i="29" s="1"/>
  <c r="I87" i="32"/>
  <c r="I88" i="32" s="1"/>
  <c r="I89" i="32" s="1"/>
  <c r="I91" i="32" s="1"/>
  <c r="I45" i="32"/>
  <c r="I60" i="32" s="1"/>
  <c r="I61" i="32" s="1"/>
  <c r="I63" i="32" s="1"/>
  <c r="H11" i="29" s="1"/>
  <c r="J11" i="29" s="1"/>
  <c r="I33" i="32"/>
  <c r="I23" i="32"/>
  <c r="F29" i="33"/>
  <c r="J13" i="29" l="1"/>
  <c r="I34" i="32"/>
  <c r="I35" i="32" l="1"/>
  <c r="I37" i="32" s="1"/>
  <c r="K57" i="29"/>
  <c r="H12" i="29" l="1"/>
  <c r="J12" i="29" s="1"/>
  <c r="J10" i="29" s="1"/>
  <c r="K56" i="29"/>
  <c r="K34" i="29" l="1"/>
  <c r="K50" i="29"/>
  <c r="K32" i="29" l="1"/>
  <c r="D11" i="35" s="1"/>
  <c r="H18" i="28"/>
  <c r="H17" i="28"/>
  <c r="G11" i="35" l="1"/>
  <c r="F11" i="35"/>
  <c r="H11" i="35"/>
  <c r="I11" i="35"/>
  <c r="E11" i="35"/>
  <c r="F20" i="31"/>
  <c r="F18" i="31"/>
  <c r="F17" i="31"/>
  <c r="F16" i="31"/>
  <c r="E14" i="31"/>
  <c r="K11" i="35" l="1"/>
  <c r="F14" i="31"/>
  <c r="E34" i="31"/>
  <c r="K7" i="29" s="1"/>
  <c r="F29" i="31"/>
  <c r="I65" i="29" l="1"/>
  <c r="K65" i="29" s="1"/>
  <c r="K64" i="29" s="1"/>
  <c r="D15" i="35" s="1"/>
  <c r="I63" i="29"/>
  <c r="K63" i="29" s="1"/>
  <c r="I60" i="29"/>
  <c r="K60" i="29" s="1"/>
  <c r="I27" i="29"/>
  <c r="K27" i="29" s="1"/>
  <c r="I31" i="29"/>
  <c r="K31" i="29" s="1"/>
  <c r="I29" i="29"/>
  <c r="K29" i="29" s="1"/>
  <c r="I62" i="29"/>
  <c r="K62" i="29" s="1"/>
  <c r="I24" i="29"/>
  <c r="K24" i="29" s="1"/>
  <c r="I28" i="29"/>
  <c r="K28" i="29" s="1"/>
  <c r="I17" i="29"/>
  <c r="K17" i="29" s="1"/>
  <c r="I25" i="29"/>
  <c r="K25" i="29" s="1"/>
  <c r="I59" i="29"/>
  <c r="K59" i="29" s="1"/>
  <c r="I26" i="29"/>
  <c r="K26" i="29" s="1"/>
  <c r="I30" i="29"/>
  <c r="K30" i="29" s="1"/>
  <c r="I14" i="29"/>
  <c r="K14" i="29" s="1"/>
  <c r="I22" i="29"/>
  <c r="K22" i="29" s="1"/>
  <c r="I19" i="29"/>
  <c r="K19" i="29" s="1"/>
  <c r="I21" i="29"/>
  <c r="K21" i="29" s="1"/>
  <c r="I20" i="29"/>
  <c r="K20" i="29" s="1"/>
  <c r="I23" i="29"/>
  <c r="K23" i="29" s="1"/>
  <c r="I18" i="29"/>
  <c r="K18" i="29" s="1"/>
  <c r="I11" i="29"/>
  <c r="I12" i="29"/>
  <c r="I13" i="29"/>
  <c r="K13" i="29" s="1"/>
  <c r="H9" i="28"/>
  <c r="H14" i="28"/>
  <c r="H22" i="28"/>
  <c r="H26" i="28"/>
  <c r="H25" i="28"/>
  <c r="G13" i="23"/>
  <c r="G14" i="23"/>
  <c r="H14" i="23" s="1"/>
  <c r="R16" i="5"/>
  <c r="G16" i="5" s="1"/>
  <c r="H16" i="5" s="1"/>
  <c r="R17" i="5"/>
  <c r="G17" i="5" s="1"/>
  <c r="H17" i="5" s="1"/>
  <c r="R18" i="5"/>
  <c r="G18" i="5" s="1"/>
  <c r="H18" i="5" s="1"/>
  <c r="R19" i="5"/>
  <c r="G19" i="5" s="1"/>
  <c r="H19" i="5" s="1"/>
  <c r="R22" i="5"/>
  <c r="G22" i="5" s="1"/>
  <c r="H22" i="5" s="1"/>
  <c r="R23" i="5"/>
  <c r="G23" i="5" s="1"/>
  <c r="H23" i="5" s="1"/>
  <c r="U23" i="5" s="1"/>
  <c r="I23" i="5" s="1"/>
  <c r="P23" i="5" s="1"/>
  <c r="R25" i="5"/>
  <c r="G25" i="5" s="1"/>
  <c r="H25" i="5" s="1"/>
  <c r="R26" i="5"/>
  <c r="G26" i="5" s="1"/>
  <c r="H26" i="5" s="1"/>
  <c r="R27" i="5"/>
  <c r="G27" i="5" s="1"/>
  <c r="H27" i="5" s="1"/>
  <c r="R28" i="5"/>
  <c r="G28" i="5" s="1"/>
  <c r="H28" i="5" s="1"/>
  <c r="R29" i="5"/>
  <c r="G29" i="5" s="1"/>
  <c r="H29" i="5" s="1"/>
  <c r="R30" i="5"/>
  <c r="G30" i="5" s="1"/>
  <c r="H30" i="5" s="1"/>
  <c r="R32" i="5"/>
  <c r="G32" i="5" s="1"/>
  <c r="H32" i="5" s="1"/>
  <c r="R33" i="5"/>
  <c r="G33" i="5" s="1"/>
  <c r="H33" i="5" s="1"/>
  <c r="R34" i="5"/>
  <c r="G34" i="5" s="1"/>
  <c r="H34" i="5" s="1"/>
  <c r="R35" i="5"/>
  <c r="G35" i="5" s="1"/>
  <c r="H35" i="5" s="1"/>
  <c r="R36" i="5"/>
  <c r="G36" i="5" s="1"/>
  <c r="H36" i="5" s="1"/>
  <c r="R37" i="5"/>
  <c r="G37" i="5" s="1"/>
  <c r="H37" i="5" s="1"/>
  <c r="R39" i="5"/>
  <c r="G39" i="5" s="1"/>
  <c r="H39" i="5" s="1"/>
  <c r="W39" i="5" s="1"/>
  <c r="K39" i="5" s="1"/>
  <c r="R40" i="5"/>
  <c r="G40" i="5" s="1"/>
  <c r="H40" i="5" s="1"/>
  <c r="R41" i="5"/>
  <c r="G41" i="5" s="1"/>
  <c r="H41" i="5" s="1"/>
  <c r="R42" i="5"/>
  <c r="G42" i="5" s="1"/>
  <c r="H42" i="5" s="1"/>
  <c r="R43" i="5"/>
  <c r="G43" i="5" s="1"/>
  <c r="H43" i="5" s="1"/>
  <c r="R45" i="5"/>
  <c r="G45" i="5" s="1"/>
  <c r="H45" i="5" s="1"/>
  <c r="R48" i="5"/>
  <c r="G48" i="5" s="1"/>
  <c r="H48" i="5" s="1"/>
  <c r="U48" i="5" s="1"/>
  <c r="I48" i="5" s="1"/>
  <c r="P48" i="5" s="1"/>
  <c r="R50" i="5"/>
  <c r="G50" i="5" s="1"/>
  <c r="H50" i="5" s="1"/>
  <c r="U50" i="5" s="1"/>
  <c r="I50" i="5" s="1"/>
  <c r="P50" i="5" s="1"/>
  <c r="R51" i="5"/>
  <c r="G51" i="5" s="1"/>
  <c r="H51" i="5" s="1"/>
  <c r="R52" i="5"/>
  <c r="G52" i="5" s="1"/>
  <c r="H52" i="5" s="1"/>
  <c r="R53" i="5"/>
  <c r="G53" i="5" s="1"/>
  <c r="H53" i="5" s="1"/>
  <c r="R54" i="5"/>
  <c r="G54" i="5" s="1"/>
  <c r="R55" i="5"/>
  <c r="G55" i="5" s="1"/>
  <c r="H55" i="5" s="1"/>
  <c r="R56" i="5"/>
  <c r="G56" i="5" s="1"/>
  <c r="H56" i="5" s="1"/>
  <c r="R57" i="5"/>
  <c r="G57" i="5" s="1"/>
  <c r="H57" i="5" s="1"/>
  <c r="R59" i="5"/>
  <c r="G59" i="5" s="1"/>
  <c r="H59" i="5" s="1"/>
  <c r="R60" i="5"/>
  <c r="G60" i="5" s="1"/>
  <c r="H60" i="5" s="1"/>
  <c r="U60" i="5" s="1"/>
  <c r="I60" i="5" s="1"/>
  <c r="P60" i="5" s="1"/>
  <c r="R61" i="5"/>
  <c r="G61" i="5" s="1"/>
  <c r="H61" i="5" s="1"/>
  <c r="R62" i="5"/>
  <c r="G62" i="5" s="1"/>
  <c r="H62" i="5" s="1"/>
  <c r="R63" i="5"/>
  <c r="G63" i="5" s="1"/>
  <c r="H63" i="5" s="1"/>
  <c r="R64" i="5"/>
  <c r="G64" i="5" s="1"/>
  <c r="H64" i="5" s="1"/>
  <c r="R65" i="5"/>
  <c r="G65" i="5" s="1"/>
  <c r="H65" i="5" s="1"/>
  <c r="R66" i="5"/>
  <c r="G66" i="5" s="1"/>
  <c r="H66" i="5" s="1"/>
  <c r="R67" i="5"/>
  <c r="G67" i="5" s="1"/>
  <c r="H67" i="5" s="1"/>
  <c r="R68" i="5"/>
  <c r="G68" i="5" s="1"/>
  <c r="H68" i="5" s="1"/>
  <c r="R69" i="5"/>
  <c r="G69" i="5" s="1"/>
  <c r="H69" i="5" s="1"/>
  <c r="R70" i="5"/>
  <c r="G70" i="5" s="1"/>
  <c r="H70" i="5" s="1"/>
  <c r="R72" i="5"/>
  <c r="G72" i="5" s="1"/>
  <c r="H72" i="5" s="1"/>
  <c r="R73" i="5"/>
  <c r="G73" i="5" s="1"/>
  <c r="H73" i="5" s="1"/>
  <c r="R74" i="5"/>
  <c r="G74" i="5" s="1"/>
  <c r="H74" i="5" s="1"/>
  <c r="U74" i="5" s="1"/>
  <c r="I74" i="5" s="1"/>
  <c r="P74" i="5" s="1"/>
  <c r="R75" i="5"/>
  <c r="G75" i="5" s="1"/>
  <c r="H75" i="5" s="1"/>
  <c r="R76" i="5"/>
  <c r="G76" i="5" s="1"/>
  <c r="H76" i="5" s="1"/>
  <c r="U76" i="5" s="1"/>
  <c r="I76" i="5" s="1"/>
  <c r="P76" i="5" s="1"/>
  <c r="Q76" i="5" s="1"/>
  <c r="R77" i="5"/>
  <c r="G77" i="5" s="1"/>
  <c r="H77" i="5" s="1"/>
  <c r="U77" i="5" s="1"/>
  <c r="I77" i="5" s="1"/>
  <c r="P77" i="5" s="1"/>
  <c r="Q77" i="5" s="1"/>
  <c r="R79" i="5"/>
  <c r="G79" i="5" s="1"/>
  <c r="H79" i="5" s="1"/>
  <c r="U79" i="5" s="1"/>
  <c r="I79" i="5" s="1"/>
  <c r="P79" i="5" s="1"/>
  <c r="R80" i="5"/>
  <c r="G80" i="5" s="1"/>
  <c r="H80" i="5" s="1"/>
  <c r="R81" i="5"/>
  <c r="G81" i="5" s="1"/>
  <c r="H81" i="5" s="1"/>
  <c r="U81" i="5" s="1"/>
  <c r="I81" i="5" s="1"/>
  <c r="P81" i="5" s="1"/>
  <c r="R82" i="5"/>
  <c r="G82" i="5" s="1"/>
  <c r="H82" i="5" s="1"/>
  <c r="U82" i="5" s="1"/>
  <c r="I82" i="5" s="1"/>
  <c r="P82" i="5" s="1"/>
  <c r="R83" i="5"/>
  <c r="G83" i="5" s="1"/>
  <c r="H83" i="5" s="1"/>
  <c r="R84" i="5"/>
  <c r="G84" i="5" s="1"/>
  <c r="H84" i="5" s="1"/>
  <c r="U84" i="5" s="1"/>
  <c r="I84" i="5" s="1"/>
  <c r="P84" i="5" s="1"/>
  <c r="R86" i="5"/>
  <c r="G86" i="5" s="1"/>
  <c r="H86" i="5" s="1"/>
  <c r="I86" i="5" s="1"/>
  <c r="P86" i="5" s="1"/>
  <c r="R88" i="5"/>
  <c r="G88" i="5" s="1"/>
  <c r="H88" i="5" s="1"/>
  <c r="R89" i="5"/>
  <c r="G89" i="5" s="1"/>
  <c r="H89" i="5" s="1"/>
  <c r="R90" i="5"/>
  <c r="G90" i="5" s="1"/>
  <c r="H90" i="5" s="1"/>
  <c r="R91" i="5"/>
  <c r="G91" i="5" s="1"/>
  <c r="H91" i="5" s="1"/>
  <c r="R92" i="5"/>
  <c r="G92" i="5" s="1"/>
  <c r="H92" i="5" s="1"/>
  <c r="R95" i="5"/>
  <c r="G95" i="5" s="1"/>
  <c r="H95" i="5" s="1"/>
  <c r="R96" i="5"/>
  <c r="G96" i="5" s="1"/>
  <c r="H96" i="5" s="1"/>
  <c r="R98" i="5"/>
  <c r="G98" i="5" s="1"/>
  <c r="H98" i="5" s="1"/>
  <c r="R100" i="5"/>
  <c r="G100" i="5" s="1"/>
  <c r="H100" i="5" s="1"/>
  <c r="R101" i="5"/>
  <c r="G101" i="5" s="1"/>
  <c r="H101" i="5" s="1"/>
  <c r="R102" i="5"/>
  <c r="G102" i="5" s="1"/>
  <c r="H102" i="5" s="1"/>
  <c r="R104" i="5"/>
  <c r="G104" i="5" s="1"/>
  <c r="H104" i="5" s="1"/>
  <c r="R105" i="5"/>
  <c r="G105" i="5" s="1"/>
  <c r="H105" i="5" s="1"/>
  <c r="R106" i="5"/>
  <c r="G106" i="5"/>
  <c r="H106" i="5" s="1"/>
  <c r="R108" i="5"/>
  <c r="G108" i="5" s="1"/>
  <c r="H108" i="5" s="1"/>
  <c r="R109" i="5"/>
  <c r="G109" i="5" s="1"/>
  <c r="H109" i="5" s="1"/>
  <c r="R112" i="5"/>
  <c r="G112" i="5" s="1"/>
  <c r="H112" i="5" s="1"/>
  <c r="R114" i="5"/>
  <c r="G114" i="5" s="1"/>
  <c r="H114" i="5" s="1"/>
  <c r="R116" i="5"/>
  <c r="G116" i="5" s="1"/>
  <c r="H116" i="5" s="1"/>
  <c r="R117" i="5"/>
  <c r="G117" i="5" s="1"/>
  <c r="H117" i="5" s="1"/>
  <c r="R118" i="5"/>
  <c r="G118" i="5" s="1"/>
  <c r="H118" i="5" s="1"/>
  <c r="V118" i="5" s="1"/>
  <c r="J118" i="5" s="1"/>
  <c r="R119" i="5"/>
  <c r="G119" i="5" s="1"/>
  <c r="R120" i="5"/>
  <c r="G120" i="5" s="1"/>
  <c r="H120" i="5" s="1"/>
  <c r="R121" i="5"/>
  <c r="G121" i="5" s="1"/>
  <c r="H121" i="5" s="1"/>
  <c r="R122" i="5"/>
  <c r="G122" i="5" s="1"/>
  <c r="H122" i="5" s="1"/>
  <c r="R123" i="5"/>
  <c r="G123" i="5" s="1"/>
  <c r="H123" i="5" s="1"/>
  <c r="R124" i="5"/>
  <c r="G124" i="5" s="1"/>
  <c r="H124" i="5" s="1"/>
  <c r="R125" i="5"/>
  <c r="G125" i="5" s="1"/>
  <c r="H125" i="5" s="1"/>
  <c r="V125" i="5" s="1"/>
  <c r="J125" i="5" s="1"/>
  <c r="R127" i="5"/>
  <c r="G127" i="5" s="1"/>
  <c r="H127" i="5" s="1"/>
  <c r="R129" i="5"/>
  <c r="G129" i="5" s="1"/>
  <c r="H129" i="5" s="1"/>
  <c r="W129" i="5" s="1"/>
  <c r="K129" i="5" s="1"/>
  <c r="R131" i="5"/>
  <c r="G131" i="5" s="1"/>
  <c r="H131" i="5" s="1"/>
  <c r="G7" i="18"/>
  <c r="D12" i="18"/>
  <c r="C28" i="18" s="1"/>
  <c r="E13" i="18"/>
  <c r="F13" i="18" s="1"/>
  <c r="E14" i="18"/>
  <c r="F14" i="18" s="1"/>
  <c r="E15" i="18"/>
  <c r="E16" i="18"/>
  <c r="F16" i="18" s="1"/>
  <c r="E22" i="18"/>
  <c r="F22" i="18" s="1"/>
  <c r="G22" i="18" s="1"/>
  <c r="F18" i="18"/>
  <c r="G18" i="18" s="1"/>
  <c r="F20" i="18"/>
  <c r="G20" i="18" s="1"/>
  <c r="G10" i="19"/>
  <c r="D15" i="19"/>
  <c r="C31" i="19" s="1"/>
  <c r="E16" i="19"/>
  <c r="F16" i="19" s="1"/>
  <c r="E17" i="19"/>
  <c r="F17" i="19" s="1"/>
  <c r="E18" i="19"/>
  <c r="E19" i="19"/>
  <c r="F19" i="19" s="1"/>
  <c r="E25" i="19"/>
  <c r="F25" i="19" s="1"/>
  <c r="G25" i="19" s="1"/>
  <c r="F21" i="19"/>
  <c r="G21" i="19" s="1"/>
  <c r="F23" i="19"/>
  <c r="G23" i="19" s="1"/>
  <c r="C4" i="11"/>
  <c r="AU10" i="7"/>
  <c r="AU11" i="7"/>
  <c r="AU12" i="7"/>
  <c r="AU13" i="7"/>
  <c r="AT14" i="7"/>
  <c r="J14" i="7" s="1"/>
  <c r="AV14" i="7" s="1"/>
  <c r="AU14" i="7"/>
  <c r="AT15" i="7"/>
  <c r="AF15" i="7" s="1"/>
  <c r="AU15" i="7"/>
  <c r="AT16" i="7"/>
  <c r="AU16" i="7"/>
  <c r="AT17" i="7"/>
  <c r="AR17" i="7" s="1"/>
  <c r="AU17" i="7"/>
  <c r="AT18" i="7"/>
  <c r="J18" i="7"/>
  <c r="AV18" i="7" s="1"/>
  <c r="AU18" i="7"/>
  <c r="AT19" i="7"/>
  <c r="AU19" i="7"/>
  <c r="AT20" i="7"/>
  <c r="J20" i="7" s="1"/>
  <c r="AV20" i="7" s="1"/>
  <c r="AU20" i="7"/>
  <c r="AT21" i="7"/>
  <c r="AJ21" i="7" s="1"/>
  <c r="AU21" i="7"/>
  <c r="AT22" i="7"/>
  <c r="J22" i="7" s="1"/>
  <c r="AV22" i="7" s="1"/>
  <c r="AU22" i="7"/>
  <c r="AT23" i="7"/>
  <c r="AF23" i="7" s="1"/>
  <c r="AU23" i="7"/>
  <c r="AT24" i="7"/>
  <c r="AB24" i="7" s="1"/>
  <c r="AU24" i="7"/>
  <c r="AT25" i="7"/>
  <c r="AR25" i="7" s="1"/>
  <c r="AU25" i="7"/>
  <c r="AT26" i="7"/>
  <c r="J26" i="7" s="1"/>
  <c r="AV26" i="7" s="1"/>
  <c r="AU26" i="7"/>
  <c r="AT27" i="7"/>
  <c r="AU27" i="7"/>
  <c r="AT28" i="7"/>
  <c r="J28" i="7"/>
  <c r="AV28" i="7" s="1"/>
  <c r="AU28" i="7"/>
  <c r="AT29" i="7"/>
  <c r="AJ29" i="7" s="1"/>
  <c r="AU29" i="7"/>
  <c r="AT30" i="7"/>
  <c r="J30" i="7" s="1"/>
  <c r="AV30" i="7" s="1"/>
  <c r="AU30" i="7"/>
  <c r="AT31" i="7"/>
  <c r="AF31" i="7" s="1"/>
  <c r="AU31" i="7"/>
  <c r="AT32" i="7"/>
  <c r="AH32" i="7" s="1"/>
  <c r="AU32" i="7"/>
  <c r="AT33" i="7"/>
  <c r="AR33" i="7" s="1"/>
  <c r="AU33" i="7"/>
  <c r="AT34" i="7"/>
  <c r="J34" i="7" s="1"/>
  <c r="AV34" i="7" s="1"/>
  <c r="AU34" i="7"/>
  <c r="AT35" i="7"/>
  <c r="AU35" i="7"/>
  <c r="AT36" i="7"/>
  <c r="J36" i="7" s="1"/>
  <c r="AV36" i="7" s="1"/>
  <c r="AU36" i="7"/>
  <c r="AT37" i="7"/>
  <c r="R37" i="7" s="1"/>
  <c r="AU37" i="7"/>
  <c r="AT38" i="7"/>
  <c r="J38" i="7" s="1"/>
  <c r="AU38" i="7"/>
  <c r="AT39" i="7"/>
  <c r="L39" i="7" s="1"/>
  <c r="AU39" i="7"/>
  <c r="AT40" i="7"/>
  <c r="J40" i="7" s="1"/>
  <c r="AU40" i="7"/>
  <c r="AT41" i="7"/>
  <c r="AU41" i="7"/>
  <c r="AT42" i="7"/>
  <c r="J42" i="7" s="1"/>
  <c r="AU42" i="7"/>
  <c r="AT43" i="7"/>
  <c r="AU43" i="7"/>
  <c r="AT44" i="7"/>
  <c r="J44" i="7" s="1"/>
  <c r="AU44" i="7"/>
  <c r="AT45" i="7"/>
  <c r="AF45" i="7" s="1"/>
  <c r="AU45" i="7"/>
  <c r="AT46" i="7"/>
  <c r="J46" i="7" s="1"/>
  <c r="AU46" i="7"/>
  <c r="AT47" i="7"/>
  <c r="AU47" i="7"/>
  <c r="AT48" i="7"/>
  <c r="J48" i="7" s="1"/>
  <c r="AU48" i="7"/>
  <c r="AT49" i="7"/>
  <c r="AU49" i="7"/>
  <c r="AT50" i="7"/>
  <c r="J50" i="7" s="1"/>
  <c r="AU50" i="7"/>
  <c r="AT51" i="7"/>
  <c r="T51" i="7" s="1"/>
  <c r="AU51" i="7"/>
  <c r="AU55" i="7"/>
  <c r="AU56" i="7"/>
  <c r="AU57" i="7"/>
  <c r="AU58" i="7"/>
  <c r="K59" i="7"/>
  <c r="K60" i="7" s="1"/>
  <c r="K61" i="7" s="1"/>
  <c r="M59" i="7"/>
  <c r="O59" i="7"/>
  <c r="O69" i="7" s="1"/>
  <c r="Q59" i="7"/>
  <c r="S59" i="7"/>
  <c r="AI59" i="7"/>
  <c r="AI69" i="7" s="1"/>
  <c r="AK59" i="7"/>
  <c r="AK69" i="7" s="1"/>
  <c r="AM59" i="7"/>
  <c r="AM69" i="7" s="1"/>
  <c r="AO59" i="7"/>
  <c r="AO60" i="7" s="1"/>
  <c r="AO62" i="7" s="1"/>
  <c r="AQ59" i="7"/>
  <c r="AQ60" i="7" s="1"/>
  <c r="AQ62" i="7" s="1"/>
  <c r="AS59" i="7"/>
  <c r="AS60" i="7" s="1"/>
  <c r="AS61" i="7" s="1"/>
  <c r="AS62" i="7" s="1"/>
  <c r="AS63" i="7" s="1"/>
  <c r="O60" i="7"/>
  <c r="O61" i="7" s="1"/>
  <c r="U60" i="7"/>
  <c r="U62" i="7" s="1"/>
  <c r="W60" i="7"/>
  <c r="W62" i="7" s="1"/>
  <c r="Y60" i="7"/>
  <c r="AA60" i="7"/>
  <c r="AA62" i="7" s="1"/>
  <c r="AC60" i="7"/>
  <c r="AC62" i="7" s="1"/>
  <c r="AE60" i="7"/>
  <c r="AE62" i="7" s="1"/>
  <c r="AG60" i="7"/>
  <c r="AG62" i="7" s="1"/>
  <c r="Y62" i="7"/>
  <c r="K69" i="7"/>
  <c r="J37" i="7"/>
  <c r="AV37" i="7" s="1"/>
  <c r="L37" i="7"/>
  <c r="X37" i="7"/>
  <c r="Z37" i="7"/>
  <c r="AB37" i="7"/>
  <c r="AN37" i="7"/>
  <c r="AP37" i="7"/>
  <c r="AR37" i="7"/>
  <c r="J141" i="9"/>
  <c r="L141" i="9" s="1"/>
  <c r="J142" i="9"/>
  <c r="L142" i="9" s="1"/>
  <c r="L149" i="9"/>
  <c r="J150" i="9"/>
  <c r="L150" i="9" s="1"/>
  <c r="J151" i="9"/>
  <c r="L151" i="9" s="1"/>
  <c r="L153" i="9"/>
  <c r="L154" i="9"/>
  <c r="J155" i="9"/>
  <c r="L155" i="9" s="1"/>
  <c r="J156" i="9"/>
  <c r="L156" i="9" s="1"/>
  <c r="L159" i="9"/>
  <c r="L160" i="9"/>
  <c r="L161" i="9"/>
  <c r="J162" i="9"/>
  <c r="L162" i="9" s="1"/>
  <c r="J163" i="9"/>
  <c r="L163" i="9" s="1"/>
  <c r="L125" i="10"/>
  <c r="L126" i="10"/>
  <c r="L127" i="10"/>
  <c r="L128" i="10"/>
  <c r="L129" i="10"/>
  <c r="L130" i="10"/>
  <c r="L133" i="10"/>
  <c r="L134" i="10"/>
  <c r="L136" i="10"/>
  <c r="L137" i="10"/>
  <c r="L138" i="10"/>
  <c r="L139" i="10"/>
  <c r="L140" i="10"/>
  <c r="L149" i="10"/>
  <c r="L150" i="10"/>
  <c r="L151" i="10"/>
  <c r="J152" i="10"/>
  <c r="L152" i="10" s="1"/>
  <c r="J153" i="10"/>
  <c r="L153" i="10" s="1"/>
  <c r="J154" i="10"/>
  <c r="L154" i="10" s="1"/>
  <c r="J83" i="9"/>
  <c r="L83" i="9" s="1"/>
  <c r="J84" i="9"/>
  <c r="L84" i="9" s="1"/>
  <c r="L88" i="9"/>
  <c r="L89" i="9"/>
  <c r="J90" i="9"/>
  <c r="L90" i="9" s="1"/>
  <c r="J91" i="9"/>
  <c r="L91" i="9" s="1"/>
  <c r="L93" i="9"/>
  <c r="J94" i="9"/>
  <c r="L94" i="9" s="1"/>
  <c r="J95" i="9"/>
  <c r="L95" i="9" s="1"/>
  <c r="L97" i="9"/>
  <c r="L98" i="9"/>
  <c r="J99" i="9"/>
  <c r="L99" i="9" s="1"/>
  <c r="J100" i="9"/>
  <c r="L100" i="9" s="1"/>
  <c r="L103" i="9"/>
  <c r="J104" i="9"/>
  <c r="L104" i="9" s="1"/>
  <c r="J105" i="9"/>
  <c r="L105" i="9" s="1"/>
  <c r="L115" i="9"/>
  <c r="J116" i="9"/>
  <c r="L116" i="9" s="1"/>
  <c r="J117" i="9"/>
  <c r="L117" i="9" s="1"/>
  <c r="J118" i="9"/>
  <c r="L118" i="9" s="1"/>
  <c r="J119" i="9"/>
  <c r="L119" i="9" s="1"/>
  <c r="L120" i="9"/>
  <c r="L121" i="9"/>
  <c r="J122" i="9"/>
  <c r="L122" i="9" s="1"/>
  <c r="J123" i="9"/>
  <c r="L123" i="9" s="1"/>
  <c r="J124" i="9"/>
  <c r="L124" i="9" s="1"/>
  <c r="J125" i="9"/>
  <c r="L125" i="9" s="1"/>
  <c r="L128" i="9"/>
  <c r="L129" i="9"/>
  <c r="J130" i="9"/>
  <c r="L130" i="9" s="1"/>
  <c r="J131" i="9"/>
  <c r="L131" i="9" s="1"/>
  <c r="J132" i="9"/>
  <c r="L132" i="9" s="1"/>
  <c r="J133" i="9"/>
  <c r="L133" i="9" s="1"/>
  <c r="L47" i="10"/>
  <c r="L48" i="10"/>
  <c r="J49" i="10"/>
  <c r="L49" i="10" s="1"/>
  <c r="J50" i="10"/>
  <c r="L50" i="10" s="1"/>
  <c r="J51" i="10"/>
  <c r="L51" i="10" s="1"/>
  <c r="J52" i="10"/>
  <c r="L52" i="10" s="1"/>
  <c r="L58" i="10"/>
  <c r="J59" i="10"/>
  <c r="L59" i="10" s="1"/>
  <c r="J60" i="10"/>
  <c r="L60" i="10" s="1"/>
  <c r="J61" i="10"/>
  <c r="L61" i="10" s="1"/>
  <c r="J62" i="10"/>
  <c r="L62" i="10" s="1"/>
  <c r="J63" i="10"/>
  <c r="L63" i="10" s="1"/>
  <c r="L66" i="10"/>
  <c r="J67" i="10"/>
  <c r="L67" i="10" s="1"/>
  <c r="J68" i="10"/>
  <c r="L68" i="10" s="1"/>
  <c r="J69" i="10"/>
  <c r="L69" i="10" s="1"/>
  <c r="J70" i="10"/>
  <c r="L70" i="10" s="1"/>
  <c r="J71" i="10"/>
  <c r="L71" i="10" s="1"/>
  <c r="L79" i="10"/>
  <c r="L80" i="10"/>
  <c r="J81" i="10"/>
  <c r="L81" i="10" s="1"/>
  <c r="J82" i="10"/>
  <c r="L82" i="10" s="1"/>
  <c r="J83" i="10"/>
  <c r="L83" i="10" s="1"/>
  <c r="J84" i="10"/>
  <c r="L84" i="10" s="1"/>
  <c r="J85" i="10"/>
  <c r="L85" i="10" s="1"/>
  <c r="J86" i="10"/>
  <c r="L86" i="10" s="1"/>
  <c r="L88" i="10"/>
  <c r="L89" i="10"/>
  <c r="J90" i="10"/>
  <c r="L90" i="10" s="1"/>
  <c r="L92" i="10"/>
  <c r="L95" i="10"/>
  <c r="J96" i="10"/>
  <c r="L96" i="10" s="1"/>
  <c r="J97" i="10"/>
  <c r="L97" i="10" s="1"/>
  <c r="J98" i="10"/>
  <c r="L98" i="10" s="1"/>
  <c r="J99" i="10"/>
  <c r="L99" i="10" s="1"/>
  <c r="L101" i="10"/>
  <c r="J102" i="10"/>
  <c r="L102" i="10" s="1"/>
  <c r="J103" i="10"/>
  <c r="L103" i="10" s="1"/>
  <c r="J104" i="10"/>
  <c r="L104" i="10" s="1"/>
  <c r="J105" i="10"/>
  <c r="L105" i="10" s="1"/>
  <c r="L114" i="10"/>
  <c r="L115" i="10"/>
  <c r="L116" i="10"/>
  <c r="J117" i="10"/>
  <c r="L117" i="10" s="1"/>
  <c r="J118" i="10"/>
  <c r="L118" i="10" s="1"/>
  <c r="J119" i="10"/>
  <c r="L119" i="10" s="1"/>
  <c r="J120" i="10"/>
  <c r="L120" i="10" s="1"/>
  <c r="J28" i="9"/>
  <c r="L28" i="9" s="1"/>
  <c r="L29" i="9"/>
  <c r="L30" i="9"/>
  <c r="L31" i="9"/>
  <c r="J32" i="9"/>
  <c r="L32" i="9" s="1"/>
  <c r="L33" i="9"/>
  <c r="L34" i="9"/>
  <c r="J35" i="9"/>
  <c r="L35" i="9" s="1"/>
  <c r="L42" i="9"/>
  <c r="L43" i="9"/>
  <c r="L44" i="9"/>
  <c r="L45" i="9"/>
  <c r="J46" i="9"/>
  <c r="L46" i="9" s="1"/>
  <c r="J47" i="9"/>
  <c r="L47" i="9" s="1"/>
  <c r="J48" i="9"/>
  <c r="L48" i="9" s="1"/>
  <c r="J49" i="9"/>
  <c r="L49" i="9" s="1"/>
  <c r="L52" i="9"/>
  <c r="L53" i="9"/>
  <c r="L54" i="9"/>
  <c r="J55" i="9"/>
  <c r="L55" i="9" s="1"/>
  <c r="J56" i="9"/>
  <c r="L56" i="9" s="1"/>
  <c r="L58" i="9"/>
  <c r="J59" i="9"/>
  <c r="L59" i="9" s="1"/>
  <c r="J60" i="9"/>
  <c r="L60" i="9" s="1"/>
  <c r="L62" i="9"/>
  <c r="J63" i="9"/>
  <c r="L63" i="9" s="1"/>
  <c r="L65" i="9"/>
  <c r="J66" i="9"/>
  <c r="L66" i="9" s="1"/>
  <c r="L69" i="9"/>
  <c r="J70" i="9"/>
  <c r="L70" i="9"/>
  <c r="J14" i="9"/>
  <c r="L14" i="9" s="1"/>
  <c r="J15" i="9"/>
  <c r="L15" i="9" s="1"/>
  <c r="J16" i="9"/>
  <c r="L16" i="9" s="1"/>
  <c r="J17" i="9"/>
  <c r="L17" i="9"/>
  <c r="L20" i="9"/>
  <c r="J21" i="9"/>
  <c r="L21" i="9" s="1"/>
  <c r="J22" i="9"/>
  <c r="L22" i="9" s="1"/>
  <c r="J16" i="10"/>
  <c r="L16" i="10" s="1"/>
  <c r="J17" i="10"/>
  <c r="L17" i="10" s="1"/>
  <c r="AL50" i="7"/>
  <c r="AJ50" i="7"/>
  <c r="AH50" i="7"/>
  <c r="AD50" i="7"/>
  <c r="V50" i="7"/>
  <c r="T50" i="7"/>
  <c r="R50" i="7"/>
  <c r="N50" i="7"/>
  <c r="X49" i="7"/>
  <c r="AN48" i="7"/>
  <c r="Z48" i="7"/>
  <c r="AR47" i="7"/>
  <c r="AB47" i="7"/>
  <c r="L47" i="7"/>
  <c r="AR46" i="7"/>
  <c r="AP46" i="7"/>
  <c r="AL46" i="7"/>
  <c r="AD46" i="7"/>
  <c r="AB46" i="7"/>
  <c r="Z46" i="7"/>
  <c r="V46" i="7"/>
  <c r="N46" i="7"/>
  <c r="L46" i="7"/>
  <c r="AP44" i="7"/>
  <c r="R44" i="7"/>
  <c r="T43" i="7"/>
  <c r="AL42" i="7"/>
  <c r="AJ42" i="7"/>
  <c r="AH42" i="7"/>
  <c r="AD42" i="7"/>
  <c r="V42" i="7"/>
  <c r="T42" i="7"/>
  <c r="R42" i="7"/>
  <c r="N42" i="7"/>
  <c r="Z40" i="7"/>
  <c r="R40" i="7"/>
  <c r="AR39" i="7"/>
  <c r="AB39" i="7"/>
  <c r="AR38" i="7"/>
  <c r="AP38" i="7"/>
  <c r="AL38" i="7"/>
  <c r="AD38" i="7"/>
  <c r="AB38" i="7"/>
  <c r="Z38" i="7"/>
  <c r="V38" i="7"/>
  <c r="N38" i="7"/>
  <c r="L38" i="7"/>
  <c r="AP36" i="7"/>
  <c r="AJ36" i="7"/>
  <c r="Z36" i="7"/>
  <c r="T36" i="7"/>
  <c r="AF35" i="7"/>
  <c r="P35" i="7"/>
  <c r="AR34" i="7"/>
  <c r="AP34" i="7"/>
  <c r="AN34" i="7"/>
  <c r="AL34" i="7"/>
  <c r="AJ34" i="7"/>
  <c r="AH34" i="7"/>
  <c r="AF34" i="7"/>
  <c r="AD34" i="7"/>
  <c r="AB34" i="7"/>
  <c r="Z34" i="7"/>
  <c r="X34" i="7"/>
  <c r="V34" i="7"/>
  <c r="T34" i="7"/>
  <c r="R34" i="7"/>
  <c r="P34" i="7"/>
  <c r="N34" i="7"/>
  <c r="L34" i="7"/>
  <c r="AL33" i="7"/>
  <c r="AJ33" i="7"/>
  <c r="AH33" i="7"/>
  <c r="AD33" i="7"/>
  <c r="V33" i="7"/>
  <c r="T33" i="7"/>
  <c r="R33" i="7"/>
  <c r="N33" i="7"/>
  <c r="AP32" i="7"/>
  <c r="AH31" i="7"/>
  <c r="AR30" i="7"/>
  <c r="AP30" i="7"/>
  <c r="AN30" i="7"/>
  <c r="AL30" i="7"/>
  <c r="AJ30" i="7"/>
  <c r="AH30" i="7"/>
  <c r="AF30" i="7"/>
  <c r="AD30" i="7"/>
  <c r="AB30" i="7"/>
  <c r="Z30" i="7"/>
  <c r="X30" i="7"/>
  <c r="V30" i="7"/>
  <c r="T30" i="7"/>
  <c r="R30" i="7"/>
  <c r="P30" i="7"/>
  <c r="N30" i="7"/>
  <c r="L30" i="7"/>
  <c r="AR29" i="7"/>
  <c r="AP29" i="7"/>
  <c r="AL29" i="7"/>
  <c r="AD29" i="7"/>
  <c r="AB29" i="7"/>
  <c r="Z29" i="7"/>
  <c r="V29" i="7"/>
  <c r="N29" i="7"/>
  <c r="L29" i="7"/>
  <c r="AR28" i="7"/>
  <c r="AP28" i="7"/>
  <c r="AN28" i="7"/>
  <c r="AL28" i="7"/>
  <c r="AJ28" i="7"/>
  <c r="AH28" i="7"/>
  <c r="AF28" i="7"/>
  <c r="AD28" i="7"/>
  <c r="AB28" i="7"/>
  <c r="Z28" i="7"/>
  <c r="X28" i="7"/>
  <c r="V28" i="7"/>
  <c r="T28" i="7"/>
  <c r="R28" i="7"/>
  <c r="P28" i="7"/>
  <c r="N28" i="7"/>
  <c r="L28" i="7"/>
  <c r="AH27" i="7"/>
  <c r="R27" i="7"/>
  <c r="AL26" i="7"/>
  <c r="AF26" i="7"/>
  <c r="V26" i="7"/>
  <c r="P26" i="7"/>
  <c r="AL25" i="7"/>
  <c r="AJ25" i="7"/>
  <c r="AH25" i="7"/>
  <c r="AD25" i="7"/>
  <c r="V25" i="7"/>
  <c r="T25" i="7"/>
  <c r="R25" i="7"/>
  <c r="N25" i="7"/>
  <c r="T24" i="7"/>
  <c r="AP23" i="7"/>
  <c r="AN23" i="7"/>
  <c r="AL23" i="7"/>
  <c r="AH23" i="7"/>
  <c r="Z23" i="7"/>
  <c r="X23" i="7"/>
  <c r="V23" i="7"/>
  <c r="R23" i="7"/>
  <c r="AP22" i="7"/>
  <c r="AJ22" i="7"/>
  <c r="Z22" i="7"/>
  <c r="T22" i="7"/>
  <c r="AR21" i="7"/>
  <c r="AP21" i="7"/>
  <c r="AL21" i="7"/>
  <c r="AD21" i="7"/>
  <c r="AB21" i="7"/>
  <c r="Z21" i="7"/>
  <c r="V21" i="7"/>
  <c r="N21" i="7"/>
  <c r="L21" i="7"/>
  <c r="AN20" i="7"/>
  <c r="X20" i="7"/>
  <c r="AR18" i="7"/>
  <c r="AP18" i="7"/>
  <c r="AN18" i="7"/>
  <c r="AL18" i="7"/>
  <c r="AJ18" i="7"/>
  <c r="AH18" i="7"/>
  <c r="AF18" i="7"/>
  <c r="AD18" i="7"/>
  <c r="AB18" i="7"/>
  <c r="Z18" i="7"/>
  <c r="X18" i="7"/>
  <c r="V18" i="7"/>
  <c r="T18" i="7"/>
  <c r="R18" i="7"/>
  <c r="P18" i="7"/>
  <c r="N18" i="7"/>
  <c r="L18" i="7"/>
  <c r="V17" i="7"/>
  <c r="N17" i="7"/>
  <c r="AL16" i="7"/>
  <c r="AD16" i="7"/>
  <c r="V16" i="7"/>
  <c r="N16" i="7"/>
  <c r="AP15" i="7"/>
  <c r="AN15" i="7"/>
  <c r="AL15" i="7"/>
  <c r="AH15" i="7"/>
  <c r="Z15" i="7"/>
  <c r="X15" i="7"/>
  <c r="V15" i="7"/>
  <c r="R15" i="7"/>
  <c r="AR14" i="7"/>
  <c r="AP14" i="7"/>
  <c r="AN14" i="7"/>
  <c r="AL14" i="7"/>
  <c r="AJ14" i="7"/>
  <c r="AH14" i="7"/>
  <c r="AF14" i="7"/>
  <c r="AD14" i="7"/>
  <c r="AB14" i="7"/>
  <c r="Z14" i="7"/>
  <c r="X14" i="7"/>
  <c r="V14" i="7"/>
  <c r="T14" i="7"/>
  <c r="R14" i="7"/>
  <c r="P14" i="7"/>
  <c r="N14" i="7"/>
  <c r="L14" i="7"/>
  <c r="I18" i="5"/>
  <c r="I19" i="5"/>
  <c r="I20" i="5"/>
  <c r="I21" i="5"/>
  <c r="I24" i="5"/>
  <c r="I31" i="5"/>
  <c r="I36" i="5"/>
  <c r="I38" i="5"/>
  <c r="I39" i="5"/>
  <c r="I40" i="5"/>
  <c r="I41" i="5"/>
  <c r="I42" i="5"/>
  <c r="I43" i="5"/>
  <c r="I44" i="5"/>
  <c r="I45" i="5"/>
  <c r="I46" i="5"/>
  <c r="U47" i="5"/>
  <c r="I47" i="5" s="1"/>
  <c r="U49" i="5"/>
  <c r="I49" i="5" s="1"/>
  <c r="U58" i="5"/>
  <c r="I58" i="5" s="1"/>
  <c r="Q60" i="5"/>
  <c r="I66" i="5"/>
  <c r="I70" i="5"/>
  <c r="I71" i="5"/>
  <c r="U72" i="5"/>
  <c r="I72" i="5" s="1"/>
  <c r="P72" i="5" s="1"/>
  <c r="Q74" i="5"/>
  <c r="I78" i="5"/>
  <c r="Q81" i="5"/>
  <c r="U85" i="5"/>
  <c r="I85" i="5" s="1"/>
  <c r="U87" i="5"/>
  <c r="I87" i="5" s="1"/>
  <c r="I93" i="5"/>
  <c r="P93" i="5" s="1"/>
  <c r="I94" i="5"/>
  <c r="U107" i="5"/>
  <c r="I107" i="5" s="1"/>
  <c r="I110" i="5"/>
  <c r="U111" i="5"/>
  <c r="I111" i="5" s="1"/>
  <c r="I113" i="5"/>
  <c r="I114" i="5"/>
  <c r="I115" i="5"/>
  <c r="I116" i="5"/>
  <c r="I118" i="5"/>
  <c r="I119" i="5"/>
  <c r="I120" i="5"/>
  <c r="I121" i="5"/>
  <c r="I122" i="5"/>
  <c r="I123" i="5"/>
  <c r="I125" i="5"/>
  <c r="I126" i="5"/>
  <c r="U128" i="5"/>
  <c r="I128" i="5" s="1"/>
  <c r="I129" i="5"/>
  <c r="I130" i="5"/>
  <c r="I131" i="5"/>
  <c r="J16" i="5"/>
  <c r="K16" i="5"/>
  <c r="L16" i="5"/>
  <c r="M16" i="5"/>
  <c r="N16" i="5"/>
  <c r="O16" i="5"/>
  <c r="J17" i="5"/>
  <c r="K17" i="5"/>
  <c r="L17" i="5"/>
  <c r="M17" i="5"/>
  <c r="N17" i="5"/>
  <c r="O17" i="5"/>
  <c r="K18" i="5"/>
  <c r="L18" i="5"/>
  <c r="M18" i="5"/>
  <c r="N18" i="5"/>
  <c r="O18" i="5"/>
  <c r="K19" i="5"/>
  <c r="L19" i="5"/>
  <c r="M19" i="5"/>
  <c r="N19" i="5"/>
  <c r="O19" i="5"/>
  <c r="J20" i="5"/>
  <c r="K20" i="5"/>
  <c r="L20" i="5"/>
  <c r="M20" i="5"/>
  <c r="N20" i="5"/>
  <c r="O20" i="5"/>
  <c r="J21" i="5"/>
  <c r="K21" i="5"/>
  <c r="L21" i="5"/>
  <c r="M21" i="5"/>
  <c r="N21" i="5"/>
  <c r="O21" i="5"/>
  <c r="J22" i="5"/>
  <c r="K22" i="5"/>
  <c r="L22" i="5"/>
  <c r="M22" i="5"/>
  <c r="N22" i="5"/>
  <c r="O22" i="5"/>
  <c r="J23" i="5"/>
  <c r="K23" i="5"/>
  <c r="L23" i="5"/>
  <c r="M23" i="5"/>
  <c r="N23" i="5"/>
  <c r="O23" i="5"/>
  <c r="J24" i="5"/>
  <c r="K24" i="5"/>
  <c r="L24" i="5"/>
  <c r="M24" i="5"/>
  <c r="N24" i="5"/>
  <c r="O24" i="5"/>
  <c r="J25" i="5"/>
  <c r="L25" i="5"/>
  <c r="M25" i="5"/>
  <c r="N25" i="5"/>
  <c r="O25" i="5"/>
  <c r="J26" i="5"/>
  <c r="K26" i="5"/>
  <c r="L26" i="5"/>
  <c r="M26" i="5"/>
  <c r="N26" i="5"/>
  <c r="O26" i="5"/>
  <c r="J27" i="5"/>
  <c r="K27" i="5"/>
  <c r="L27" i="5"/>
  <c r="M27" i="5"/>
  <c r="N27" i="5"/>
  <c r="O27" i="5"/>
  <c r="J28" i="5"/>
  <c r="K28" i="5"/>
  <c r="L28" i="5"/>
  <c r="M28" i="5"/>
  <c r="N28" i="5"/>
  <c r="O28" i="5"/>
  <c r="J29" i="5"/>
  <c r="K29" i="5"/>
  <c r="L29" i="5"/>
  <c r="M29" i="5"/>
  <c r="N29" i="5"/>
  <c r="O29" i="5"/>
  <c r="J30" i="5"/>
  <c r="K30" i="5"/>
  <c r="L30" i="5"/>
  <c r="M30" i="5"/>
  <c r="N30" i="5"/>
  <c r="O30" i="5"/>
  <c r="J31" i="5"/>
  <c r="K31" i="5"/>
  <c r="L31" i="5"/>
  <c r="M31" i="5"/>
  <c r="N31" i="5"/>
  <c r="O31" i="5"/>
  <c r="K32" i="5"/>
  <c r="L32" i="5"/>
  <c r="M32" i="5"/>
  <c r="N32" i="5"/>
  <c r="O32" i="5"/>
  <c r="J33" i="5"/>
  <c r="K33" i="5"/>
  <c r="L33" i="5"/>
  <c r="M33" i="5"/>
  <c r="N33" i="5"/>
  <c r="O33" i="5"/>
  <c r="J34" i="5"/>
  <c r="K34" i="5"/>
  <c r="L34" i="5"/>
  <c r="M34" i="5"/>
  <c r="N34" i="5"/>
  <c r="O34" i="5"/>
  <c r="J36" i="5"/>
  <c r="K36" i="5"/>
  <c r="L36" i="5"/>
  <c r="M36" i="5"/>
  <c r="N36" i="5"/>
  <c r="O36" i="5"/>
  <c r="J37" i="5"/>
  <c r="K37" i="5"/>
  <c r="L37" i="5"/>
  <c r="M37" i="5"/>
  <c r="N37" i="5"/>
  <c r="O37" i="5"/>
  <c r="J38" i="5"/>
  <c r="K38" i="5"/>
  <c r="L38" i="5"/>
  <c r="M38" i="5"/>
  <c r="N38" i="5"/>
  <c r="O38" i="5"/>
  <c r="J39" i="5"/>
  <c r="L39" i="5"/>
  <c r="M39" i="5"/>
  <c r="N39" i="5"/>
  <c r="O39" i="5"/>
  <c r="J40" i="5"/>
  <c r="L40" i="5"/>
  <c r="M40" i="5"/>
  <c r="N40" i="5"/>
  <c r="O40" i="5"/>
  <c r="J41" i="5"/>
  <c r="L41" i="5"/>
  <c r="M41" i="5"/>
  <c r="N41" i="5"/>
  <c r="O41" i="5"/>
  <c r="J42" i="5"/>
  <c r="W42" i="5"/>
  <c r="K42" i="5" s="1"/>
  <c r="L42" i="5"/>
  <c r="M42" i="5"/>
  <c r="N42" i="5"/>
  <c r="O42" i="5"/>
  <c r="J43" i="5"/>
  <c r="L43" i="5"/>
  <c r="M43" i="5"/>
  <c r="N43" i="5"/>
  <c r="O43" i="5"/>
  <c r="J44" i="5"/>
  <c r="K44" i="5"/>
  <c r="L44" i="5"/>
  <c r="M44" i="5"/>
  <c r="N44" i="5"/>
  <c r="O44" i="5"/>
  <c r="J45" i="5"/>
  <c r="K45" i="5"/>
  <c r="L45" i="5"/>
  <c r="N45" i="5"/>
  <c r="O45" i="5"/>
  <c r="J46" i="5"/>
  <c r="K46" i="5"/>
  <c r="L46" i="5"/>
  <c r="M46" i="5"/>
  <c r="N46" i="5"/>
  <c r="O46" i="5"/>
  <c r="J47" i="5"/>
  <c r="K47" i="5"/>
  <c r="L47" i="5"/>
  <c r="M47" i="5"/>
  <c r="N47" i="5"/>
  <c r="O47" i="5"/>
  <c r="J48" i="5"/>
  <c r="K48" i="5"/>
  <c r="L48" i="5"/>
  <c r="M48" i="5"/>
  <c r="N48" i="5"/>
  <c r="O48" i="5"/>
  <c r="J49" i="5"/>
  <c r="K49" i="5"/>
  <c r="L49" i="5"/>
  <c r="M49" i="5"/>
  <c r="N49" i="5"/>
  <c r="O49" i="5"/>
  <c r="J50" i="5"/>
  <c r="K50" i="5"/>
  <c r="L50" i="5"/>
  <c r="M50" i="5"/>
  <c r="N50" i="5"/>
  <c r="O50" i="5"/>
  <c r="J51" i="5"/>
  <c r="K51" i="5"/>
  <c r="L51" i="5"/>
  <c r="M51" i="5"/>
  <c r="N51" i="5"/>
  <c r="O51" i="5"/>
  <c r="F54" i="5"/>
  <c r="J56" i="5"/>
  <c r="K56" i="5"/>
  <c r="L56" i="5"/>
  <c r="M56" i="5"/>
  <c r="N56" i="5"/>
  <c r="O56" i="5"/>
  <c r="J57" i="5"/>
  <c r="K57" i="5"/>
  <c r="L57" i="5"/>
  <c r="M57" i="5"/>
  <c r="N57" i="5"/>
  <c r="O57" i="5"/>
  <c r="J58" i="5"/>
  <c r="K58" i="5"/>
  <c r="L58" i="5"/>
  <c r="M58" i="5"/>
  <c r="N58" i="5"/>
  <c r="O58" i="5"/>
  <c r="J59" i="5"/>
  <c r="K59" i="5"/>
  <c r="L59" i="5"/>
  <c r="M59" i="5"/>
  <c r="N59" i="5"/>
  <c r="O59" i="5"/>
  <c r="J60" i="5"/>
  <c r="K60" i="5"/>
  <c r="L60" i="5"/>
  <c r="M60" i="5"/>
  <c r="N60" i="5"/>
  <c r="O60" i="5"/>
  <c r="J61" i="5"/>
  <c r="K61" i="5"/>
  <c r="L61" i="5"/>
  <c r="M61" i="5"/>
  <c r="N61" i="5"/>
  <c r="O61" i="5"/>
  <c r="J62" i="5"/>
  <c r="K62" i="5"/>
  <c r="L62" i="5"/>
  <c r="M62" i="5"/>
  <c r="N62" i="5"/>
  <c r="O62" i="5"/>
  <c r="J63" i="5"/>
  <c r="K63" i="5"/>
  <c r="L63" i="5"/>
  <c r="M63" i="5"/>
  <c r="N63" i="5"/>
  <c r="O63" i="5"/>
  <c r="J64" i="5"/>
  <c r="K64" i="5"/>
  <c r="L64" i="5"/>
  <c r="M64" i="5"/>
  <c r="N64" i="5"/>
  <c r="O64" i="5"/>
  <c r="J65" i="5"/>
  <c r="K65" i="5"/>
  <c r="L65" i="5"/>
  <c r="M65" i="5"/>
  <c r="N65" i="5"/>
  <c r="O65" i="5"/>
  <c r="J66" i="5"/>
  <c r="K66" i="5"/>
  <c r="L66" i="5"/>
  <c r="N66" i="5"/>
  <c r="O66" i="5"/>
  <c r="J67" i="5"/>
  <c r="K67" i="5"/>
  <c r="L67" i="5"/>
  <c r="M67" i="5"/>
  <c r="N67" i="5"/>
  <c r="O67" i="5"/>
  <c r="J68" i="5"/>
  <c r="K68" i="5"/>
  <c r="L68" i="5"/>
  <c r="M68" i="5"/>
  <c r="N68" i="5"/>
  <c r="O68" i="5"/>
  <c r="J69" i="5"/>
  <c r="K69" i="5"/>
  <c r="L69" i="5"/>
  <c r="M69" i="5"/>
  <c r="N69" i="5"/>
  <c r="O69" i="5"/>
  <c r="V70" i="5"/>
  <c r="J70" i="5" s="1"/>
  <c r="P70" i="5" s="1"/>
  <c r="K70" i="5"/>
  <c r="L70" i="5"/>
  <c r="M70" i="5"/>
  <c r="N70" i="5"/>
  <c r="O70" i="5"/>
  <c r="J71" i="5"/>
  <c r="K71" i="5"/>
  <c r="L71" i="5"/>
  <c r="M71" i="5"/>
  <c r="N71" i="5"/>
  <c r="O71" i="5"/>
  <c r="J72" i="5"/>
  <c r="K72" i="5"/>
  <c r="L72" i="5"/>
  <c r="M72" i="5"/>
  <c r="N72" i="5"/>
  <c r="O72" i="5"/>
  <c r="J73" i="5"/>
  <c r="K73" i="5"/>
  <c r="L73" i="5"/>
  <c r="M73" i="5"/>
  <c r="N73" i="5"/>
  <c r="O73" i="5"/>
  <c r="J74" i="5"/>
  <c r="K74" i="5"/>
  <c r="L74" i="5"/>
  <c r="M74" i="5"/>
  <c r="N74" i="5"/>
  <c r="O74" i="5"/>
  <c r="J75" i="5"/>
  <c r="K75" i="5"/>
  <c r="L75" i="5"/>
  <c r="M75" i="5"/>
  <c r="N75" i="5"/>
  <c r="O75" i="5"/>
  <c r="J76" i="5"/>
  <c r="K76" i="5"/>
  <c r="L76" i="5"/>
  <c r="M76" i="5"/>
  <c r="N76" i="5"/>
  <c r="O76" i="5"/>
  <c r="J77" i="5"/>
  <c r="K77" i="5"/>
  <c r="L77" i="5"/>
  <c r="M77" i="5"/>
  <c r="N77" i="5"/>
  <c r="O77" i="5"/>
  <c r="J78" i="5"/>
  <c r="K78" i="5"/>
  <c r="L78" i="5"/>
  <c r="M78" i="5"/>
  <c r="N78" i="5"/>
  <c r="O78" i="5"/>
  <c r="J79" i="5"/>
  <c r="K79" i="5"/>
  <c r="L79" i="5"/>
  <c r="M79" i="5"/>
  <c r="N79" i="5"/>
  <c r="O79" i="5"/>
  <c r="J80" i="5"/>
  <c r="K80" i="5"/>
  <c r="L80" i="5"/>
  <c r="M80" i="5"/>
  <c r="N80" i="5"/>
  <c r="O80" i="5"/>
  <c r="J81" i="5"/>
  <c r="K81" i="5"/>
  <c r="L81" i="5"/>
  <c r="M81" i="5"/>
  <c r="N81" i="5"/>
  <c r="O81" i="5"/>
  <c r="J82" i="5"/>
  <c r="K82" i="5"/>
  <c r="L82" i="5"/>
  <c r="M82" i="5"/>
  <c r="N82" i="5"/>
  <c r="O82" i="5"/>
  <c r="J83" i="5"/>
  <c r="K83" i="5"/>
  <c r="L83" i="5"/>
  <c r="M83" i="5"/>
  <c r="N83" i="5"/>
  <c r="O83" i="5"/>
  <c r="J84" i="5"/>
  <c r="K84" i="5"/>
  <c r="L84" i="5"/>
  <c r="M84" i="5"/>
  <c r="N84" i="5"/>
  <c r="O84" i="5"/>
  <c r="J85" i="5"/>
  <c r="K85" i="5"/>
  <c r="L85" i="5"/>
  <c r="M85" i="5"/>
  <c r="N85" i="5"/>
  <c r="O85" i="5"/>
  <c r="J87" i="5"/>
  <c r="K87" i="5"/>
  <c r="L87" i="5"/>
  <c r="M87" i="5"/>
  <c r="N87" i="5"/>
  <c r="O87" i="5"/>
  <c r="J88" i="5"/>
  <c r="K88" i="5"/>
  <c r="L88" i="5"/>
  <c r="M88" i="5"/>
  <c r="N88" i="5"/>
  <c r="O88" i="5"/>
  <c r="J89" i="5"/>
  <c r="K89" i="5"/>
  <c r="L89" i="5"/>
  <c r="M89" i="5"/>
  <c r="N89" i="5"/>
  <c r="O89" i="5"/>
  <c r="J91" i="5"/>
  <c r="K91" i="5"/>
  <c r="L91" i="5"/>
  <c r="M91" i="5"/>
  <c r="N91" i="5"/>
  <c r="O91" i="5"/>
  <c r="P94" i="5"/>
  <c r="Q94" i="5" s="1"/>
  <c r="J106" i="5"/>
  <c r="K106" i="5"/>
  <c r="L106" i="5"/>
  <c r="M106" i="5"/>
  <c r="N106" i="5"/>
  <c r="O106" i="5"/>
  <c r="J107" i="5"/>
  <c r="K107" i="5"/>
  <c r="L107" i="5"/>
  <c r="M107" i="5"/>
  <c r="N107" i="5"/>
  <c r="O107" i="5"/>
  <c r="J109" i="5"/>
  <c r="K109" i="5"/>
  <c r="L109" i="5"/>
  <c r="M109" i="5"/>
  <c r="N109" i="5"/>
  <c r="O109" i="5"/>
  <c r="J110" i="5"/>
  <c r="K110" i="5"/>
  <c r="L110" i="5"/>
  <c r="M110" i="5"/>
  <c r="N110" i="5"/>
  <c r="O110" i="5"/>
  <c r="J111" i="5"/>
  <c r="K111" i="5"/>
  <c r="L111" i="5"/>
  <c r="M111" i="5"/>
  <c r="N111" i="5"/>
  <c r="O111" i="5"/>
  <c r="J112" i="5"/>
  <c r="K112" i="5"/>
  <c r="L112" i="5"/>
  <c r="M112" i="5"/>
  <c r="N112" i="5"/>
  <c r="O112" i="5"/>
  <c r="J113" i="5"/>
  <c r="W113" i="5"/>
  <c r="K113" i="5" s="1"/>
  <c r="L113" i="5"/>
  <c r="M113" i="5"/>
  <c r="N113" i="5"/>
  <c r="O113" i="5"/>
  <c r="J114" i="5"/>
  <c r="L114" i="5"/>
  <c r="M114" i="5"/>
  <c r="N114" i="5"/>
  <c r="O114" i="5"/>
  <c r="J115" i="5"/>
  <c r="W115" i="5"/>
  <c r="K115" i="5" s="1"/>
  <c r="L115" i="5"/>
  <c r="M115" i="5"/>
  <c r="N115" i="5"/>
  <c r="O115" i="5"/>
  <c r="K116" i="5"/>
  <c r="L116" i="5"/>
  <c r="M116" i="5"/>
  <c r="N116" i="5"/>
  <c r="O116" i="5"/>
  <c r="K118" i="5"/>
  <c r="L118" i="5"/>
  <c r="M118" i="5"/>
  <c r="N118" i="5"/>
  <c r="O118" i="5"/>
  <c r="J119" i="5"/>
  <c r="F119" i="5"/>
  <c r="L119" i="5"/>
  <c r="M119" i="5"/>
  <c r="N119" i="5"/>
  <c r="O119" i="5"/>
  <c r="J120" i="5"/>
  <c r="W120" i="5"/>
  <c r="K120" i="5" s="1"/>
  <c r="L120" i="5"/>
  <c r="M120" i="5"/>
  <c r="N120" i="5"/>
  <c r="O120" i="5"/>
  <c r="J121" i="5"/>
  <c r="L121" i="5"/>
  <c r="M121" i="5"/>
  <c r="N121" i="5"/>
  <c r="O121" i="5"/>
  <c r="J122" i="5"/>
  <c r="L122" i="5"/>
  <c r="M122" i="5"/>
  <c r="N122" i="5"/>
  <c r="O122" i="5"/>
  <c r="K123" i="5"/>
  <c r="L123" i="5"/>
  <c r="M123" i="5"/>
  <c r="N123" i="5"/>
  <c r="O123" i="5"/>
  <c r="K125" i="5"/>
  <c r="L125" i="5"/>
  <c r="M125" i="5"/>
  <c r="N125" i="5"/>
  <c r="O125" i="5"/>
  <c r="J126" i="5"/>
  <c r="K126" i="5"/>
  <c r="L126" i="5"/>
  <c r="M126" i="5"/>
  <c r="N126" i="5"/>
  <c r="O126" i="5"/>
  <c r="J127" i="5"/>
  <c r="K127" i="5"/>
  <c r="L127" i="5"/>
  <c r="M127" i="5"/>
  <c r="N127" i="5"/>
  <c r="O127" i="5"/>
  <c r="J128" i="5"/>
  <c r="K128" i="5"/>
  <c r="L128" i="5"/>
  <c r="M128" i="5"/>
  <c r="N128" i="5"/>
  <c r="O128" i="5"/>
  <c r="J129" i="5"/>
  <c r="L129" i="5"/>
  <c r="M129" i="5"/>
  <c r="N129" i="5"/>
  <c r="O129" i="5"/>
  <c r="J130" i="5"/>
  <c r="W130" i="5"/>
  <c r="K130" i="5" s="1"/>
  <c r="L130" i="5"/>
  <c r="M130" i="5"/>
  <c r="N130" i="5"/>
  <c r="O130" i="5"/>
  <c r="J131" i="5"/>
  <c r="L131" i="5"/>
  <c r="M131" i="5"/>
  <c r="N131" i="5"/>
  <c r="O131" i="5"/>
  <c r="J250" i="5"/>
  <c r="P250" i="5" s="1"/>
  <c r="Q250" i="5" s="1"/>
  <c r="L8" i="10"/>
  <c r="L9" i="10"/>
  <c r="L10" i="10"/>
  <c r="L11" i="10"/>
  <c r="L12" i="10"/>
  <c r="L14" i="10"/>
  <c r="L19" i="10"/>
  <c r="L22" i="10"/>
  <c r="L23" i="10"/>
  <c r="L24" i="10"/>
  <c r="L25" i="10"/>
  <c r="L26" i="10"/>
  <c r="L27" i="10"/>
  <c r="L28" i="10"/>
  <c r="L29" i="10"/>
  <c r="L30" i="10"/>
  <c r="L31" i="10"/>
  <c r="L33" i="10"/>
  <c r="L34" i="10"/>
  <c r="L35" i="10"/>
  <c r="L36" i="10"/>
  <c r="L37" i="10"/>
  <c r="L38" i="10"/>
  <c r="L44" i="10"/>
  <c r="L46" i="10"/>
  <c r="L123" i="10"/>
  <c r="L156" i="10"/>
  <c r="L9" i="9"/>
  <c r="L10" i="9"/>
  <c r="L11" i="9"/>
  <c r="L12" i="9"/>
  <c r="L13" i="9"/>
  <c r="L26" i="9"/>
  <c r="L27" i="9"/>
  <c r="L72" i="9"/>
  <c r="L79" i="9"/>
  <c r="L80" i="9"/>
  <c r="L81" i="9"/>
  <c r="L82" i="9"/>
  <c r="L136" i="9"/>
  <c r="L137" i="9"/>
  <c r="L138" i="9"/>
  <c r="L139" i="9"/>
  <c r="L140" i="9"/>
  <c r="L166" i="9"/>
  <c r="C6" i="13"/>
  <c r="D6" i="13"/>
  <c r="E6" i="13"/>
  <c r="F6" i="13"/>
  <c r="G6" i="13"/>
  <c r="H6" i="13"/>
  <c r="C11" i="13"/>
  <c r="D11" i="13"/>
  <c r="E11" i="13"/>
  <c r="F11" i="13"/>
  <c r="G11" i="13"/>
  <c r="H11" i="13"/>
  <c r="C16" i="13"/>
  <c r="D16" i="13"/>
  <c r="E16" i="13"/>
  <c r="F16" i="13"/>
  <c r="G16" i="13"/>
  <c r="H16" i="13"/>
  <c r="C21" i="13"/>
  <c r="D21" i="13"/>
  <c r="E21" i="13"/>
  <c r="F21" i="13"/>
  <c r="G21" i="13"/>
  <c r="H21" i="13"/>
  <c r="C27" i="13"/>
  <c r="D27" i="13"/>
  <c r="E27" i="13"/>
  <c r="F27" i="13"/>
  <c r="G27" i="13"/>
  <c r="H27" i="13"/>
  <c r="C32" i="13"/>
  <c r="D32" i="13"/>
  <c r="E32" i="13"/>
  <c r="F32" i="13"/>
  <c r="G32" i="13"/>
  <c r="H32" i="13"/>
  <c r="C37" i="13"/>
  <c r="D37" i="13"/>
  <c r="E37" i="13"/>
  <c r="F37" i="13"/>
  <c r="G37" i="13"/>
  <c r="H37" i="13"/>
  <c r="C42" i="13"/>
  <c r="D42" i="13"/>
  <c r="E42" i="13"/>
  <c r="F42" i="13"/>
  <c r="G42" i="13"/>
  <c r="H42" i="13"/>
  <c r="L3" i="12"/>
  <c r="L35" i="12" s="1"/>
  <c r="K4" i="12"/>
  <c r="K5" i="12"/>
  <c r="K6" i="12"/>
  <c r="K7" i="12"/>
  <c r="I10" i="12"/>
  <c r="K10" i="12"/>
  <c r="K13" i="12"/>
  <c r="K14" i="12"/>
  <c r="K15" i="12"/>
  <c r="I18" i="12"/>
  <c r="K18" i="12"/>
  <c r="K19" i="12"/>
  <c r="I22" i="12"/>
  <c r="K22" i="12"/>
  <c r="K23" i="12"/>
  <c r="K24" i="12"/>
  <c r="K25" i="12"/>
  <c r="I26" i="12"/>
  <c r="K26" i="12"/>
  <c r="I29" i="12"/>
  <c r="K29" i="12"/>
  <c r="K30" i="12"/>
  <c r="K31" i="12"/>
  <c r="K32" i="12"/>
  <c r="I35" i="12"/>
  <c r="K35" i="12"/>
  <c r="K36" i="12"/>
  <c r="K37" i="12"/>
  <c r="K38" i="12"/>
  <c r="I39" i="12"/>
  <c r="K39" i="12"/>
  <c r="I42" i="12"/>
  <c r="K42" i="12"/>
  <c r="K43" i="12"/>
  <c r="I44" i="12"/>
  <c r="K44" i="12"/>
  <c r="K47" i="12"/>
  <c r="K48" i="12"/>
  <c r="I51" i="12"/>
  <c r="K51" i="12"/>
  <c r="K52" i="12"/>
  <c r="K53" i="12"/>
  <c r="K54" i="12"/>
  <c r="I57" i="12"/>
  <c r="K57" i="12"/>
  <c r="I58" i="12"/>
  <c r="K58" i="12"/>
  <c r="K59" i="12"/>
  <c r="I60" i="12"/>
  <c r="K60" i="12"/>
  <c r="I63" i="12"/>
  <c r="K63" i="12"/>
  <c r="K64" i="12"/>
  <c r="K65" i="12"/>
  <c r="K66" i="12"/>
  <c r="K68" i="12"/>
  <c r="G241" i="5"/>
  <c r="H241" i="5" s="1"/>
  <c r="G235" i="5"/>
  <c r="H235" i="5" s="1"/>
  <c r="G234" i="5"/>
  <c r="H234" i="5" s="1"/>
  <c r="G233" i="5"/>
  <c r="H233" i="5" s="1"/>
  <c r="G231" i="5"/>
  <c r="H231" i="5" s="1"/>
  <c r="G230" i="5"/>
  <c r="G229" i="5"/>
  <c r="H229" i="5" s="1"/>
  <c r="G227" i="5"/>
  <c r="H227" i="5" s="1"/>
  <c r="G211" i="5"/>
  <c r="H211" i="5" s="1"/>
  <c r="G210" i="5"/>
  <c r="H210" i="5" s="1"/>
  <c r="G204" i="5"/>
  <c r="H204" i="5" s="1"/>
  <c r="G187" i="5"/>
  <c r="H187" i="5" s="1"/>
  <c r="G186" i="5"/>
  <c r="H186" i="5" s="1"/>
  <c r="G185" i="5"/>
  <c r="H185" i="5" s="1"/>
  <c r="G178" i="5"/>
  <c r="H178" i="5" s="1"/>
  <c r="G177" i="5"/>
  <c r="H177" i="5" s="1"/>
  <c r="G176" i="5"/>
  <c r="G175" i="5"/>
  <c r="H175" i="5" s="1"/>
  <c r="G174" i="5"/>
  <c r="G172" i="5"/>
  <c r="H172" i="5" s="1"/>
  <c r="G170" i="5"/>
  <c r="H170" i="5" s="1"/>
  <c r="G169" i="5"/>
  <c r="H169" i="5" s="1"/>
  <c r="G152" i="5"/>
  <c r="H152" i="5" s="1"/>
  <c r="G145" i="5"/>
  <c r="G143" i="5"/>
  <c r="H143" i="5" s="1"/>
  <c r="G149" i="5"/>
  <c r="H149" i="5" s="1"/>
  <c r="G150" i="5"/>
  <c r="H150" i="5" s="1"/>
  <c r="G247" i="5"/>
  <c r="H247" i="5" s="1"/>
  <c r="G245" i="5"/>
  <c r="H245" i="5" s="1"/>
  <c r="G244" i="5"/>
  <c r="H244" i="5" s="1"/>
  <c r="G243" i="5"/>
  <c r="H243" i="5" s="1"/>
  <c r="H246" i="5"/>
  <c r="G242" i="5"/>
  <c r="H242" i="5" s="1"/>
  <c r="G239" i="5"/>
  <c r="H239" i="5" s="1"/>
  <c r="G238" i="5"/>
  <c r="H238" i="5" s="1"/>
  <c r="G237" i="5"/>
  <c r="H237" i="5" s="1"/>
  <c r="G232" i="5"/>
  <c r="H232" i="5" s="1"/>
  <c r="G226" i="5"/>
  <c r="H226" i="5" s="1"/>
  <c r="G228" i="5"/>
  <c r="G222" i="5"/>
  <c r="H222" i="5" s="1"/>
  <c r="G220" i="5"/>
  <c r="H220" i="5" s="1"/>
  <c r="G221" i="5"/>
  <c r="H221" i="5" s="1"/>
  <c r="G219" i="5"/>
  <c r="H219" i="5" s="1"/>
  <c r="G218" i="5"/>
  <c r="H218" i="5" s="1"/>
  <c r="G225" i="5"/>
  <c r="H225" i="5" s="1"/>
  <c r="G216" i="5"/>
  <c r="H216" i="5" s="1"/>
  <c r="G215" i="5"/>
  <c r="H215" i="5"/>
  <c r="G217" i="5"/>
  <c r="H217" i="5" s="1"/>
  <c r="H228" i="5"/>
  <c r="H230" i="5"/>
  <c r="H223" i="5"/>
  <c r="G213" i="5"/>
  <c r="H213" i="5" s="1"/>
  <c r="G209" i="5"/>
  <c r="H209" i="5" s="1"/>
  <c r="G205" i="5"/>
  <c r="H205" i="5" s="1"/>
  <c r="G208" i="5"/>
  <c r="H208" i="5" s="1"/>
  <c r="G207" i="5"/>
  <c r="H207" i="5" s="1"/>
  <c r="G203" i="5"/>
  <c r="G202" i="5"/>
  <c r="H202" i="5" s="1"/>
  <c r="G201" i="5"/>
  <c r="H201" i="5" s="1"/>
  <c r="G200" i="5"/>
  <c r="H200" i="5" s="1"/>
  <c r="G199" i="5"/>
  <c r="H199" i="5" s="1"/>
  <c r="G198" i="5"/>
  <c r="H198" i="5" s="1"/>
  <c r="G197" i="5"/>
  <c r="H197" i="5" s="1"/>
  <c r="G194" i="5"/>
  <c r="H194" i="5" s="1"/>
  <c r="G193" i="5"/>
  <c r="H193" i="5" s="1"/>
  <c r="G192" i="5"/>
  <c r="H192" i="5" s="1"/>
  <c r="G191" i="5"/>
  <c r="H191" i="5" s="1"/>
  <c r="G190" i="5"/>
  <c r="H190" i="5" s="1"/>
  <c r="G189" i="5"/>
  <c r="H189" i="5" s="1"/>
  <c r="G188" i="5"/>
  <c r="H188" i="5" s="1"/>
  <c r="G184" i="5"/>
  <c r="H184" i="5" s="1"/>
  <c r="G183" i="5"/>
  <c r="H183" i="5" s="1"/>
  <c r="G182" i="5"/>
  <c r="H182" i="5" s="1"/>
  <c r="G181" i="5"/>
  <c r="H181" i="5" s="1"/>
  <c r="G180" i="5"/>
  <c r="H180" i="5"/>
  <c r="G179" i="5"/>
  <c r="H179" i="5"/>
  <c r="G173" i="5"/>
  <c r="H173" i="5" s="1"/>
  <c r="H174" i="5"/>
  <c r="H176" i="5"/>
  <c r="H195" i="5"/>
  <c r="H203" i="5"/>
  <c r="G171" i="5"/>
  <c r="H171" i="5" s="1"/>
  <c r="G167" i="5"/>
  <c r="H167" i="5" s="1"/>
  <c r="G166" i="5"/>
  <c r="H166" i="5" s="1"/>
  <c r="G165" i="5"/>
  <c r="H165" i="5" s="1"/>
  <c r="G164" i="5"/>
  <c r="H164" i="5" s="1"/>
  <c r="G159" i="5"/>
  <c r="H159" i="5" s="1"/>
  <c r="H160" i="5"/>
  <c r="H161" i="5"/>
  <c r="H162" i="5"/>
  <c r="H163" i="5"/>
  <c r="H168" i="5"/>
  <c r="G157" i="5"/>
  <c r="H157" i="5" s="1"/>
  <c r="G156" i="5"/>
  <c r="H156" i="5" s="1"/>
  <c r="G155" i="5"/>
  <c r="H155" i="5" s="1"/>
  <c r="G154" i="5"/>
  <c r="H154" i="5" s="1"/>
  <c r="G153" i="5"/>
  <c r="H153" i="5" s="1"/>
  <c r="G151" i="5"/>
  <c r="H151" i="5" s="1"/>
  <c r="G148" i="5"/>
  <c r="H148" i="5" s="1"/>
  <c r="G144" i="5"/>
  <c r="H144" i="5" s="1"/>
  <c r="G142" i="5"/>
  <c r="G140" i="5"/>
  <c r="H140" i="5" s="1"/>
  <c r="G139" i="5"/>
  <c r="H139" i="5" s="1"/>
  <c r="H141" i="5"/>
  <c r="H142" i="5"/>
  <c r="H145" i="5"/>
  <c r="G138" i="5"/>
  <c r="H138" i="5" s="1"/>
  <c r="R14" i="5"/>
  <c r="R20" i="5"/>
  <c r="R21" i="5"/>
  <c r="R24" i="5"/>
  <c r="R31" i="5"/>
  <c r="R38" i="5"/>
  <c r="R44" i="5"/>
  <c r="R46" i="5"/>
  <c r="R47" i="5"/>
  <c r="R49" i="5"/>
  <c r="R58" i="5"/>
  <c r="R71" i="5"/>
  <c r="R78" i="5"/>
  <c r="R85" i="5"/>
  <c r="R87" i="5"/>
  <c r="Q93" i="5"/>
  <c r="R93" i="5"/>
  <c r="R94" i="5"/>
  <c r="R97" i="5"/>
  <c r="R99" i="5"/>
  <c r="R103" i="5"/>
  <c r="R107" i="5"/>
  <c r="R110" i="5"/>
  <c r="R111" i="5"/>
  <c r="R113" i="5"/>
  <c r="R115" i="5"/>
  <c r="R126" i="5"/>
  <c r="R128" i="5"/>
  <c r="R130" i="5"/>
  <c r="Q82" i="5"/>
  <c r="V18" i="5"/>
  <c r="F13" i="23"/>
  <c r="H13" i="23" s="1"/>
  <c r="J16" i="23"/>
  <c r="P16" i="23" s="1"/>
  <c r="Q16" i="23" s="1"/>
  <c r="O14" i="23"/>
  <c r="N14" i="23"/>
  <c r="M14" i="23"/>
  <c r="L14" i="23"/>
  <c r="K14" i="23"/>
  <c r="J14" i="23"/>
  <c r="O13" i="23"/>
  <c r="O17" i="23"/>
  <c r="N13" i="23"/>
  <c r="N17" i="23" s="1"/>
  <c r="M13" i="23"/>
  <c r="L13" i="23"/>
  <c r="K13" i="23"/>
  <c r="J13" i="23"/>
  <c r="R14" i="23"/>
  <c r="R13" i="23"/>
  <c r="L8" i="8"/>
  <c r="L36" i="8"/>
  <c r="L52" i="12"/>
  <c r="L36" i="12"/>
  <c r="L13" i="12"/>
  <c r="I13" i="23"/>
  <c r="P13" i="23" s="1"/>
  <c r="G206" i="5"/>
  <c r="H206" i="5" s="1"/>
  <c r="L22" i="12"/>
  <c r="L44" i="12"/>
  <c r="L59" i="12"/>
  <c r="L43" i="12"/>
  <c r="L19" i="12"/>
  <c r="L5" i="12"/>
  <c r="U112" i="5"/>
  <c r="I112" i="5" s="1"/>
  <c r="P112" i="5" s="1"/>
  <c r="P125" i="5"/>
  <c r="Q125" i="5" s="1"/>
  <c r="AI60" i="7"/>
  <c r="AI62" i="7" s="1"/>
  <c r="H15" i="35" l="1"/>
  <c r="E15" i="35"/>
  <c r="I15" i="35"/>
  <c r="G15" i="35"/>
  <c r="F15" i="35"/>
  <c r="K58" i="29"/>
  <c r="D13" i="35" s="1"/>
  <c r="L7" i="12"/>
  <c r="L48" i="12"/>
  <c r="L42" i="12"/>
  <c r="L4" i="12"/>
  <c r="L38" i="12"/>
  <c r="L63" i="12"/>
  <c r="L57" i="12"/>
  <c r="L39" i="12"/>
  <c r="R17" i="7"/>
  <c r="V22" i="7"/>
  <c r="AL22" i="7"/>
  <c r="R26" i="7"/>
  <c r="AH26" i="7"/>
  <c r="V36" i="7"/>
  <c r="AL36" i="7"/>
  <c r="V40" i="7"/>
  <c r="N44" i="7"/>
  <c r="AH48" i="7"/>
  <c r="L14" i="12"/>
  <c r="L53" i="12"/>
  <c r="L26" i="12"/>
  <c r="L6" i="12"/>
  <c r="L47" i="12"/>
  <c r="T17" i="7"/>
  <c r="X22" i="7"/>
  <c r="AN22" i="7"/>
  <c r="T26" i="7"/>
  <c r="AJ26" i="7"/>
  <c r="X36" i="7"/>
  <c r="AN36" i="7"/>
  <c r="X40" i="7"/>
  <c r="P44" i="7"/>
  <c r="AL48" i="7"/>
  <c r="I17" i="23"/>
  <c r="L24" i="12"/>
  <c r="L65" i="12"/>
  <c r="L18" i="12"/>
  <c r="L15" i="12"/>
  <c r="L54" i="12"/>
  <c r="K17" i="23"/>
  <c r="AD17" i="7"/>
  <c r="L22" i="7"/>
  <c r="AB22" i="7"/>
  <c r="AR22" i="7"/>
  <c r="X26" i="7"/>
  <c r="AN26" i="7"/>
  <c r="L36" i="7"/>
  <c r="AB36" i="7"/>
  <c r="AR36" i="7"/>
  <c r="AH40" i="7"/>
  <c r="Z44" i="7"/>
  <c r="AP48" i="7"/>
  <c r="L30" i="12"/>
  <c r="L68" i="12"/>
  <c r="L10" i="12"/>
  <c r="L23" i="12"/>
  <c r="L64" i="12"/>
  <c r="L29" i="12"/>
  <c r="AH17" i="7"/>
  <c r="N22" i="7"/>
  <c r="AD22" i="7"/>
  <c r="Z26" i="7"/>
  <c r="AP26" i="7"/>
  <c r="R32" i="7"/>
  <c r="N36" i="7"/>
  <c r="AD36" i="7"/>
  <c r="AL40" i="7"/>
  <c r="AD44" i="7"/>
  <c r="R48" i="7"/>
  <c r="L32" i="12"/>
  <c r="L60" i="12"/>
  <c r="M3" i="12"/>
  <c r="L25" i="12"/>
  <c r="L66" i="12"/>
  <c r="M17" i="23"/>
  <c r="AJ17" i="7"/>
  <c r="P22" i="7"/>
  <c r="AF22" i="7"/>
  <c r="L26" i="7"/>
  <c r="AB26" i="7"/>
  <c r="AR26" i="7"/>
  <c r="Z32" i="7"/>
  <c r="P36" i="7"/>
  <c r="AF36" i="7"/>
  <c r="AN40" i="7"/>
  <c r="AF44" i="7"/>
  <c r="V48" i="7"/>
  <c r="L37" i="12"/>
  <c r="L58" i="12"/>
  <c r="L31" i="12"/>
  <c r="L51" i="12"/>
  <c r="L251" i="5"/>
  <c r="AL17" i="7"/>
  <c r="R22" i="7"/>
  <c r="AH22" i="7"/>
  <c r="N26" i="7"/>
  <c r="AD26" i="7"/>
  <c r="R36" i="7"/>
  <c r="AH36" i="7"/>
  <c r="AP40" i="7"/>
  <c r="AH44" i="7"/>
  <c r="X48" i="7"/>
  <c r="Z20" i="7"/>
  <c r="AP20" i="7"/>
  <c r="AL31" i="7"/>
  <c r="AQ69" i="7"/>
  <c r="L20" i="7"/>
  <c r="AB20" i="7"/>
  <c r="AR20" i="7"/>
  <c r="AN31" i="7"/>
  <c r="N20" i="7"/>
  <c r="AD20" i="7"/>
  <c r="AP31" i="7"/>
  <c r="P20" i="7"/>
  <c r="AF20" i="7"/>
  <c r="R31" i="7"/>
  <c r="R20" i="7"/>
  <c r="AH20" i="7"/>
  <c r="V31" i="7"/>
  <c r="T20" i="7"/>
  <c r="AJ20" i="7"/>
  <c r="X31" i="7"/>
  <c r="AM60" i="7"/>
  <c r="AM62" i="7" s="1"/>
  <c r="J17" i="23"/>
  <c r="V20" i="7"/>
  <c r="AL20" i="7"/>
  <c r="Z31" i="7"/>
  <c r="P128" i="5"/>
  <c r="Q128" i="5" s="1"/>
  <c r="L17" i="23"/>
  <c r="P58" i="5"/>
  <c r="Q58" i="5" s="1"/>
  <c r="P49" i="5"/>
  <c r="Q49" i="5" s="1"/>
  <c r="P46" i="5"/>
  <c r="Q46" i="5" s="1"/>
  <c r="P38" i="5"/>
  <c r="Q38" i="5" s="1"/>
  <c r="P24" i="5"/>
  <c r="Q24" i="5" s="1"/>
  <c r="P21" i="5"/>
  <c r="Q21" i="5" s="1"/>
  <c r="AT55" i="7"/>
  <c r="X55" i="7" s="1"/>
  <c r="AF37" i="7"/>
  <c r="P37" i="7"/>
  <c r="P20" i="5"/>
  <c r="Q20" i="5" s="1"/>
  <c r="J32" i="7"/>
  <c r="AV32" i="7" s="1"/>
  <c r="AN32" i="7"/>
  <c r="AF32" i="7"/>
  <c r="X32" i="7"/>
  <c r="P32" i="7"/>
  <c r="AL32" i="7"/>
  <c r="AD32" i="7"/>
  <c r="V32" i="7"/>
  <c r="N32" i="7"/>
  <c r="AR32" i="7"/>
  <c r="AJ32" i="7"/>
  <c r="AB32" i="7"/>
  <c r="T32" i="7"/>
  <c r="L32" i="7"/>
  <c r="AN27" i="7"/>
  <c r="AF27" i="7"/>
  <c r="P27" i="7"/>
  <c r="AD27" i="7"/>
  <c r="N27" i="7"/>
  <c r="AP27" i="7"/>
  <c r="Z27" i="7"/>
  <c r="M10" i="12"/>
  <c r="M44" i="12"/>
  <c r="M5" i="12"/>
  <c r="M24" i="12"/>
  <c r="M43" i="12"/>
  <c r="M66" i="12"/>
  <c r="M26" i="12"/>
  <c r="J24" i="7"/>
  <c r="AV24" i="7" s="1"/>
  <c r="AP24" i="7"/>
  <c r="AH24" i="7"/>
  <c r="Z24" i="7"/>
  <c r="R24" i="7"/>
  <c r="AN24" i="7"/>
  <c r="AF24" i="7"/>
  <c r="X24" i="7"/>
  <c r="P24" i="7"/>
  <c r="AL24" i="7"/>
  <c r="AD24" i="7"/>
  <c r="V24" i="7"/>
  <c r="N24" i="7"/>
  <c r="M35" i="12"/>
  <c r="M59" i="12"/>
  <c r="M64" i="12"/>
  <c r="N3" i="12"/>
  <c r="M29" i="12"/>
  <c r="M4" i="12"/>
  <c r="P31" i="5"/>
  <c r="Q31" i="5" s="1"/>
  <c r="AT56" i="7"/>
  <c r="AB56" i="7" s="1"/>
  <c r="AT11" i="7"/>
  <c r="L11" i="7" s="1"/>
  <c r="AT12" i="7"/>
  <c r="AR12" i="7" s="1"/>
  <c r="M60" i="7"/>
  <c r="M61" i="7" s="1"/>
  <c r="M69" i="7"/>
  <c r="AN35" i="7"/>
  <c r="AD35" i="7"/>
  <c r="N35" i="7"/>
  <c r="AP35" i="7"/>
  <c r="Z35" i="7"/>
  <c r="AH35" i="7"/>
  <c r="R35" i="7"/>
  <c r="U51" i="5"/>
  <c r="I51" i="5" s="1"/>
  <c r="P51" i="5" s="1"/>
  <c r="Q51" i="5" s="1"/>
  <c r="AN19" i="7"/>
  <c r="AH19" i="7"/>
  <c r="R19" i="7"/>
  <c r="AF19" i="7"/>
  <c r="P19" i="7"/>
  <c r="AD19" i="7"/>
  <c r="N19" i="7"/>
  <c r="M25" i="12"/>
  <c r="M52" i="12"/>
  <c r="M13" i="12"/>
  <c r="M30" i="12"/>
  <c r="M6" i="12"/>
  <c r="M36" i="12"/>
  <c r="M38" i="12"/>
  <c r="M53" i="12"/>
  <c r="M48" i="12"/>
  <c r="M19" i="12"/>
  <c r="M60" i="12"/>
  <c r="M22" i="12"/>
  <c r="P130" i="5"/>
  <c r="Q130" i="5" s="1"/>
  <c r="P36" i="5"/>
  <c r="Q36" i="5" s="1"/>
  <c r="Z19" i="7"/>
  <c r="AJ24" i="7"/>
  <c r="M51" i="12"/>
  <c r="M15" i="12"/>
  <c r="M31" i="12"/>
  <c r="M58" i="12"/>
  <c r="M68" i="12"/>
  <c r="M37" i="12"/>
  <c r="M14" i="12"/>
  <c r="M57" i="12"/>
  <c r="M54" i="12"/>
  <c r="L157" i="10"/>
  <c r="L15" i="8" s="1"/>
  <c r="O251" i="5"/>
  <c r="P110" i="5"/>
  <c r="Q110" i="5" s="1"/>
  <c r="P87" i="5"/>
  <c r="Q87" i="5" s="1"/>
  <c r="P47" i="5"/>
  <c r="Q47" i="5" s="1"/>
  <c r="AP19" i="7"/>
  <c r="L24" i="7"/>
  <c r="AR24" i="7"/>
  <c r="AT58" i="7"/>
  <c r="T58" i="7" s="1"/>
  <c r="S69" i="7"/>
  <c r="S60" i="7"/>
  <c r="J16" i="7"/>
  <c r="AV16" i="7" s="1"/>
  <c r="AR16" i="7"/>
  <c r="AJ16" i="7"/>
  <c r="AB16" i="7"/>
  <c r="T16" i="7"/>
  <c r="L16" i="7"/>
  <c r="AP16" i="7"/>
  <c r="AH16" i="7"/>
  <c r="Z16" i="7"/>
  <c r="R16" i="7"/>
  <c r="AN16" i="7"/>
  <c r="AF16" i="7"/>
  <c r="X16" i="7"/>
  <c r="P16" i="7"/>
  <c r="F18" i="19"/>
  <c r="G15" i="19" s="1"/>
  <c r="G27" i="19" s="1"/>
  <c r="G29" i="19" s="1"/>
  <c r="E15" i="19"/>
  <c r="E27" i="19" s="1"/>
  <c r="P71" i="5"/>
  <c r="Q71" i="5" s="1"/>
  <c r="P44" i="5"/>
  <c r="Q44" i="5" s="1"/>
  <c r="AO69" i="7"/>
  <c r="AK60" i="7"/>
  <c r="AK62" i="7" s="1"/>
  <c r="L167" i="9"/>
  <c r="L13" i="8" s="1"/>
  <c r="L19" i="8" s="1"/>
  <c r="H119" i="5"/>
  <c r="W119" i="5" s="1"/>
  <c r="K119" i="5" s="1"/>
  <c r="P119" i="5" s="1"/>
  <c r="P78" i="5"/>
  <c r="Q78" i="5" s="1"/>
  <c r="R56" i="7"/>
  <c r="H27" i="28"/>
  <c r="H28" i="28" s="1"/>
  <c r="H29" i="28" s="1"/>
  <c r="H31" i="28" s="1"/>
  <c r="H16" i="29" s="1"/>
  <c r="J16" i="29" s="1"/>
  <c r="J15" i="29" s="1"/>
  <c r="J80" i="29" s="1"/>
  <c r="H249" i="5"/>
  <c r="AF58" i="7"/>
  <c r="V58" i="7"/>
  <c r="AH58" i="7"/>
  <c r="R55" i="7"/>
  <c r="J55" i="7"/>
  <c r="V55" i="7"/>
  <c r="AL55" i="7"/>
  <c r="L55" i="7"/>
  <c r="AJ55" i="7"/>
  <c r="AF55" i="7"/>
  <c r="P126" i="5"/>
  <c r="Q126" i="5" s="1"/>
  <c r="P115" i="5"/>
  <c r="Q115" i="5" s="1"/>
  <c r="P113" i="5"/>
  <c r="Q113" i="5" s="1"/>
  <c r="P107" i="5"/>
  <c r="Q107" i="5" s="1"/>
  <c r="P85" i="5"/>
  <c r="Q85" i="5" s="1"/>
  <c r="AT10" i="7"/>
  <c r="L10" i="7" s="1"/>
  <c r="AH56" i="7"/>
  <c r="V56" i="7"/>
  <c r="AN55" i="7"/>
  <c r="AB55" i="7"/>
  <c r="Z55" i="7"/>
  <c r="U13" i="23"/>
  <c r="H15" i="23"/>
  <c r="H17" i="23" s="1"/>
  <c r="N251" i="5"/>
  <c r="P111" i="5"/>
  <c r="Q111" i="5" s="1"/>
  <c r="AT57" i="7"/>
  <c r="AP57" i="7" s="1"/>
  <c r="AT13" i="7"/>
  <c r="Q60" i="7"/>
  <c r="Q61" i="7" s="1"/>
  <c r="Q69" i="7"/>
  <c r="F15" i="18"/>
  <c r="G12" i="18" s="1"/>
  <c r="G24" i="18" s="1"/>
  <c r="G26" i="18" s="1"/>
  <c r="E12" i="18"/>
  <c r="E24" i="18" s="1"/>
  <c r="P120" i="5"/>
  <c r="Q120" i="5" s="1"/>
  <c r="P42" i="5"/>
  <c r="Q42" i="5" s="1"/>
  <c r="P129" i="5"/>
  <c r="Q129" i="5" s="1"/>
  <c r="P118" i="5"/>
  <c r="Q118" i="5" s="1"/>
  <c r="H54" i="5"/>
  <c r="K251" i="5"/>
  <c r="AD49" i="7"/>
  <c r="N49" i="7"/>
  <c r="AF49" i="7"/>
  <c r="P49" i="7"/>
  <c r="AH49" i="7"/>
  <c r="R49" i="7"/>
  <c r="AJ49" i="7"/>
  <c r="T49" i="7"/>
  <c r="AP49" i="7"/>
  <c r="Z49" i="7"/>
  <c r="V49" i="7"/>
  <c r="AR49" i="7"/>
  <c r="AB49" i="7"/>
  <c r="L49" i="7"/>
  <c r="J49" i="7"/>
  <c r="AV49" i="7" s="1"/>
  <c r="AL49" i="7"/>
  <c r="AD41" i="7"/>
  <c r="N41" i="7"/>
  <c r="AF41" i="7"/>
  <c r="P41" i="7"/>
  <c r="AL41" i="7"/>
  <c r="AH41" i="7"/>
  <c r="R41" i="7"/>
  <c r="AJ41" i="7"/>
  <c r="T41" i="7"/>
  <c r="V41" i="7"/>
  <c r="AP41" i="7"/>
  <c r="Z41" i="7"/>
  <c r="AR41" i="7"/>
  <c r="AB41" i="7"/>
  <c r="L41" i="7"/>
  <c r="J41" i="7"/>
  <c r="AV41" i="7" s="1"/>
  <c r="I105" i="5"/>
  <c r="P105" i="5" s="1"/>
  <c r="Q105" i="5" s="1"/>
  <c r="U25" i="5"/>
  <c r="I25" i="5" s="1"/>
  <c r="P25" i="5" s="1"/>
  <c r="Q25" i="5" s="1"/>
  <c r="J117" i="5"/>
  <c r="P117" i="5" s="1"/>
  <c r="Q117" i="5" s="1"/>
  <c r="U57" i="5"/>
  <c r="I57" i="5" s="1"/>
  <c r="P57" i="5" s="1"/>
  <c r="Q57" i="5" s="1"/>
  <c r="H133" i="5"/>
  <c r="U16" i="5"/>
  <c r="I16" i="5"/>
  <c r="U106" i="5"/>
  <c r="I106" i="5" s="1"/>
  <c r="P106" i="5" s="1"/>
  <c r="Q106" i="5" s="1"/>
  <c r="U80" i="5"/>
  <c r="I80" i="5" s="1"/>
  <c r="P80" i="5" s="1"/>
  <c r="Q80" i="5" s="1"/>
  <c r="U65" i="5"/>
  <c r="I65" i="5" s="1"/>
  <c r="P65" i="5" s="1"/>
  <c r="Q65" i="5" s="1"/>
  <c r="I52" i="5"/>
  <c r="P52" i="5" s="1"/>
  <c r="Q52" i="5" s="1"/>
  <c r="U34" i="5"/>
  <c r="I34" i="5" s="1"/>
  <c r="P34" i="5" s="1"/>
  <c r="Q34" i="5" s="1"/>
  <c r="I108" i="5"/>
  <c r="P108" i="5" s="1"/>
  <c r="Q108" i="5" s="1"/>
  <c r="U89" i="5"/>
  <c r="I89" i="5" s="1"/>
  <c r="P89" i="5" s="1"/>
  <c r="Q89" i="5" s="1"/>
  <c r="I35" i="5"/>
  <c r="P35" i="5" s="1"/>
  <c r="Q35" i="5" s="1"/>
  <c r="U109" i="5"/>
  <c r="I109" i="5" s="1"/>
  <c r="P109" i="5" s="1"/>
  <c r="Q109" i="5" s="1"/>
  <c r="I90" i="5"/>
  <c r="P90" i="5" s="1"/>
  <c r="Q90" i="5" s="1"/>
  <c r="U67" i="5"/>
  <c r="I67" i="5" s="1"/>
  <c r="P67" i="5" s="1"/>
  <c r="Q67" i="5" s="1"/>
  <c r="J53" i="5"/>
  <c r="P53" i="5" s="1"/>
  <c r="Q53" i="5" s="1"/>
  <c r="W43" i="5"/>
  <c r="K43" i="5" s="1"/>
  <c r="P43" i="5" s="1"/>
  <c r="Q43" i="5" s="1"/>
  <c r="U28" i="5"/>
  <c r="I28" i="5" s="1"/>
  <c r="P28" i="5" s="1"/>
  <c r="Q28" i="5" s="1"/>
  <c r="V19" i="5"/>
  <c r="J19" i="5" s="1"/>
  <c r="P19" i="5" s="1"/>
  <c r="Q19" i="5" s="1"/>
  <c r="Q48" i="5"/>
  <c r="U63" i="5"/>
  <c r="I63" i="5" s="1"/>
  <c r="P63" i="5" s="1"/>
  <c r="Q63" i="5" s="1"/>
  <c r="N10" i="7"/>
  <c r="AJ51" i="7"/>
  <c r="AL45" i="7"/>
  <c r="V45" i="7"/>
  <c r="AN45" i="7"/>
  <c r="X45" i="7"/>
  <c r="N45" i="7"/>
  <c r="AP45" i="7"/>
  <c r="Z45" i="7"/>
  <c r="AR45" i="7"/>
  <c r="AB45" i="7"/>
  <c r="L45" i="7"/>
  <c r="AH45" i="7"/>
  <c r="R45" i="7"/>
  <c r="AJ45" i="7"/>
  <c r="T45" i="7"/>
  <c r="J45" i="7"/>
  <c r="AV45" i="7" s="1"/>
  <c r="AD45" i="7"/>
  <c r="W114" i="5"/>
  <c r="K114" i="5" s="1"/>
  <c r="P114" i="5" s="1"/>
  <c r="Q114" i="5" s="1"/>
  <c r="V116" i="5"/>
  <c r="J116" i="5" s="1"/>
  <c r="P116" i="5" s="1"/>
  <c r="Q116" i="5" s="1"/>
  <c r="U14" i="23"/>
  <c r="I14" i="23"/>
  <c r="P14" i="23" s="1"/>
  <c r="Q14" i="23" s="1"/>
  <c r="P17" i="23"/>
  <c r="Q13" i="23"/>
  <c r="K124" i="5"/>
  <c r="P124" i="5" s="1"/>
  <c r="Q124" i="5" s="1"/>
  <c r="U88" i="5"/>
  <c r="I88" i="5" s="1"/>
  <c r="P88" i="5" s="1"/>
  <c r="Q88" i="5" s="1"/>
  <c r="U33" i="5"/>
  <c r="I33" i="5" s="1"/>
  <c r="P33" i="5" s="1"/>
  <c r="Q33" i="5" s="1"/>
  <c r="U73" i="5"/>
  <c r="I73" i="5" s="1"/>
  <c r="P73" i="5" s="1"/>
  <c r="Q73" i="5" s="1"/>
  <c r="U59" i="5"/>
  <c r="I59" i="5" s="1"/>
  <c r="P59" i="5" s="1"/>
  <c r="Q59" i="5" s="1"/>
  <c r="W41" i="5"/>
  <c r="K41" i="5" s="1"/>
  <c r="P41" i="5" s="1"/>
  <c r="Q41" i="5" s="1"/>
  <c r="I17" i="5"/>
  <c r="P17" i="5" s="1"/>
  <c r="Q17" i="5" s="1"/>
  <c r="U17" i="5"/>
  <c r="AH47" i="7"/>
  <c r="R47" i="7"/>
  <c r="AJ47" i="7"/>
  <c r="T47" i="7"/>
  <c r="AP47" i="7"/>
  <c r="AL47" i="7"/>
  <c r="V47" i="7"/>
  <c r="AN47" i="7"/>
  <c r="X47" i="7"/>
  <c r="J47" i="7"/>
  <c r="AV47" i="7" s="1"/>
  <c r="AD47" i="7"/>
  <c r="N47" i="7"/>
  <c r="AF47" i="7"/>
  <c r="P47" i="7"/>
  <c r="Z47" i="7"/>
  <c r="Y66" i="5"/>
  <c r="M66" i="5" s="1"/>
  <c r="P66" i="5" s="1"/>
  <c r="Q66" i="5" s="1"/>
  <c r="J18" i="5"/>
  <c r="W121" i="5"/>
  <c r="K121" i="5" s="1"/>
  <c r="P121" i="5" s="1"/>
  <c r="Q121" i="5" s="1"/>
  <c r="U91" i="5"/>
  <c r="I91" i="5" s="1"/>
  <c r="P91" i="5" s="1"/>
  <c r="Q91" i="5" s="1"/>
  <c r="U75" i="5"/>
  <c r="I75" i="5" s="1"/>
  <c r="P75" i="5" s="1"/>
  <c r="Q75" i="5" s="1"/>
  <c r="U68" i="5"/>
  <c r="I68" i="5" s="1"/>
  <c r="P68" i="5" s="1"/>
  <c r="Q68" i="5" s="1"/>
  <c r="U61" i="5"/>
  <c r="I61" i="5" s="1"/>
  <c r="P61" i="5" s="1"/>
  <c r="Q61" i="5" s="1"/>
  <c r="Y45" i="5"/>
  <c r="M45" i="5" s="1"/>
  <c r="U29" i="5"/>
  <c r="I29" i="5" s="1"/>
  <c r="P29" i="5" s="1"/>
  <c r="Q29" i="5" s="1"/>
  <c r="AN41" i="7"/>
  <c r="Q70" i="5"/>
  <c r="Q119" i="5"/>
  <c r="Q50" i="5"/>
  <c r="P45" i="7"/>
  <c r="Q112" i="5"/>
  <c r="AB10" i="7"/>
  <c r="Z10" i="7"/>
  <c r="AL10" i="7"/>
  <c r="AN10" i="7"/>
  <c r="AJ10" i="7"/>
  <c r="AD10" i="7"/>
  <c r="AP10" i="7"/>
  <c r="J10" i="7"/>
  <c r="T10" i="7"/>
  <c r="U69" i="5"/>
  <c r="I69" i="5" s="1"/>
  <c r="P69" i="5" s="1"/>
  <c r="Q69" i="5" s="1"/>
  <c r="U64" i="5"/>
  <c r="I64" i="5" s="1"/>
  <c r="P64" i="5" s="1"/>
  <c r="Q64" i="5" s="1"/>
  <c r="W40" i="5"/>
  <c r="K40" i="5" s="1"/>
  <c r="P40" i="5" s="1"/>
  <c r="Q40" i="5" s="1"/>
  <c r="U32" i="5"/>
  <c r="I32" i="5" s="1"/>
  <c r="P32" i="5" s="1"/>
  <c r="Q32" i="5" s="1"/>
  <c r="U26" i="5"/>
  <c r="I26" i="5" s="1"/>
  <c r="P26" i="5" s="1"/>
  <c r="Q26" i="5" s="1"/>
  <c r="AP51" i="7"/>
  <c r="Z51" i="7"/>
  <c r="AR51" i="7"/>
  <c r="AB51" i="7"/>
  <c r="L51" i="7"/>
  <c r="AD51" i="7"/>
  <c r="N51" i="7"/>
  <c r="AF51" i="7"/>
  <c r="P51" i="7"/>
  <c r="AL51" i="7"/>
  <c r="V51" i="7"/>
  <c r="AH51" i="7"/>
  <c r="AN51" i="7"/>
  <c r="X51" i="7"/>
  <c r="J51" i="7"/>
  <c r="AV51" i="7" s="1"/>
  <c r="R51" i="7"/>
  <c r="AP43" i="7"/>
  <c r="Z43" i="7"/>
  <c r="AR43" i="7"/>
  <c r="AB43" i="7"/>
  <c r="L43" i="7"/>
  <c r="AH43" i="7"/>
  <c r="AD43" i="7"/>
  <c r="N43" i="7"/>
  <c r="AF43" i="7"/>
  <c r="P43" i="7"/>
  <c r="AL43" i="7"/>
  <c r="V43" i="7"/>
  <c r="AN43" i="7"/>
  <c r="X43" i="7"/>
  <c r="J43" i="7"/>
  <c r="AV43" i="7" s="1"/>
  <c r="R43" i="7"/>
  <c r="AH39" i="7"/>
  <c r="R39" i="7"/>
  <c r="AJ39" i="7"/>
  <c r="T39" i="7"/>
  <c r="AP39" i="7"/>
  <c r="AL39" i="7"/>
  <c r="V39" i="7"/>
  <c r="AN39" i="7"/>
  <c r="X39" i="7"/>
  <c r="Z39" i="7"/>
  <c r="AD39" i="7"/>
  <c r="N39" i="7"/>
  <c r="AF39" i="7"/>
  <c r="P39" i="7"/>
  <c r="J39" i="7"/>
  <c r="AV39" i="7" s="1"/>
  <c r="U127" i="5"/>
  <c r="I127" i="5" s="1"/>
  <c r="P127" i="5" s="1"/>
  <c r="Q127" i="5" s="1"/>
  <c r="U27" i="5"/>
  <c r="I27" i="5" s="1"/>
  <c r="P27" i="5" s="1"/>
  <c r="Q27" i="5" s="1"/>
  <c r="W131" i="5"/>
  <c r="K131" i="5" s="1"/>
  <c r="P131" i="5" s="1"/>
  <c r="Q131" i="5" s="1"/>
  <c r="W122" i="5"/>
  <c r="K122" i="5" s="1"/>
  <c r="P122" i="5" s="1"/>
  <c r="Q122" i="5" s="1"/>
  <c r="I92" i="5"/>
  <c r="P92" i="5" s="1"/>
  <c r="Q92" i="5" s="1"/>
  <c r="U83" i="5"/>
  <c r="I83" i="5" s="1"/>
  <c r="P83" i="5" s="1"/>
  <c r="Q83" i="5" s="1"/>
  <c r="U62" i="5"/>
  <c r="I62" i="5" s="1"/>
  <c r="P62" i="5" s="1"/>
  <c r="Q62" i="5" s="1"/>
  <c r="I55" i="5"/>
  <c r="P55" i="5" s="1"/>
  <c r="Q55" i="5" s="1"/>
  <c r="U37" i="5"/>
  <c r="I37" i="5" s="1"/>
  <c r="P37" i="5" s="1"/>
  <c r="Q37" i="5" s="1"/>
  <c r="U30" i="5"/>
  <c r="I30" i="5" s="1"/>
  <c r="P30" i="5" s="1"/>
  <c r="Q30" i="5" s="1"/>
  <c r="U22" i="5"/>
  <c r="I22" i="5" s="1"/>
  <c r="P22" i="5" s="1"/>
  <c r="Q22" i="5" s="1"/>
  <c r="Q84" i="5"/>
  <c r="Q23" i="5"/>
  <c r="P39" i="5"/>
  <c r="Q39" i="5" s="1"/>
  <c r="X41" i="7"/>
  <c r="Q72" i="5"/>
  <c r="V123" i="5"/>
  <c r="J123" i="5" s="1"/>
  <c r="P123" i="5" s="1"/>
  <c r="Q123" i="5" s="1"/>
  <c r="Q86" i="5"/>
  <c r="Q79" i="5"/>
  <c r="U56" i="5"/>
  <c r="I56" i="5" s="1"/>
  <c r="P56" i="5" s="1"/>
  <c r="Q56" i="5" s="1"/>
  <c r="AJ43" i="7"/>
  <c r="AN49" i="7"/>
  <c r="L12" i="7"/>
  <c r="AJ13" i="7"/>
  <c r="N13" i="7"/>
  <c r="P57" i="7"/>
  <c r="AR55" i="7"/>
  <c r="AD55" i="7"/>
  <c r="N15" i="7"/>
  <c r="AD15" i="7"/>
  <c r="Z17" i="7"/>
  <c r="AP17" i="7"/>
  <c r="V19" i="7"/>
  <c r="AL19" i="7"/>
  <c r="R21" i="7"/>
  <c r="AH21" i="7"/>
  <c r="N23" i="7"/>
  <c r="AD23" i="7"/>
  <c r="Z25" i="7"/>
  <c r="AP25" i="7"/>
  <c r="V27" i="7"/>
  <c r="AL27" i="7"/>
  <c r="R29" i="7"/>
  <c r="AH29" i="7"/>
  <c r="N31" i="7"/>
  <c r="AD31" i="7"/>
  <c r="Z33" i="7"/>
  <c r="AP33" i="7"/>
  <c r="V35" i="7"/>
  <c r="AL35" i="7"/>
  <c r="R38" i="7"/>
  <c r="AH38" i="7"/>
  <c r="N40" i="7"/>
  <c r="AD40" i="7"/>
  <c r="Z42" i="7"/>
  <c r="AP42" i="7"/>
  <c r="V44" i="7"/>
  <c r="AL44" i="7"/>
  <c r="R46" i="7"/>
  <c r="AH46" i="7"/>
  <c r="N48" i="7"/>
  <c r="AD48" i="7"/>
  <c r="Z50" i="7"/>
  <c r="AP50" i="7"/>
  <c r="AJ37" i="7"/>
  <c r="T37" i="7"/>
  <c r="AV50" i="7"/>
  <c r="AV48" i="7"/>
  <c r="AV46" i="7"/>
  <c r="AV44" i="7"/>
  <c r="AV42" i="7"/>
  <c r="AV40" i="7"/>
  <c r="AV38" i="7"/>
  <c r="T57" i="7"/>
  <c r="V13" i="7"/>
  <c r="Z12" i="7"/>
  <c r="X13" i="7"/>
  <c r="T13" i="7"/>
  <c r="AR56" i="7"/>
  <c r="AD56" i="7"/>
  <c r="P56" i="7"/>
  <c r="AP56" i="7"/>
  <c r="J56" i="7"/>
  <c r="J57" i="7"/>
  <c r="P55" i="7"/>
  <c r="AH55" i="7"/>
  <c r="L15" i="7"/>
  <c r="AB15" i="7"/>
  <c r="AR15" i="7"/>
  <c r="X17" i="7"/>
  <c r="AN17" i="7"/>
  <c r="T19" i="7"/>
  <c r="AJ19" i="7"/>
  <c r="P21" i="7"/>
  <c r="AF21" i="7"/>
  <c r="L23" i="7"/>
  <c r="AB23" i="7"/>
  <c r="AR23" i="7"/>
  <c r="X25" i="7"/>
  <c r="AN25" i="7"/>
  <c r="T27" i="7"/>
  <c r="AJ27" i="7"/>
  <c r="P29" i="7"/>
  <c r="AF29" i="7"/>
  <c r="L31" i="7"/>
  <c r="AB31" i="7"/>
  <c r="AR31" i="7"/>
  <c r="X33" i="7"/>
  <c r="AN33" i="7"/>
  <c r="T35" i="7"/>
  <c r="AJ35" i="7"/>
  <c r="P38" i="7"/>
  <c r="AF38" i="7"/>
  <c r="L40" i="7"/>
  <c r="AB40" i="7"/>
  <c r="AR40" i="7"/>
  <c r="X42" i="7"/>
  <c r="AN42" i="7"/>
  <c r="T44" i="7"/>
  <c r="AJ44" i="7"/>
  <c r="P46" i="7"/>
  <c r="AF46" i="7"/>
  <c r="L48" i="7"/>
  <c r="AB48" i="7"/>
  <c r="AR48" i="7"/>
  <c r="X50" i="7"/>
  <c r="AN50" i="7"/>
  <c r="AL37" i="7"/>
  <c r="V37" i="7"/>
  <c r="AB13" i="7"/>
  <c r="AL13" i="7"/>
  <c r="L13" i="7"/>
  <c r="T56" i="7"/>
  <c r="AF56" i="7"/>
  <c r="AL56" i="7"/>
  <c r="Z56" i="7"/>
  <c r="X57" i="7"/>
  <c r="T55" i="7"/>
  <c r="T15" i="7"/>
  <c r="AJ15" i="7"/>
  <c r="P17" i="7"/>
  <c r="AF17" i="7"/>
  <c r="L19" i="7"/>
  <c r="AB19" i="7"/>
  <c r="AR19" i="7"/>
  <c r="X21" i="7"/>
  <c r="AN21" i="7"/>
  <c r="T23" i="7"/>
  <c r="AJ23" i="7"/>
  <c r="P25" i="7"/>
  <c r="AF25" i="7"/>
  <c r="L27" i="7"/>
  <c r="AB27" i="7"/>
  <c r="AR27" i="7"/>
  <c r="X29" i="7"/>
  <c r="AN29" i="7"/>
  <c r="T31" i="7"/>
  <c r="AJ31" i="7"/>
  <c r="P33" i="7"/>
  <c r="AF33" i="7"/>
  <c r="L35" i="7"/>
  <c r="AB35" i="7"/>
  <c r="AR35" i="7"/>
  <c r="X38" i="7"/>
  <c r="AN38" i="7"/>
  <c r="T40" i="7"/>
  <c r="AJ40" i="7"/>
  <c r="P42" i="7"/>
  <c r="AF42" i="7"/>
  <c r="L44" i="7"/>
  <c r="AB44" i="7"/>
  <c r="AR44" i="7"/>
  <c r="X46" i="7"/>
  <c r="AN46" i="7"/>
  <c r="T48" i="7"/>
  <c r="AJ48" i="7"/>
  <c r="P50" i="7"/>
  <c r="AF50" i="7"/>
  <c r="AD37" i="7"/>
  <c r="N37" i="7"/>
  <c r="J35" i="7"/>
  <c r="AV35" i="7" s="1"/>
  <c r="J33" i="7"/>
  <c r="AV33" i="7" s="1"/>
  <c r="J31" i="7"/>
  <c r="J29" i="7"/>
  <c r="AV29" i="7" s="1"/>
  <c r="J27" i="7"/>
  <c r="AV27" i="7" s="1"/>
  <c r="J25" i="7"/>
  <c r="AV25" i="7" s="1"/>
  <c r="J23" i="7"/>
  <c r="AV23" i="7" s="1"/>
  <c r="J21" i="7"/>
  <c r="AV21" i="7" s="1"/>
  <c r="J19" i="7"/>
  <c r="AV19" i="7" s="1"/>
  <c r="J17" i="7"/>
  <c r="AV17" i="7" s="1"/>
  <c r="J15" i="7"/>
  <c r="AV15" i="7" s="1"/>
  <c r="AP13" i="7"/>
  <c r="AV31" i="7"/>
  <c r="AR13" i="7"/>
  <c r="J13" i="7"/>
  <c r="AJ56" i="7"/>
  <c r="AN56" i="7"/>
  <c r="L56" i="7"/>
  <c r="AF57" i="7"/>
  <c r="P15" i="7"/>
  <c r="L17" i="7"/>
  <c r="AB17" i="7"/>
  <c r="X19" i="7"/>
  <c r="T21" i="7"/>
  <c r="P23" i="7"/>
  <c r="L25" i="7"/>
  <c r="AB25" i="7"/>
  <c r="X27" i="7"/>
  <c r="T29" i="7"/>
  <c r="P31" i="7"/>
  <c r="L33" i="7"/>
  <c r="AB33" i="7"/>
  <c r="X35" i="7"/>
  <c r="T38" i="7"/>
  <c r="AJ38" i="7"/>
  <c r="P40" i="7"/>
  <c r="AF40" i="7"/>
  <c r="L42" i="7"/>
  <c r="AB42" i="7"/>
  <c r="AR42" i="7"/>
  <c r="X44" i="7"/>
  <c r="AN44" i="7"/>
  <c r="T46" i="7"/>
  <c r="AJ46" i="7"/>
  <c r="P48" i="7"/>
  <c r="AF48" i="7"/>
  <c r="L50" i="7"/>
  <c r="AB50" i="7"/>
  <c r="AR50" i="7"/>
  <c r="AH37" i="7"/>
  <c r="K15" i="35" l="1"/>
  <c r="I13" i="35"/>
  <c r="G13" i="35"/>
  <c r="E13" i="35"/>
  <c r="F13" i="35"/>
  <c r="H13" i="35"/>
  <c r="AJ12" i="7"/>
  <c r="AN12" i="7"/>
  <c r="X12" i="7"/>
  <c r="V12" i="7"/>
  <c r="AD58" i="7"/>
  <c r="X56" i="7"/>
  <c r="AP12" i="7"/>
  <c r="AB12" i="7"/>
  <c r="N12" i="7"/>
  <c r="K12" i="29"/>
  <c r="T12" i="7"/>
  <c r="M42" i="12"/>
  <c r="M23" i="12"/>
  <c r="M39" i="12"/>
  <c r="M63" i="12"/>
  <c r="M65" i="12"/>
  <c r="M18" i="12"/>
  <c r="M47" i="12"/>
  <c r="M7" i="12"/>
  <c r="M32" i="12"/>
  <c r="Z11" i="7"/>
  <c r="N56" i="7"/>
  <c r="P12" i="7"/>
  <c r="AN11" i="7"/>
  <c r="AH11" i="7"/>
  <c r="AB11" i="7"/>
  <c r="T11" i="7"/>
  <c r="Z58" i="7"/>
  <c r="V11" i="7"/>
  <c r="P11" i="7"/>
  <c r="AD11" i="7"/>
  <c r="AP55" i="7"/>
  <c r="AR11" i="7"/>
  <c r="AL11" i="7"/>
  <c r="R11" i="7"/>
  <c r="AF11" i="7"/>
  <c r="AP11" i="7"/>
  <c r="X11" i="7"/>
  <c r="AJ11" i="7"/>
  <c r="AJ54" i="7" s="1"/>
  <c r="J58" i="7"/>
  <c r="N11" i="7"/>
  <c r="J11" i="7"/>
  <c r="AP58" i="7"/>
  <c r="AF10" i="7"/>
  <c r="P10" i="7"/>
  <c r="AH12" i="7"/>
  <c r="R12" i="7"/>
  <c r="X58" i="7"/>
  <c r="X59" i="7" s="1"/>
  <c r="N58" i="7"/>
  <c r="N55" i="7"/>
  <c r="AF12" i="7"/>
  <c r="AL12" i="7"/>
  <c r="AR58" i="7"/>
  <c r="AL58" i="7"/>
  <c r="P58" i="7"/>
  <c r="P59" i="7" s="1"/>
  <c r="P69" i="7" s="1"/>
  <c r="AJ58" i="7"/>
  <c r="J12" i="7"/>
  <c r="H251" i="5"/>
  <c r="AD12" i="7"/>
  <c r="AN58" i="7"/>
  <c r="L58" i="7"/>
  <c r="AB58" i="7"/>
  <c r="R58" i="7"/>
  <c r="O3" i="12"/>
  <c r="N19" i="12"/>
  <c r="N37" i="12"/>
  <c r="N59" i="12"/>
  <c r="N26" i="12"/>
  <c r="N51" i="12"/>
  <c r="N25" i="12"/>
  <c r="N66" i="12"/>
  <c r="N4" i="12"/>
  <c r="N29" i="12"/>
  <c r="N52" i="12"/>
  <c r="N24" i="12"/>
  <c r="N65" i="12"/>
  <c r="N63" i="12"/>
  <c r="N22" i="12"/>
  <c r="N57" i="12"/>
  <c r="N30" i="12"/>
  <c r="N68" i="12"/>
  <c r="N47" i="12"/>
  <c r="N38" i="12"/>
  <c r="N44" i="12"/>
  <c r="N14" i="12"/>
  <c r="N18" i="12"/>
  <c r="N15" i="12"/>
  <c r="N60" i="12"/>
  <c r="N31" i="12"/>
  <c r="N5" i="12"/>
  <c r="N43" i="12"/>
  <c r="N35" i="12"/>
  <c r="N36" i="12"/>
  <c r="N23" i="12"/>
  <c r="N10" i="12"/>
  <c r="N7" i="12"/>
  <c r="N48" i="12"/>
  <c r="N42" i="12"/>
  <c r="N6" i="12"/>
  <c r="N39" i="12"/>
  <c r="N13" i="12"/>
  <c r="N32" i="12"/>
  <c r="N53" i="12"/>
  <c r="N58" i="12"/>
  <c r="N54" i="12"/>
  <c r="N64" i="12"/>
  <c r="I16" i="29"/>
  <c r="K16" i="29" s="1"/>
  <c r="K15" i="29" s="1"/>
  <c r="AN57" i="7"/>
  <c r="AB57" i="7"/>
  <c r="L57" i="7"/>
  <c r="L59" i="7" s="1"/>
  <c r="L69" i="7" s="1"/>
  <c r="AL57" i="7"/>
  <c r="AL59" i="7" s="1"/>
  <c r="AL69" i="7" s="1"/>
  <c r="AF59" i="7"/>
  <c r="R10" i="7"/>
  <c r="AR10" i="7"/>
  <c r="AR54" i="7" s="1"/>
  <c r="X10" i="7"/>
  <c r="K11" i="29"/>
  <c r="AP59" i="7"/>
  <c r="AP69" i="7" s="1"/>
  <c r="X54" i="7"/>
  <c r="AB54" i="7"/>
  <c r="R13" i="7"/>
  <c r="Z13" i="7"/>
  <c r="Z54" i="7" s="1"/>
  <c r="AH13" i="7"/>
  <c r="AN13" i="7"/>
  <c r="AN54" i="7" s="1"/>
  <c r="AF13" i="7"/>
  <c r="AF69" i="7" s="1"/>
  <c r="AD13" i="7"/>
  <c r="P13" i="7"/>
  <c r="P54" i="7" s="1"/>
  <c r="AV56" i="7"/>
  <c r="AP54" i="7"/>
  <c r="J54" i="5"/>
  <c r="P54" i="5" s="1"/>
  <c r="Q54" i="5" s="1"/>
  <c r="Z57" i="7"/>
  <c r="Z59" i="7" s="1"/>
  <c r="V57" i="7"/>
  <c r="V59" i="7" s="1"/>
  <c r="AR57" i="7"/>
  <c r="AR59" i="7" s="1"/>
  <c r="AH57" i="7"/>
  <c r="AH59" i="7" s="1"/>
  <c r="AJ57" i="7"/>
  <c r="AJ59" i="7" s="1"/>
  <c r="N57" i="7"/>
  <c r="R57" i="7"/>
  <c r="AD57" i="7"/>
  <c r="AD59" i="7" s="1"/>
  <c r="V10" i="7"/>
  <c r="V54" i="7" s="1"/>
  <c r="AH10" i="7"/>
  <c r="M251" i="5"/>
  <c r="P45" i="5"/>
  <c r="Q45" i="5" s="1"/>
  <c r="I251" i="5"/>
  <c r="P16" i="5"/>
  <c r="T54" i="7"/>
  <c r="N54" i="7"/>
  <c r="AV55" i="7"/>
  <c r="J251" i="5"/>
  <c r="P18" i="5"/>
  <c r="Q18" i="5" s="1"/>
  <c r="J59" i="7"/>
  <c r="T59" i="7"/>
  <c r="L54" i="7"/>
  <c r="M18" i="23"/>
  <c r="N18" i="23"/>
  <c r="K18" i="23"/>
  <c r="L18" i="23"/>
  <c r="O18" i="23"/>
  <c r="J18" i="23"/>
  <c r="I18" i="23"/>
  <c r="AL54" i="7"/>
  <c r="K10" i="29" l="1"/>
  <c r="D7" i="35" s="1"/>
  <c r="F7" i="35" s="1"/>
  <c r="AV11" i="7"/>
  <c r="K13" i="35"/>
  <c r="D9" i="35"/>
  <c r="AD69" i="7"/>
  <c r="R59" i="7"/>
  <c r="AP60" i="7"/>
  <c r="AP62" i="7" s="1"/>
  <c r="AJ69" i="7"/>
  <c r="AD54" i="7"/>
  <c r="AV12" i="7"/>
  <c r="X69" i="7"/>
  <c r="X60" i="7"/>
  <c r="X62" i="7" s="1"/>
  <c r="AR69" i="7"/>
  <c r="AP70" i="7" s="1"/>
  <c r="AF54" i="7"/>
  <c r="AF60" i="7" s="1"/>
  <c r="AF62" i="7" s="1"/>
  <c r="N59" i="7"/>
  <c r="N69" i="7" s="1"/>
  <c r="V69" i="7"/>
  <c r="AN59" i="7"/>
  <c r="AN69" i="7" s="1"/>
  <c r="P60" i="7"/>
  <c r="P61" i="7" s="1"/>
  <c r="R54" i="7"/>
  <c r="AV10" i="7"/>
  <c r="J54" i="7"/>
  <c r="AT54" i="7" s="1"/>
  <c r="O63" i="12"/>
  <c r="J63" i="12" s="1"/>
  <c r="O7" i="12"/>
  <c r="J7" i="12" s="1"/>
  <c r="O19" i="12"/>
  <c r="J19" i="12" s="1"/>
  <c r="O30" i="12"/>
  <c r="J30" i="12" s="1"/>
  <c r="O37" i="12"/>
  <c r="J37" i="12" s="1"/>
  <c r="O48" i="12"/>
  <c r="J48" i="12" s="1"/>
  <c r="O68" i="12"/>
  <c r="J68" i="12" s="1"/>
  <c r="O66" i="12"/>
  <c r="J66" i="12" s="1"/>
  <c r="O4" i="12"/>
  <c r="J4" i="12" s="1"/>
  <c r="O13" i="12"/>
  <c r="J13" i="12" s="1"/>
  <c r="O23" i="12"/>
  <c r="J23" i="12" s="1"/>
  <c r="O38" i="12"/>
  <c r="J38" i="12" s="1"/>
  <c r="O53" i="12"/>
  <c r="J53" i="12" s="1"/>
  <c r="O52" i="12"/>
  <c r="J52" i="12" s="1"/>
  <c r="O14" i="12"/>
  <c r="J14" i="12" s="1"/>
  <c r="O32" i="12"/>
  <c r="J32" i="12" s="1"/>
  <c r="O59" i="12"/>
  <c r="J59" i="12" s="1"/>
  <c r="O60" i="12"/>
  <c r="J60" i="12" s="1"/>
  <c r="O15" i="12"/>
  <c r="J15" i="12" s="1"/>
  <c r="O36" i="12"/>
  <c r="J36" i="12" s="1"/>
  <c r="O65" i="12"/>
  <c r="J65" i="12" s="1"/>
  <c r="O64" i="12"/>
  <c r="J64" i="12" s="1"/>
  <c r="O31" i="12"/>
  <c r="J31" i="12" s="1"/>
  <c r="O5" i="12"/>
  <c r="J5" i="12" s="1"/>
  <c r="O24" i="12"/>
  <c r="J24" i="12" s="1"/>
  <c r="O43" i="12"/>
  <c r="J43" i="12" s="1"/>
  <c r="O54" i="12"/>
  <c r="J54" i="12" s="1"/>
  <c r="O6" i="12"/>
  <c r="J6" i="12" s="1"/>
  <c r="O25" i="12"/>
  <c r="J25" i="12" s="1"/>
  <c r="O47" i="12"/>
  <c r="J47" i="12" s="1"/>
  <c r="O26" i="12"/>
  <c r="J26" i="12" s="1"/>
  <c r="O42" i="12"/>
  <c r="J42" i="12" s="1"/>
  <c r="O58" i="12"/>
  <c r="J58" i="12" s="1"/>
  <c r="O10" i="12"/>
  <c r="J10" i="12" s="1"/>
  <c r="O29" i="12"/>
  <c r="J29" i="12" s="1"/>
  <c r="O44" i="12"/>
  <c r="J44" i="12" s="1"/>
  <c r="O18" i="12"/>
  <c r="J18" i="12" s="1"/>
  <c r="O35" i="12"/>
  <c r="J35" i="12" s="1"/>
  <c r="O51" i="12"/>
  <c r="J51" i="12" s="1"/>
  <c r="O22" i="12"/>
  <c r="J22" i="12" s="1"/>
  <c r="O39" i="12"/>
  <c r="J39" i="12" s="1"/>
  <c r="O57" i="12"/>
  <c r="J57" i="12" s="1"/>
  <c r="AL60" i="7"/>
  <c r="AL62" i="7" s="1"/>
  <c r="L60" i="7"/>
  <c r="L61" i="7" s="1"/>
  <c r="AB59" i="7"/>
  <c r="Z67" i="7" s="1"/>
  <c r="AV58" i="7"/>
  <c r="AN60" i="7"/>
  <c r="AN62" i="7" s="1"/>
  <c r="AR60" i="7"/>
  <c r="AR62" i="7" s="1"/>
  <c r="R69" i="7"/>
  <c r="Z69" i="7"/>
  <c r="AH67" i="7"/>
  <c r="AH69" i="7"/>
  <c r="AD60" i="7"/>
  <c r="AD62" i="7" s="1"/>
  <c r="V60" i="7"/>
  <c r="V62" i="7" s="1"/>
  <c r="AP67" i="7"/>
  <c r="AH54" i="7"/>
  <c r="AH60" i="7" s="1"/>
  <c r="AH62" i="7" s="1"/>
  <c r="AV13" i="7"/>
  <c r="Z60" i="7"/>
  <c r="Z62" i="7" s="1"/>
  <c r="R60" i="7"/>
  <c r="R61" i="7" s="1"/>
  <c r="AJ60" i="7"/>
  <c r="AJ62" i="7" s="1"/>
  <c r="T60" i="7"/>
  <c r="T62" i="7" s="1"/>
  <c r="AT62" i="7" s="1"/>
  <c r="AV57" i="7"/>
  <c r="J60" i="7"/>
  <c r="T69" i="7"/>
  <c r="T67" i="7"/>
  <c r="J69" i="7"/>
  <c r="P251" i="5"/>
  <c r="J252" i="5" s="1"/>
  <c r="B5" i="14" s="1"/>
  <c r="Q16" i="5"/>
  <c r="G7" i="35" l="1"/>
  <c r="H7" i="35"/>
  <c r="K80" i="29"/>
  <c r="E2" i="35" s="1"/>
  <c r="D14" i="35" s="1"/>
  <c r="I7" i="35"/>
  <c r="E7" i="35"/>
  <c r="F9" i="35"/>
  <c r="F17" i="35" s="1"/>
  <c r="H9" i="35"/>
  <c r="I9" i="35"/>
  <c r="E9" i="35"/>
  <c r="G9" i="35"/>
  <c r="D17" i="35"/>
  <c r="AT59" i="7"/>
  <c r="R70" i="7"/>
  <c r="M252" i="5"/>
  <c r="B8" i="14" s="1"/>
  <c r="J67" i="7"/>
  <c r="N60" i="7"/>
  <c r="N61" i="7" s="1"/>
  <c r="F57" i="12"/>
  <c r="G57" i="12"/>
  <c r="F10" i="12"/>
  <c r="G10" i="12"/>
  <c r="F43" i="12"/>
  <c r="G43" i="12"/>
  <c r="G52" i="12"/>
  <c r="F52" i="12"/>
  <c r="AB60" i="7"/>
  <c r="AB62" i="7" s="1"/>
  <c r="AB63" i="7" s="1"/>
  <c r="AB69" i="7"/>
  <c r="Z70" i="7" s="1"/>
  <c r="F39" i="12"/>
  <c r="G39" i="12"/>
  <c r="F18" i="12"/>
  <c r="G18" i="12"/>
  <c r="F58" i="12"/>
  <c r="G58" i="12"/>
  <c r="F25" i="12"/>
  <c r="G25" i="12"/>
  <c r="G24" i="12"/>
  <c r="F24" i="12"/>
  <c r="F65" i="12"/>
  <c r="G65" i="12"/>
  <c r="F59" i="12"/>
  <c r="G59" i="12"/>
  <c r="F53" i="12"/>
  <c r="G53" i="12"/>
  <c r="G4" i="12"/>
  <c r="F4" i="12"/>
  <c r="G37" i="12"/>
  <c r="F37" i="12"/>
  <c r="G63" i="12"/>
  <c r="F63" i="12"/>
  <c r="F35" i="12"/>
  <c r="G35" i="12"/>
  <c r="G47" i="12"/>
  <c r="F47" i="12"/>
  <c r="G64" i="12"/>
  <c r="F64" i="12"/>
  <c r="G60" i="12"/>
  <c r="F60" i="12"/>
  <c r="F13" i="12"/>
  <c r="G13" i="12"/>
  <c r="G48" i="12"/>
  <c r="F48" i="12"/>
  <c r="G7" i="12"/>
  <c r="F7" i="12"/>
  <c r="AT67" i="7"/>
  <c r="AH70" i="7"/>
  <c r="F22" i="12"/>
  <c r="G22" i="12"/>
  <c r="F44" i="12"/>
  <c r="G44" i="12"/>
  <c r="G42" i="12"/>
  <c r="F42" i="12"/>
  <c r="G6" i="12"/>
  <c r="F6" i="12"/>
  <c r="F5" i="12"/>
  <c r="G5" i="12"/>
  <c r="G36" i="12"/>
  <c r="F36" i="12"/>
  <c r="F32" i="12"/>
  <c r="G32" i="12"/>
  <c r="F38" i="12"/>
  <c r="G38" i="12"/>
  <c r="G66" i="12"/>
  <c r="F66" i="12"/>
  <c r="G30" i="12"/>
  <c r="F30" i="12"/>
  <c r="F51" i="12"/>
  <c r="G51" i="12"/>
  <c r="G29" i="12"/>
  <c r="F29" i="12"/>
  <c r="F26" i="12"/>
  <c r="G26" i="12"/>
  <c r="F54" i="12"/>
  <c r="G54" i="12"/>
  <c r="G31" i="12"/>
  <c r="F31" i="12"/>
  <c r="G15" i="12"/>
  <c r="F15" i="12"/>
  <c r="F14" i="12"/>
  <c r="G14" i="12"/>
  <c r="F23" i="12"/>
  <c r="G23" i="12"/>
  <c r="G68" i="12"/>
  <c r="F68" i="12"/>
  <c r="G19" i="12"/>
  <c r="F19" i="12"/>
  <c r="I252" i="5"/>
  <c r="B4" i="14" s="1"/>
  <c r="B11" i="14" s="1"/>
  <c r="J61" i="7"/>
  <c r="AT61" i="7" s="1"/>
  <c r="AT60" i="7"/>
  <c r="O252" i="5"/>
  <c r="B10" i="14" s="1"/>
  <c r="N252" i="5"/>
  <c r="B9" i="14" s="1"/>
  <c r="L252" i="5"/>
  <c r="B7" i="14" s="1"/>
  <c r="K252" i="5"/>
  <c r="B6" i="14" s="1"/>
  <c r="O63" i="7"/>
  <c r="L63" i="7"/>
  <c r="AR63" i="7"/>
  <c r="R63" i="7"/>
  <c r="AH63" i="7"/>
  <c r="V63" i="7"/>
  <c r="AG63" i="7"/>
  <c r="AK63" i="7"/>
  <c r="AM63" i="7"/>
  <c r="AJ63" i="7"/>
  <c r="AO63" i="7"/>
  <c r="N63" i="7"/>
  <c r="W63" i="7"/>
  <c r="T63" i="7"/>
  <c r="Q63" i="7"/>
  <c r="AD63" i="7"/>
  <c r="S63" i="7"/>
  <c r="P63" i="7"/>
  <c r="M63" i="7"/>
  <c r="AP63" i="7"/>
  <c r="K63" i="7"/>
  <c r="AQ63" i="7"/>
  <c r="J63" i="7"/>
  <c r="AI63" i="7"/>
  <c r="Z63" i="7"/>
  <c r="AN63" i="7"/>
  <c r="AF63" i="7"/>
  <c r="U63" i="7"/>
  <c r="AE63" i="7"/>
  <c r="AA63" i="7"/>
  <c r="AL63" i="7"/>
  <c r="X63" i="7"/>
  <c r="AC63" i="7"/>
  <c r="Y63" i="7"/>
  <c r="J70" i="7"/>
  <c r="H17" i="35" l="1"/>
  <c r="D10" i="35"/>
  <c r="D8" i="35"/>
  <c r="H16" i="35"/>
  <c r="I17" i="35"/>
  <c r="K7" i="35"/>
  <c r="D6" i="35"/>
  <c r="F16" i="35"/>
  <c r="D12" i="35"/>
  <c r="G17" i="35"/>
  <c r="E16" i="35"/>
  <c r="G16" i="35"/>
  <c r="K9" i="35"/>
  <c r="E17" i="35"/>
  <c r="I16" i="35"/>
  <c r="AT69" i="7"/>
  <c r="Y72" i="7"/>
  <c r="Y65" i="7"/>
  <c r="Y66" i="7" s="1"/>
  <c r="AF72" i="7"/>
  <c r="AF65" i="7"/>
  <c r="AF66" i="7" s="1"/>
  <c r="M72" i="7"/>
  <c r="M65" i="7"/>
  <c r="M66" i="7" s="1"/>
  <c r="AO65" i="7"/>
  <c r="AO66" i="7" s="1"/>
  <c r="AO72" i="7"/>
  <c r="AR72" i="7"/>
  <c r="AR65" i="7"/>
  <c r="AR66" i="7" s="1"/>
  <c r="U65" i="7"/>
  <c r="U66" i="7" s="1"/>
  <c r="U72" i="7"/>
  <c r="R72" i="7"/>
  <c r="R65" i="7"/>
  <c r="R66" i="7" s="1"/>
  <c r="R71" i="7" s="1"/>
  <c r="K72" i="7"/>
  <c r="K65" i="7"/>
  <c r="K66" i="7" s="1"/>
  <c r="W72" i="7"/>
  <c r="W65" i="7"/>
  <c r="W66" i="7" s="1"/>
  <c r="AQ72" i="7"/>
  <c r="AQ65" i="7"/>
  <c r="AQ66" i="7" s="1"/>
  <c r="Q65" i="7"/>
  <c r="Q66" i="7" s="1"/>
  <c r="Q72" i="7"/>
  <c r="AL72" i="7"/>
  <c r="AL65" i="7"/>
  <c r="AL66" i="7" s="1"/>
  <c r="AK65" i="7"/>
  <c r="AK66" i="7" s="1"/>
  <c r="AK72" i="7"/>
  <c r="N72" i="7"/>
  <c r="N65" i="7"/>
  <c r="N66" i="7" s="1"/>
  <c r="AB72" i="7"/>
  <c r="AB65" i="7"/>
  <c r="AB66" i="7" s="1"/>
  <c r="AH68" i="7"/>
  <c r="AH72" i="7"/>
  <c r="AH65" i="7"/>
  <c r="AH66" i="7" s="1"/>
  <c r="AH71" i="7" s="1"/>
  <c r="T72" i="7"/>
  <c r="T68" i="7"/>
  <c r="T65" i="7"/>
  <c r="T66" i="7" s="1"/>
  <c r="AA65" i="7"/>
  <c r="AA66" i="7" s="1"/>
  <c r="AA72" i="7"/>
  <c r="AI65" i="7"/>
  <c r="AI66" i="7" s="1"/>
  <c r="AI72" i="7"/>
  <c r="Z68" i="7"/>
  <c r="Z72" i="7"/>
  <c r="Z65" i="7"/>
  <c r="Z66" i="7" s="1"/>
  <c r="Z71" i="7" s="1"/>
  <c r="S72" i="7"/>
  <c r="S65" i="7"/>
  <c r="S66" i="7" s="1"/>
  <c r="AM65" i="7"/>
  <c r="AM66" i="7" s="1"/>
  <c r="AM72" i="7"/>
  <c r="O72" i="7"/>
  <c r="O65" i="7"/>
  <c r="O66" i="7" s="1"/>
  <c r="AP68" i="7"/>
  <c r="AP72" i="7"/>
  <c r="AP65" i="7"/>
  <c r="AP66" i="7" s="1"/>
  <c r="AP71" i="7" s="1"/>
  <c r="AT70" i="7"/>
  <c r="AE65" i="7"/>
  <c r="AE66" i="7" s="1"/>
  <c r="AE72" i="7"/>
  <c r="V72" i="7"/>
  <c r="V65" i="7"/>
  <c r="V66" i="7" s="1"/>
  <c r="J72" i="7"/>
  <c r="AT72" i="7" s="1"/>
  <c r="J68" i="7"/>
  <c r="AT68" i="7" s="1"/>
  <c r="J65" i="7"/>
  <c r="AG65" i="7"/>
  <c r="AG66" i="7" s="1"/>
  <c r="AG72" i="7"/>
  <c r="AD72" i="7"/>
  <c r="AD65" i="7"/>
  <c r="AD66" i="7" s="1"/>
  <c r="X72" i="7"/>
  <c r="X65" i="7"/>
  <c r="X66" i="7" s="1"/>
  <c r="AC65" i="7"/>
  <c r="AC66" i="7" s="1"/>
  <c r="AC72" i="7"/>
  <c r="AN72" i="7"/>
  <c r="AN65" i="7"/>
  <c r="AN66" i="7" s="1"/>
  <c r="P72" i="7"/>
  <c r="P65" i="7"/>
  <c r="P66" i="7" s="1"/>
  <c r="AJ72" i="7"/>
  <c r="AJ65" i="7"/>
  <c r="AJ66" i="7" s="1"/>
  <c r="L65" i="7"/>
  <c r="L66" i="7" s="1"/>
  <c r="L72" i="7"/>
  <c r="D16" i="35" l="1"/>
  <c r="K17" i="35"/>
  <c r="K16" i="35"/>
  <c r="AT65" i="7"/>
  <c r="J66" i="7"/>
  <c r="AT66" i="7" l="1"/>
  <c r="J71" i="7"/>
  <c r="AT71" i="7" s="1"/>
  <c r="U48" i="29"/>
</calcChain>
</file>

<file path=xl/comments1.xml><?xml version="1.0" encoding="utf-8"?>
<comments xmlns="http://schemas.openxmlformats.org/spreadsheetml/2006/main">
  <authors>
    <author>Profissional</author>
  </authors>
  <commentList>
    <comment ref="D5" authorId="0" shapeId="0">
      <text>
        <r>
          <rPr>
            <b/>
            <sz val="9"/>
            <color indexed="81"/>
            <rFont val="Segoe UI"/>
            <family val="2"/>
          </rPr>
          <t>Profissional: Lançar o Valor total de cada etapa na celula correspondente ao "FINANCEIRO"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5" authorId="0" shapeId="0">
      <text>
        <r>
          <rPr>
            <b/>
            <sz val="9"/>
            <color indexed="81"/>
            <rFont val="Segoe UI"/>
            <family val="2"/>
          </rPr>
          <t>Profissional: Lançar a % de medição do mês em "FISICO" de cada etapa</t>
        </r>
      </text>
    </comment>
    <comment ref="F5" authorId="0" shapeId="0">
      <text>
        <r>
          <rPr>
            <b/>
            <sz val="9"/>
            <color indexed="81"/>
            <rFont val="Segoe UI"/>
            <family val="2"/>
          </rPr>
          <t>Profissional: Lançar a % de medição do mês em "FISICO" de cada etapa"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G5" authorId="0" shapeId="0">
      <text>
        <r>
          <rPr>
            <b/>
            <sz val="9"/>
            <color indexed="81"/>
            <rFont val="Segoe UI"/>
            <family val="2"/>
          </rPr>
          <t>Profissional: Lançar a % de medição do mês em "FISICO" de cada etapa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5" authorId="0" shapeId="0">
      <text>
        <r>
          <rPr>
            <b/>
            <sz val="9"/>
            <color indexed="81"/>
            <rFont val="Segoe UI"/>
            <family val="2"/>
          </rPr>
          <t>Profissional: Lançar a % de medição do mês em "FISICO" de cada etapa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5" authorId="0" shapeId="0">
      <text>
        <r>
          <rPr>
            <b/>
            <sz val="9"/>
            <color indexed="81"/>
            <rFont val="Segoe UI"/>
            <family val="2"/>
          </rPr>
          <t>Profissional:Lançar a % de medição do mês em "FISICO" de cada etapa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<sst xmlns="http://schemas.openxmlformats.org/spreadsheetml/2006/main" count="3148" uniqueCount="1234">
  <si>
    <t>de movimeno de terra são compostos apenas por mão-de-obra e equipamentos.</t>
  </si>
  <si>
    <t>DESCRIÇÃO E QUANTITATIVOS POR:</t>
  </si>
  <si>
    <t xml:space="preserve">   PREÇOS POR:(CARIMBO/RUBRICA)</t>
  </si>
  <si>
    <t>1.3 - Viga em madeira de lei - 15 x 7,5 cm</t>
  </si>
  <si>
    <t>1.4 - Prego (18 x 30)</t>
  </si>
  <si>
    <t>1.2 - Betoneira capacidade 320 L, motor diesel 7 HP</t>
  </si>
  <si>
    <t>2 - Formas e desformas:</t>
  </si>
  <si>
    <t>4.1.2 - Trator de esteira, motor diesel, 140 HP, D6M</t>
  </si>
  <si>
    <t>CAIXILHO DE FERRO, TIPO BASCULANTE</t>
  </si>
  <si>
    <t>COL3</t>
  </si>
  <si>
    <t>COL4</t>
  </si>
  <si>
    <t>COL5</t>
  </si>
  <si>
    <t>COL6</t>
  </si>
  <si>
    <t>COL7</t>
  </si>
  <si>
    <t>TOTAL</t>
  </si>
  <si>
    <t>2.5.4 - Materiais, equipamentos e serviços diversos</t>
  </si>
  <si>
    <t>Instalações preliminares</t>
  </si>
  <si>
    <t>Serviços preliminares</t>
  </si>
  <si>
    <t>Movimento de terra</t>
  </si>
  <si>
    <t>Tubulação e caixas</t>
  </si>
  <si>
    <t>Cortes e aterros</t>
  </si>
  <si>
    <t>Estruturas de concreto</t>
  </si>
  <si>
    <t>Materiais e equipamentos</t>
  </si>
  <si>
    <t>Serviços diversos</t>
  </si>
  <si>
    <t>Fundações profundas</t>
  </si>
  <si>
    <t>Leito filtrante</t>
  </si>
  <si>
    <t>Interligação geral</t>
  </si>
  <si>
    <t>Ligação interceptor</t>
  </si>
  <si>
    <t>Primeira parcela CODEVASF</t>
  </si>
  <si>
    <t>CODEVASF</t>
  </si>
  <si>
    <t xml:space="preserve"> COMPOSIÇÃO DE PREÇO UNITÁRIO</t>
  </si>
  <si>
    <t xml:space="preserve">DATA: </t>
  </si>
  <si>
    <t xml:space="preserve">UNIDADE: </t>
  </si>
  <si>
    <t>EQUIPAMENTO</t>
  </si>
  <si>
    <t>UNIDADE</t>
  </si>
  <si>
    <t>PROD</t>
  </si>
  <si>
    <t>IMPROD</t>
  </si>
  <si>
    <t>P.UNIT. PROD</t>
  </si>
  <si>
    <t>P.UNIT. IMPR</t>
  </si>
  <si>
    <t>P.TOTAL</t>
  </si>
  <si>
    <t>SUB-TOTAL</t>
  </si>
  <si>
    <t>MATERIAL</t>
  </si>
  <si>
    <t>P.UNIT.</t>
  </si>
  <si>
    <t>SERVIÇOS - COMPOSIÇÕES AUXILIARES</t>
  </si>
  <si>
    <t>MÃO DE OBRA</t>
  </si>
  <si>
    <t>PRODUÇÃO DA EQUIPE</t>
  </si>
  <si>
    <t xml:space="preserve">CUSTO </t>
  </si>
  <si>
    <t>BDI                %</t>
  </si>
  <si>
    <t>TOTAL DO SERVIÇO - R$</t>
  </si>
  <si>
    <t>vb</t>
  </si>
  <si>
    <t>Passagem de ônibus</t>
  </si>
  <si>
    <t>unid.</t>
  </si>
  <si>
    <t xml:space="preserve">OBRA: </t>
  </si>
  <si>
    <t>SERVIÇO :Administração local e manutenção do canteiro</t>
  </si>
  <si>
    <t>Energia elétrica</t>
  </si>
  <si>
    <t>kwh</t>
  </si>
  <si>
    <t>EPI</t>
  </si>
  <si>
    <t>Ferramentas</t>
  </si>
  <si>
    <t>ADMINISTRAÇÃO LOCAL E MANUTENÇÃO DO CANTEIRO</t>
  </si>
  <si>
    <t>DEMOLIÇÃO DE CONCRETO</t>
  </si>
  <si>
    <t>Restante a liberar</t>
  </si>
  <si>
    <t>Segunda Liberação da Prefeitura</t>
  </si>
  <si>
    <t>Mão de obra interceptor = Primeira liberação da Prefeitura</t>
  </si>
  <si>
    <t>Segunda parcela CODEVASF</t>
  </si>
  <si>
    <t>Repasse</t>
  </si>
  <si>
    <t>Contrapartida</t>
  </si>
  <si>
    <t>TOTAL GERAL</t>
  </si>
  <si>
    <t>%</t>
  </si>
  <si>
    <t>T</t>
  </si>
  <si>
    <t>U</t>
  </si>
  <si>
    <t>Meta</t>
  </si>
  <si>
    <t>Etapa</t>
  </si>
  <si>
    <t>Especificação</t>
  </si>
  <si>
    <t>Indicador Físico</t>
  </si>
  <si>
    <t>Duração</t>
  </si>
  <si>
    <t>Fase</t>
  </si>
  <si>
    <t>Unidade</t>
  </si>
  <si>
    <t>Início após liberação dos recursos</t>
  </si>
  <si>
    <t>Término após liberação dos recursos</t>
  </si>
  <si>
    <t>Construção do interceptor do córrego Caeté</t>
  </si>
  <si>
    <t>Estrutura de concreto e escoramento</t>
  </si>
  <si>
    <t>Materiais e equipamentos hidráulicos e serviços diversos</t>
  </si>
  <si>
    <t>Construção da ETE</t>
  </si>
  <si>
    <t>2.2.1</t>
  </si>
  <si>
    <t>2.2.2</t>
  </si>
  <si>
    <t>2.2.3</t>
  </si>
  <si>
    <t>2.3.1</t>
  </si>
  <si>
    <t>2.3.2</t>
  </si>
  <si>
    <t>Aterros e cortes</t>
  </si>
  <si>
    <t>2.4.1</t>
  </si>
  <si>
    <t>2.4.2</t>
  </si>
  <si>
    <t>2.4.3</t>
  </si>
  <si>
    <t>2.4.4</t>
  </si>
  <si>
    <t>2.4.5</t>
  </si>
  <si>
    <t>2.5.1</t>
  </si>
  <si>
    <t>2.5.2</t>
  </si>
  <si>
    <t>2.5.3</t>
  </si>
  <si>
    <t>2.5.4</t>
  </si>
  <si>
    <t>Materiais, equipamentos e serviços diversos</t>
  </si>
  <si>
    <t>2.6.1</t>
  </si>
  <si>
    <t>2.6.2</t>
  </si>
  <si>
    <t>2.6.3</t>
  </si>
  <si>
    <t>2.6.4</t>
  </si>
  <si>
    <t>2.6.5</t>
  </si>
  <si>
    <t>2.7.1</t>
  </si>
  <si>
    <t>2.7.2</t>
  </si>
  <si>
    <t>2.7.3</t>
  </si>
  <si>
    <t>2.8.1</t>
  </si>
  <si>
    <t>2.8.2</t>
  </si>
  <si>
    <t>2.9.1</t>
  </si>
  <si>
    <t>2.9.2</t>
  </si>
  <si>
    <t>2.9.3</t>
  </si>
  <si>
    <t>2.9.4</t>
  </si>
  <si>
    <t>2.10.1</t>
  </si>
  <si>
    <t>2.10.2</t>
  </si>
  <si>
    <t>2.10.3</t>
  </si>
  <si>
    <t>2.10.4</t>
  </si>
  <si>
    <t>Lançamentos de esgotos</t>
  </si>
  <si>
    <t>2.11.1</t>
  </si>
  <si>
    <t>2.11.2</t>
  </si>
  <si>
    <t>2.11.3</t>
  </si>
  <si>
    <t>2.11.4</t>
  </si>
  <si>
    <r>
      <t xml:space="preserve">1.0 - Construção do interceptor do córrego Caeté 
</t>
    </r>
    <r>
      <rPr>
        <sz val="10"/>
        <rFont val="Arial"/>
        <family val="2"/>
      </rPr>
      <t>1.1-Serviços preliminares</t>
    </r>
  </si>
  <si>
    <t>CARGA MANUAL (MATERIAL EM GERAL), SEM MANUSEIO E ARRUMAÇÃO DO MATERIAL, INCLUSIVE DESCARGA</t>
  </si>
  <si>
    <t>COBERTURA EM TELHA CERÂMICA, TIPO COLONIAL</t>
  </si>
  <si>
    <t>CONSTRUÇÃO DE ESTAÇÃO DE TRATAMENTO E INTERCEPTOR DE ESGOTO</t>
  </si>
  <si>
    <r>
      <t>5 - FONTES E USOS:</t>
    </r>
    <r>
      <rPr>
        <b/>
        <sz val="10"/>
        <rFont val="Arial"/>
        <family val="2"/>
      </rPr>
      <t xml:space="preserve"> CODEVASF</t>
    </r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</si>
  <si>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</si>
  <si>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</si>
  <si>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</si>
  <si>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</si>
  <si>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</si>
  <si>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</si>
  <si>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</si>
  <si>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</si>
  <si>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</si>
  <si>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</si>
  <si>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</si>
  <si>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</si>
  <si>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13º mês</t>
  </si>
  <si>
    <t>14º mês</t>
  </si>
  <si>
    <t>15º mês</t>
  </si>
  <si>
    <t>16º mês</t>
  </si>
  <si>
    <t>USOS
(Grandes itens)</t>
  </si>
  <si>
    <t>R$</t>
  </si>
  <si>
    <t>PROCESSO LICITATÓRIO</t>
  </si>
  <si>
    <t>LOCALIDADE</t>
  </si>
  <si>
    <t xml:space="preserve">  FOLHA:</t>
  </si>
  <si>
    <t>CAETÉ / MG - Plano Diretor de Esgotos</t>
  </si>
  <si>
    <t>RESUMO GERAL</t>
  </si>
  <si>
    <t>ÍTEM</t>
  </si>
  <si>
    <t>DESCRIÇÃO</t>
  </si>
  <si>
    <t>UNID.</t>
  </si>
  <si>
    <t>OBRAS E MATERIAIS</t>
  </si>
  <si>
    <t>INTERCEPTOR CÓRREGO CAETÉ - MARGEM DIREITA</t>
  </si>
  <si>
    <t>Custos referentes a mão-de-obra e equipamentos</t>
  </si>
  <si>
    <t>gl</t>
  </si>
  <si>
    <t>Custos referentes a materiais</t>
  </si>
  <si>
    <t>CERCA EM MOURÕES DE CONCRETO, COM FECHAMENTO EM ARAME FARPADO</t>
  </si>
  <si>
    <t>01.03</t>
  </si>
  <si>
    <t>01.04</t>
  </si>
  <si>
    <t>2.2 - Forma plana em chapa de madeira compensada, para estruturas</t>
  </si>
  <si>
    <t>2.2.1 - Carpinteiro</t>
  </si>
  <si>
    <t>2.2.2 - Servente</t>
  </si>
  <si>
    <t>2.3 - Forma curva em chapa de madeira compensada resinada, E=10 mm,</t>
  </si>
  <si>
    <t>para estruturas</t>
  </si>
  <si>
    <t>2.3.1 - Carpinteiro</t>
  </si>
  <si>
    <t>2.3.2 - Servente</t>
  </si>
  <si>
    <t>3 – Fornecimento e colocação de armadura de aço</t>
  </si>
  <si>
    <t>kg</t>
  </si>
  <si>
    <t>3.1 - Armador</t>
  </si>
  <si>
    <t>3.2 - Auxiliar de oficial</t>
  </si>
  <si>
    <t>4 - Concreto - Preparo, transporte, lançamento e adensamento:</t>
  </si>
  <si>
    <t>4.1 - Concreto estrutural (fck = 20 MPa)</t>
  </si>
  <si>
    <t>4.1.1 - Pedreiro</t>
  </si>
  <si>
    <t>4.1.2 - Servente</t>
  </si>
  <si>
    <t>4.1.3 - Betoneira capacidade 320 L, motor diesel 7 HP</t>
  </si>
  <si>
    <t>Obs.: Este serviço é composta apenas por mão-de-obra e equipamentos</t>
  </si>
  <si>
    <t>2.1 - Saco de ráfia 50 x 80 cm</t>
  </si>
  <si>
    <t>2.2 - Cimento Portland CP 32 II comum</t>
  </si>
  <si>
    <t>sc</t>
  </si>
  <si>
    <t>Obs.: Todos os serviços referentes a movimento de terra são compostos</t>
  </si>
  <si>
    <t>apenas por mão-de-obra e equipamentos.</t>
  </si>
  <si>
    <t>KG</t>
  </si>
  <si>
    <t>1.3 - Brita 1</t>
  </si>
  <si>
    <t>1.4 - Brita 2</t>
  </si>
  <si>
    <t>2.1.1 - Prego (18 x 30)</t>
  </si>
  <si>
    <t>2.1.2 - Tábua em pinho de 3° - 30 x 2,5 cm</t>
  </si>
  <si>
    <t>2.1.3 - Pontalete 8 x 8 cm (em madeira de lei)</t>
  </si>
  <si>
    <t>2.1.4 - Sarrafo de pinho - 10 x 2,5 cm</t>
  </si>
  <si>
    <t>4.1.2 - Areia</t>
  </si>
  <si>
    <t>4.1.3 - Brita 1</t>
  </si>
  <si>
    <t>4.1.4 - Brita 2</t>
  </si>
  <si>
    <t>4.2.1 - Cimento Portland CP 32 II comum</t>
  </si>
  <si>
    <t>4.2.2 - Areia</t>
  </si>
  <si>
    <t>4.2.3 - Brita 1</t>
  </si>
  <si>
    <t>4.2.4 - Brita 2</t>
  </si>
  <si>
    <t>1.1 - Escora de eucalipto, sem tratamento, diâmetro mínimo = 12 cm</t>
  </si>
  <si>
    <t>DATA BASE: NOV/2008</t>
  </si>
  <si>
    <t>CABO DE COBRE UNIPOLAR, FIO DE COBRE TÊMPERA MOLE, ENCORDOAMENTO CLASSE  2" ISOLADO EM TERMOPLASTICO DE PVC SEM CHUMBO ANTICHAMA, 1000V 70°C,  BITOLA 3 x 2.5MM2</t>
  </si>
  <si>
    <t>CABO DE COBRE UNIPOLAR, FIO DE COBRE TÊMPERA MOLE, ENCORDOAMENTO CLASSE  2" ISOLADO EM TERMOPLASTICO DE PVC SEM CHUMBO ANTICHAMA, 1000V 70°C,  BITOLA 10MM2</t>
  </si>
  <si>
    <t>ELETRODOS DE NÍVEL</t>
  </si>
  <si>
    <t>ELETRODUTO DE PVC RÍGIDO ROSQUEÁVEL ANTICHAMA, COR PRETA CLASSE B, FABRICADO CONFORME NBR 6150, TAMANHO DE 3 METROS, DIÂMETRO 2"</t>
  </si>
  <si>
    <t>PROJETO</t>
  </si>
  <si>
    <t>02.02</t>
  </si>
  <si>
    <t>02.01.01.01</t>
  </si>
  <si>
    <t>02.01.01.02</t>
  </si>
  <si>
    <t>02.01.01.03</t>
  </si>
  <si>
    <t>02.01.01.04</t>
  </si>
  <si>
    <t>02.01.01.04.01</t>
  </si>
  <si>
    <t>02.01.01.05</t>
  </si>
  <si>
    <t xml:space="preserve"> </t>
  </si>
  <si>
    <t>CD:</t>
  </si>
  <si>
    <t>Item</t>
  </si>
  <si>
    <t>Descrição dos Serviços</t>
  </si>
  <si>
    <t>Valor</t>
  </si>
  <si>
    <t>PV</t>
  </si>
  <si>
    <t>CD</t>
  </si>
  <si>
    <t>(R$)</t>
  </si>
  <si>
    <t>ADMINISTRAÇÃO CENTRAL</t>
  </si>
  <si>
    <t>a =</t>
  </si>
  <si>
    <t>Administração Central</t>
  </si>
  <si>
    <t>IMPOSTOS E TAXAS</t>
  </si>
  <si>
    <t>i =</t>
  </si>
  <si>
    <t>Impostos</t>
  </si>
  <si>
    <t>3.1</t>
  </si>
  <si>
    <t>ISS</t>
  </si>
  <si>
    <t>3.2</t>
  </si>
  <si>
    <t>PIS</t>
  </si>
  <si>
    <t>3.3</t>
  </si>
  <si>
    <t>Cofins</t>
  </si>
  <si>
    <t>3.4</t>
  </si>
  <si>
    <t>CPMF</t>
  </si>
  <si>
    <t>TAXA DE RISCO</t>
  </si>
  <si>
    <t>r =</t>
  </si>
  <si>
    <t>Taxa de Risco</t>
  </si>
  <si>
    <t xml:space="preserve"> SETOR RESPONSÁVEL:</t>
  </si>
  <si>
    <t xml:space="preserve">  OBSERVAÇÕES:</t>
  </si>
  <si>
    <t>LOCALIDADE:</t>
  </si>
  <si>
    <t>FOLHA</t>
  </si>
  <si>
    <t>CAETÉ - MG Plano Diretor de Esgotos</t>
  </si>
  <si>
    <t>OBRA / SERVIÇO UNIDADE DO SISTEMA</t>
  </si>
  <si>
    <t>DATA BASE</t>
  </si>
  <si>
    <t>QUANTIDADE</t>
  </si>
  <si>
    <t>PREÇO UNITÁRIO</t>
  </si>
  <si>
    <t>VALOR TOTAL</t>
  </si>
  <si>
    <t>1.1</t>
  </si>
  <si>
    <t>SERVIÇOS PRELIMINARES</t>
  </si>
  <si>
    <t>SINAPI</t>
  </si>
  <si>
    <t>1 - Locação de eixo em áreas não planejadas</t>
  </si>
  <si>
    <t>m</t>
  </si>
  <si>
    <t>1.1 - Eng. Agrimensor Senior</t>
  </si>
  <si>
    <t>mês</t>
  </si>
  <si>
    <t>1.2 - Auxiliar de topografia</t>
  </si>
  <si>
    <t>1.3 - Estação total TOPCON GTS-212 ou similar</t>
  </si>
  <si>
    <t>1.4 - Conjunto de equipamentos complementares(trena,baliza,mira e etc.)</t>
  </si>
  <si>
    <t>2 - Ensecadeira (rip-rap) em solo cimento, traço 1:10</t>
  </si>
  <si>
    <t>m³</t>
  </si>
  <si>
    <t>2.1 - Pedreiro</t>
  </si>
  <si>
    <t>h</t>
  </si>
  <si>
    <t>2.2 - Servente</t>
  </si>
  <si>
    <t>MOVIMENTO DE TERRA</t>
  </si>
  <si>
    <t>1 - Escavação manual de valas, em solo seco:</t>
  </si>
  <si>
    <t>1.1 - Profundidade até 1,50 m</t>
  </si>
  <si>
    <t>1.1.1 - Servente</t>
  </si>
  <si>
    <t>2 - Escavação manual de valas, em solo com água:</t>
  </si>
  <si>
    <t>2.1 - Profundidade até 1,50 m</t>
  </si>
  <si>
    <t>2.1.1 - Servente</t>
  </si>
  <si>
    <t>2.2 - Profundidade maior que 1,50 m até 3,00 m</t>
  </si>
  <si>
    <t>2.2.1 - Servente</t>
  </si>
  <si>
    <t>DESCRIÇÃO E QUANTITATIVOS POR</t>
  </si>
  <si>
    <t>PREÇOS POR (CARIMBO/RUBRICA)</t>
  </si>
  <si>
    <t>SETOR RESPONSÁVEL</t>
  </si>
  <si>
    <t>OBSERVAÇÕES</t>
  </si>
  <si>
    <t xml:space="preserve">3. Aterro de valas, com controle do grau de compactação de no mínimo 95% </t>
  </si>
  <si>
    <t>do proctor normal</t>
  </si>
  <si>
    <t>3.1 - Servente</t>
  </si>
  <si>
    <t>3.2 - Ensaio Hilf</t>
  </si>
  <si>
    <t>u</t>
  </si>
  <si>
    <t>3.3 - Compactador manual de solos, motor gasolina</t>
  </si>
  <si>
    <t>3.4 - Caminhão tanque 10.000 l, motor diesel</t>
  </si>
  <si>
    <t xml:space="preserve">                                                        Área de Revitalização das Bacias Hidrográficas</t>
  </si>
  <si>
    <t>2.3.2 - Tábua em pinho de 3° - 30 x 2,5 cm</t>
  </si>
  <si>
    <t>2.3.3 - Pontalete 8 x 8 cm (em madeira de lei)</t>
  </si>
  <si>
    <t>2.3.4 - Sarrafo de pinho - 10 x 2,5 cm</t>
  </si>
  <si>
    <t>2.3.5 - Madeirit 2,20 x 1,10 m - E = 6 mm</t>
  </si>
  <si>
    <t>2.3.6 - Madeirit 2,20 x 1,10 m - E = 14 mm (resinado)</t>
  </si>
  <si>
    <t>3.1 - Aço CA-50 A ou B</t>
  </si>
  <si>
    <t>4.1.1 - Cimento Portland CP 32 II comum</t>
  </si>
  <si>
    <t>1.2 - Pranchão - 30 x 4 cm - em madeira de lei</t>
  </si>
  <si>
    <t>2.11</t>
  </si>
  <si>
    <t>2.12</t>
  </si>
  <si>
    <t>INSTALAÇÕES PRELIMINARES E CANTEIRO DE OBRAS</t>
  </si>
  <si>
    <t>4.1.4 - Vibrador de imersão, motor a gasolina 5 HP</t>
  </si>
  <si>
    <t>4.2 - Concreto estrutural (fck = 40 MPa)</t>
  </si>
  <si>
    <t>4.2.1 - Pedreiro</t>
  </si>
  <si>
    <t>4.2.2 - Servente</t>
  </si>
  <si>
    <t>4.2.3 - Betoneira capacidade 320 L, motor diesel 7 HP</t>
  </si>
  <si>
    <t>1.1.1 - Tubo de PVC, PB, JE, fabricado conforme NBR 7362 - DN 350 mm</t>
  </si>
  <si>
    <t>1.2.1 - Tubo de PVC, PB, JE, fabricado conforme NBR 7362 - DN 400 mm</t>
  </si>
  <si>
    <t>2.1.1 - Tubo de concreto armado centrifugado, JE PB EA2 (Esgoto armado)</t>
  </si>
  <si>
    <t>fabricado conforme NBR 8890, DN 500 mm</t>
  </si>
  <si>
    <t>MPi - Refere-se à coluna 56 da FGV Quimica, Materiais Plásticos, cód. A0160752, correspondente ao mês de aniversário da proposta</t>
  </si>
  <si>
    <t>MPo - Refere-se à coluna 56 da FGV Quimica, Materiais Plásticos, cód. A0160752, correspondente a data de apresentação da  proposta</t>
  </si>
  <si>
    <t>MEi - Refere-se a coluna 36 da FGV Máquinas e equipamentos industriais, cód. AO160558, correspondente ao mês de aniversário da proposta</t>
  </si>
  <si>
    <t>MEo - Refere-se a coluna 36 da FGV Máquinas e equipamentos industriais, cód. AO160558, correspondente à data de apresentação da proposta.</t>
  </si>
  <si>
    <r>
      <t>R = V.</t>
    </r>
    <r>
      <rPr>
        <b/>
        <sz val="9"/>
        <color indexed="8"/>
        <rFont val="SansSerif"/>
        <charset val="2"/>
      </rPr>
      <t>[</t>
    </r>
    <r>
      <rPr>
        <b/>
        <sz val="9"/>
        <color indexed="8"/>
        <rFont val="Arial"/>
        <family val="2"/>
      </rPr>
      <t>N1.(Ti–To)/To+N2.(Ei-Eo)/Eo+N3.(CAi-CAo)/CAo+N4.(MPi-MPo)/Mpo+N5.(Fi-Fo)/Fo+N6.(MOi-MOo)/MÔO+N7.(MEi-Meo)/MEo</t>
    </r>
    <r>
      <rPr>
        <b/>
        <sz val="9"/>
        <color indexed="8"/>
        <rFont val="SansSerif"/>
        <charset val="2"/>
      </rPr>
      <t>]</t>
    </r>
  </si>
  <si>
    <t>2.4.3 - Estruturas de concreto</t>
  </si>
  <si>
    <t>2.4.4 - Materiais e equipamentos</t>
  </si>
  <si>
    <t>2.4.5 - Serviços diversos</t>
  </si>
  <si>
    <t>Estação elevatória</t>
  </si>
  <si>
    <t>Tratamento preliminar</t>
  </si>
  <si>
    <r>
      <t>2.5 - Tratamento preliminar</t>
    </r>
    <r>
      <rPr>
        <sz val="10"/>
        <rFont val="Arial"/>
        <family val="2"/>
      </rPr>
      <t xml:space="preserve">
2.5.1 - Serviços preliminares</t>
    </r>
  </si>
  <si>
    <t>2.5.2 - Fundações profundas</t>
  </si>
  <si>
    <t>2.5.3 - Estruturas de concreto</t>
  </si>
  <si>
    <t>BDI</t>
  </si>
  <si>
    <t>01.01</t>
  </si>
  <si>
    <t>01.02</t>
  </si>
  <si>
    <t xml:space="preserve">MOVIMENTO DE TERRA </t>
  </si>
  <si>
    <t>ESCAVAÇÃO MANUAL DE VALAS (SOLO COM ÁGUA), PROFUNDIDADE ATÉ 1,50 M</t>
  </si>
  <si>
    <t>ESCAVAÇÃO MECÂNICA DE VALAS (SOLO COM ÁGUA), PROFUNDIDADE ATÉ 1,50 M</t>
  </si>
  <si>
    <t>ESGOTAMENTO</t>
  </si>
  <si>
    <t>ESGOTAMENTO DE ÁGUA COM BOMBAS, VAZÕES ATÉ 15/M3, ALTURA ATÉ 10M</t>
  </si>
  <si>
    <t>HXHP</t>
  </si>
  <si>
    <t>ASSENTAMENTO</t>
  </si>
  <si>
    <t>ASSENTAMENTO DE TUBOS E CONEXÕES PVC JS DN 32 DE 40 MM</t>
  </si>
  <si>
    <t>LIGAÇÃO PREDIAL</t>
  </si>
  <si>
    <t>PADRONIZAÇÃO DE LIGAÇÃO PREDIAL DE ÁGUA EM PADRÃO CAVALETE, P/ HIDRÔMETRO DE 1,5, 3 E 5 M3/H, INCLUINDO OS SEGUINTES SERVIÇOS: RETIRADA DO PADRÃO ANTIGO, QUANDO FOR O CASO, MONTAGEM DE TODAS AS PEÇAS DO NOVO PADRÃO; DEMOLIÇÃO DO PISO, ESCAVAÇÃO, EXECUÇÃO DO BLOCO DE ANCORAGEM EM CONCRETO TRAÇO 1:2:3 EM VOLUME (CIMENTO, AREIA E BRITA 1) , REATERRO COMPACTADO, RECOMPOSIÇÃO DO PISO, LIMPEZA E REMOÇÃO DO MATERIAL EXCEDENTE, BEM COMO INTERLIGAÇÕES COM O RAMAL E COM A INSTALAÇÃO PREDIAL EXISTENTE</t>
  </si>
  <si>
    <t>SUB-TOTAL  SERVIÇOS</t>
  </si>
  <si>
    <t>SERVIÇOS</t>
  </si>
  <si>
    <t>FORNECIMENTOS</t>
  </si>
  <si>
    <t>01.01.01</t>
  </si>
  <si>
    <t>01.01.02</t>
  </si>
  <si>
    <t>01.01.03</t>
  </si>
  <si>
    <t>01.01.04</t>
  </si>
  <si>
    <t>01.02.01</t>
  </si>
  <si>
    <t>01.02.01.01</t>
  </si>
  <si>
    <t>01.02.01.02</t>
  </si>
  <si>
    <t>01.02.02</t>
  </si>
  <si>
    <t>01.02.02.01</t>
  </si>
  <si>
    <t>01.02.02.02</t>
  </si>
  <si>
    <t>01.02.02.03</t>
  </si>
  <si>
    <t>01.02.02.04</t>
  </si>
  <si>
    <t>01.02.02.05</t>
  </si>
  <si>
    <t>01.02.02.06</t>
  </si>
  <si>
    <t>01.02.03</t>
  </si>
  <si>
    <t>01.02.03.01</t>
  </si>
  <si>
    <t>01.02.03.02</t>
  </si>
  <si>
    <t>01.02.03.03</t>
  </si>
  <si>
    <t>01.02.03.04</t>
  </si>
  <si>
    <t>01.02.03.05</t>
  </si>
  <si>
    <t>01.02.03.06</t>
  </si>
  <si>
    <t>01.02.04</t>
  </si>
  <si>
    <t>01.02.04.01</t>
  </si>
  <si>
    <t>01.02.04.02</t>
  </si>
  <si>
    <t>01.02.04.03</t>
  </si>
  <si>
    <t>01.02.04.04</t>
  </si>
  <si>
    <t>01.02.04.05</t>
  </si>
  <si>
    <t>01.02.05</t>
  </si>
  <si>
    <t>01.02.05.01</t>
  </si>
  <si>
    <t>01.03.01</t>
  </si>
  <si>
    <t>01.03.01.01</t>
  </si>
  <si>
    <t>01.03.02</t>
  </si>
  <si>
    <t>01.03.02.01</t>
  </si>
  <si>
    <t>01.03.02.02</t>
  </si>
  <si>
    <t>01.03.02.03</t>
  </si>
  <si>
    <t>01.03.02.04</t>
  </si>
  <si>
    <t>01.03.02.05</t>
  </si>
  <si>
    <t>01.03.02.06</t>
  </si>
  <si>
    <t>01.03.02.07</t>
  </si>
  <si>
    <t>01.03.02.08</t>
  </si>
  <si>
    <t>01.03.03</t>
  </si>
  <si>
    <t>01.03.03.01</t>
  </si>
  <si>
    <t>01.03.03.02</t>
  </si>
  <si>
    <t>01.03.03.03</t>
  </si>
  <si>
    <t>01.03.03.04</t>
  </si>
  <si>
    <t>01.03.03.05</t>
  </si>
  <si>
    <t>01.03.03.06</t>
  </si>
  <si>
    <t>01.03.03.07</t>
  </si>
  <si>
    <t>01.03.03.08</t>
  </si>
  <si>
    <t>01.03.03.09</t>
  </si>
  <si>
    <t>01.03.03.10</t>
  </si>
  <si>
    <t>01.03.03.11</t>
  </si>
  <si>
    <t>01.03.03.12</t>
  </si>
  <si>
    <t>01.03.04</t>
  </si>
  <si>
    <t>01.03.04.01</t>
  </si>
  <si>
    <t>01.03.04.02</t>
  </si>
  <si>
    <t>01.03.04.03</t>
  </si>
  <si>
    <t>01.03.04.04</t>
  </si>
  <si>
    <t>01.03.04.05</t>
  </si>
  <si>
    <t>01.03.04.06</t>
  </si>
  <si>
    <t>01.03.05</t>
  </si>
  <si>
    <t>01.03.05.01</t>
  </si>
  <si>
    <t>01.03.05.02</t>
  </si>
  <si>
    <t>01.03.05.03</t>
  </si>
  <si>
    <t>01.03.05.04</t>
  </si>
  <si>
    <t>01.03.05.05</t>
  </si>
  <si>
    <t>01.03.05.06</t>
  </si>
  <si>
    <t>01.03.06</t>
  </si>
  <si>
    <t>01.03.06.01</t>
  </si>
  <si>
    <t>01.03.07</t>
  </si>
  <si>
    <t>01.03.07.01</t>
  </si>
  <si>
    <t>01.03.07.02</t>
  </si>
  <si>
    <t>01.03.07.03</t>
  </si>
  <si>
    <t>01.03.07.04</t>
  </si>
  <si>
    <t>01.03.07.05</t>
  </si>
  <si>
    <t>01.04.01</t>
  </si>
  <si>
    <t>01.04.01.01</t>
  </si>
  <si>
    <t>01.04.01.02</t>
  </si>
  <si>
    <t>01.04.02</t>
  </si>
  <si>
    <t>01.04.02.01</t>
  </si>
  <si>
    <t>01.04.03</t>
  </si>
  <si>
    <t>01.04.03.01</t>
  </si>
  <si>
    <t>01.04.03.02</t>
  </si>
  <si>
    <t>01.04.03.03</t>
  </si>
  <si>
    <t>01.04.04</t>
  </si>
  <si>
    <t>01.04.04.01</t>
  </si>
  <si>
    <t>01.04.04.02</t>
  </si>
  <si>
    <t>01.04.04.03</t>
  </si>
  <si>
    <t>01.04.05</t>
  </si>
  <si>
    <t>01.04.05.01</t>
  </si>
  <si>
    <t>01.04.05.02</t>
  </si>
  <si>
    <t>01.05</t>
  </si>
  <si>
    <t>01.05.01</t>
  </si>
  <si>
    <t>01.05.01.01</t>
  </si>
  <si>
    <t>01.05.02</t>
  </si>
  <si>
    <t>01.05.02.01</t>
  </si>
  <si>
    <t>01.05.03</t>
  </si>
  <si>
    <t>01.05.03.01</t>
  </si>
  <si>
    <t>01.05.03.02</t>
  </si>
  <si>
    <t>01.05.03.03</t>
  </si>
  <si>
    <t>01.05.03.04</t>
  </si>
  <si>
    <t>01.05.03.05</t>
  </si>
  <si>
    <t>01.05.03.06</t>
  </si>
  <si>
    <t>01.05.03.07</t>
  </si>
  <si>
    <t>01.05.03.08</t>
  </si>
  <si>
    <t>01.05.03.09</t>
  </si>
  <si>
    <t>01.05.03.10</t>
  </si>
  <si>
    <t>01.05.04</t>
  </si>
  <si>
    <t>01.05.04.01</t>
  </si>
  <si>
    <t>01.05.05</t>
  </si>
  <si>
    <t>01.05.05.01</t>
  </si>
  <si>
    <t>01.06</t>
  </si>
  <si>
    <t>01.06.01</t>
  </si>
  <si>
    <t>TOTAL DESTE ORÇAMENTO(COMUNIDADE BOA VISTA)</t>
  </si>
  <si>
    <t>CURVA DE PVC RÍGIDO, TIPO ROSQUEÁVEL - ROSCA CONFORME NBR 6414, PARA ELETRODUTO, DIÂMETRO 2".</t>
  </si>
  <si>
    <t>LUVA DE AÇO CARBONO GALVANIZADO, PESADO, PARA ELETRODUTO, ROSCA CONFORME NBR 6414,  DIÂMETRO  2".</t>
  </si>
  <si>
    <t>CAIXA DE DERIVAÇÃO TIPO CONDULETE COM ROSCA PADRÃO “BSP”, EM LIGA DE ALUMÍNIO SILÍCIO INJETADO DE ALTA RESISTÊNCIA MECÂNICA E À CORROSÃO, PARAFUSO EM AÇO ZINCADO, JUNTA DE VEDAÇÃO FLEXÍVEL, ACABAMENTO EM EPOXI NA COR CINZA NOS SEGUINTES TIPOS E DIÂMETROS:</t>
  </si>
  <si>
    <t>Tipo “LR” Ø2”</t>
  </si>
  <si>
    <t>02.05.06</t>
  </si>
  <si>
    <t>TUBO COM ROSCA, FABRICADO EM AÇO CARBONO GALVANIZADO, CLASSE MÉDIA, ROSCA CONFORME NBR 6414, FABRICADO CONFORME NBR 5580 DA ABNT, DIÂMETRO 1/2"</t>
  </si>
  <si>
    <t>02.05.07</t>
  </si>
  <si>
    <t>LUVA - F.G. CLASSE 10 - DIÂMETRO 1/2", FABRICADO CONFORME NBR 6943 DA ABNT</t>
  </si>
  <si>
    <t>SUB-TOTAL FORNECIMENTOS</t>
  </si>
  <si>
    <t xml:space="preserve">MANUTENÇÃO DE CANTEIRO E ADMINISTRAÇÃO LOCAL </t>
  </si>
  <si>
    <t>MÊS</t>
  </si>
  <si>
    <t>PRELIMINARES</t>
  </si>
  <si>
    <t>00.</t>
  </si>
  <si>
    <t>00.01</t>
  </si>
  <si>
    <t>00.02</t>
  </si>
  <si>
    <t>SUB-TOTAL PRELIMINARES</t>
  </si>
  <si>
    <t>COMUNIDADE: BOA VISTA</t>
  </si>
  <si>
    <t xml:space="preserve">CARRO DE PASSEIO 1.3 OU SUPERIOR COM AR CONDICIONADO, SEGURO, MANUTENÇÃO E COMBUSTÍVEL </t>
  </si>
  <si>
    <t>PLANILHA ORÇAMENTÁRIA - SERVIÇOS PRELIMINARES ENGLOBANDO TODAS COMUNIDADES</t>
  </si>
  <si>
    <t>OBRA: SISTEMA DE ABASTECIMENTO DE ÁGUA</t>
  </si>
  <si>
    <t>SERVIÇO: CAPTAÇÃO, TRATAMENTO, RESERVAÇÃO E DISTRIBUIÇÃO</t>
  </si>
  <si>
    <t>MUNICÍPIO - IGUATAMA - MG    LOCALIDADE: BOA VISTA</t>
  </si>
  <si>
    <t>LUMINÁRIA 45° C/ CORPO DE ALUMÍNIO FUNDIDO PINTURA ELETROSTÁTICA POLIÉSTER, COM GRADE, GLOBO ALCALINO DE PROTEÇÃO COM JUNTA VEDADORA DE MATERIAL RESISTENTE A CALOR, À PROVA DE GASES, VAPORES E PÓS, PARA 1 LÂMPADA FLUORESCENTE COMPACTA ELETRÔNICA 23W, 127V</t>
  </si>
  <si>
    <t>LÂMPADA FLUORESCENTE COMPACTA ELETRÔNICA 23W 127V, BASE E-27</t>
  </si>
  <si>
    <t>HASTE DE ATERRAMENTO TIPO COOPERWELD (5/8"X2,4M) DE AÇO ZINCADO COMPRIMENTO COM PRESILHAS</t>
  </si>
  <si>
    <t>CAIXA DE INSPEÇÃO DO ATERRAMENTO, TIPO SOLO EM PVC COM TAMPA DE FERRO FUNDIDO DIÂMETRO 300MM</t>
  </si>
  <si>
    <t>TERMINAL AÉREO PARA SPDA EM AÇO GALVANIZADO BANDEIRA A 5CM DA BASE, H=25CM</t>
  </si>
  <si>
    <t>REFIL COM PÓ PARA REALIZAÇÃO DE UMA SOLDA EXOTÉRMICA</t>
  </si>
  <si>
    <t>CAIXA DE INSPEÇÃO SUSPENSA EM PVC COM BOCAL, DIÂMETRO 1 1/4"</t>
  </si>
  <si>
    <t>GRAMPO TIPO UNHA EM COBRE</t>
  </si>
  <si>
    <t>CONECTOR MINI-GAR</t>
  </si>
  <si>
    <t>TERMINAL DE PRESSÃO EM LATÃO TIPO PRENSA COM 4 PARAFUSOS</t>
  </si>
  <si>
    <t>CABO NU DE COBRE, PARA ATERRAMENTO, FORMAÇÃO FIOS DE COBRE TÊMPERA MOLE, ENCORDOAMENTO CLASSE 2, BITOLA 16MM2</t>
  </si>
  <si>
    <t>CABO NU DE COBRE, PARA ATERRAMENTO, FORMAÇÃO FIOS DE COBRE TÊMPERA MOLE, ENCORDOAMENTO CLASSE 2, BITOLA 35MM2</t>
  </si>
  <si>
    <t>CABO NU DE COBRE, PARA ATERRAMENTO, FORMAÇÃO FIOS DE COBRE TÊMPERA MOLE, ENCORDOAMENTO CLASSE 2, BITOLA 50MM2</t>
  </si>
  <si>
    <t>CABO DE COBRE UNIPOLAR, FIO DE COBRE TÊMPERA MOLE, ENCORDOAMENTO CLASSE  2" ISOLADO EM TERMOPLASTICO DE PVC SEM CHUMBO ANTICHAMA, 450/750V,  BITOLA 2,5MM2</t>
  </si>
  <si>
    <t>02.02.04</t>
  </si>
  <si>
    <t>02.02.04.01</t>
  </si>
  <si>
    <t>02.02.04.02</t>
  </si>
  <si>
    <t>02.02.04.03</t>
  </si>
  <si>
    <t>02.02.04.04</t>
  </si>
  <si>
    <t>02.02.04.05</t>
  </si>
  <si>
    <t>02.02.04.06</t>
  </si>
  <si>
    <t>02.02.04.07</t>
  </si>
  <si>
    <t>02.02.04.08</t>
  </si>
  <si>
    <t>02.02.04.09</t>
  </si>
  <si>
    <t>02.02.04.10</t>
  </si>
  <si>
    <t>02.02.04.11</t>
  </si>
  <si>
    <t>02.02.04.12</t>
  </si>
  <si>
    <t>02.02.04.13</t>
  </si>
  <si>
    <t>02.02.04.14</t>
  </si>
  <si>
    <t>CABO DE COBRE UNIPOLAR, FIO DE COBRE TÊMPERA MOLE, ENCORDOAMENTO CLASSE  2" ISOLADO EM TERMOPLASTICO DE PVC SEM CHUMBO ANTICHAMA, 1000V 70°C,  BITOLA 16MM2</t>
  </si>
  <si>
    <t>CABO DE COBRE UNIPOLAR, FIO DE COBRE TÊMPERA MOLE, ENCORDOAMENTO CLASSE  2" ISOLADO EM TERMOPLASTICO DE PVC SEM CHUMBO ANTICHAMA, 450/750V,  BITOLA 2X1.5MM2  .</t>
  </si>
  <si>
    <t>QUADRO DE DISTRIBUIÇÃO DE CIRCUITOS, TIPO SOBREPOR, FAB. EM CHAPA DE AÇO 1,5MM, C/ ACABAMENTO INTERNO E EXTERNO EM TINTA CINZA CLARO, PROVIDO C/ FECHADURA E DISPOSITIVO P/ COLOCAÇÃO DE CADEADOS, GRAU DE PROTEÇÃO IP 55, ISOLAÇÃO CLASSE II, CONF. NBR IEC 60439-1, NBR 54 10 e NR - 10, 440V, CONTENDO OS SEGUINTES EQUIPAMENTOS; DISJUNTORES TERMOMAGNÉTICOS EM CAIXAS MOLDADAS CLASSE C, INTERRUPTORES DIFERENCIAIS, DPS E BARRAMENTO DE COBRE ELETROLÍTICO, CONF. DIAGRAMA UNIFILAR</t>
  </si>
  <si>
    <t>CAIXA METÁLICA TIPO CM2 MAIS DISJUNTOR TERMOMAGNÉTICO 100A, PADRÃO CEMIG</t>
  </si>
  <si>
    <t>ELETRODUTO DE FERRO GALVANIZADO PESADO, DIÂMETRO 1 1/2", TAMANHO DE 3 METROS</t>
  </si>
  <si>
    <t>ELETRODUTO DE FERRO GALVANIZADO PESADO, DIÂMETRO 3/4", TAMANHO DE 3 METROS</t>
  </si>
  <si>
    <t>ELETRODUTO DE PVC RÍGIDO ROSQUEÁVEL ANTICHAMA, COR PRETA CLASSE B, FABRICADO CONFORME NBR 6150, TAMANHO DE 3 METROS, DIÂMETRO 1"</t>
  </si>
  <si>
    <t>ELETRODUTO DE PVC RÍGIDO ROSQUEÁVEL ANTICHAMA, COR PRETA CLASSE B, FABRICADO CONFORME NBR 6150, TAMANHO DE 3 METROS, DIÂMETRO 3/4"</t>
  </si>
  <si>
    <t>CURVA DE AÇO CARBONO GALVANIZADO PESADO, ROSQUEÁVEL - ROSCA CONFORME NBR 6414, PARA ELETRODUTO, DIÂMETRO 3/4".</t>
  </si>
  <si>
    <t>LUVA DE AÇO CARBONO GALVANIZADO, PESADO, PARA ELETRODUTO, ROSCA CONFORME NBR 6414,  DIÂMETRO  3/4".</t>
  </si>
  <si>
    <t>CURVA DE PVC RÍGIDO, TIPO ROSQUEÁVEL - ROSCA CONFORME NBR 6414, PARA ELETRODUTO, DIÂMETRO 3/4".</t>
  </si>
  <si>
    <t>LUVA DE PVC RÍGIDO ROSCAVEL ANTICHAMA. COR PRETA CLASSE B, FABRICADO CONFORME NBR 6150, DIÂMETRO 3/4"</t>
  </si>
  <si>
    <t>Tipo “LR” Ø3/4”</t>
  </si>
  <si>
    <t>Tipo “T” Ø3/4”</t>
  </si>
  <si>
    <t>Tipo “E" Ø3/4”</t>
  </si>
  <si>
    <t>ABRAÇADEIRA METÁLICA TIPO "D" COM CUNHA CÔNICA PARA ELETRODUTO DIÂMETRO 3/4"</t>
  </si>
  <si>
    <t>ABRAÇADEIRA METÁLICA TIPO "D" COM CUNHA CÔNICA PARA ELETRODUTO DIÂMETRO 1"</t>
  </si>
  <si>
    <t>ABRAÇADEIRA METÁLICA TIPO "D" COM CUNHA CÔNICA PARA ELETRODUTO DIÂMETRO 1 1/2"</t>
  </si>
  <si>
    <t>BUCHA DE NYLON TIPO S-8</t>
  </si>
  <si>
    <t>POSTE METÁLICO, COM UMA LUMINÁRIA TIPO PÉTALA, RELÉ FOTOELÉTRICO, UMA LÂMPADA VAPOR DE MERCÚRIO E ACESSÓRIOS DE FIXAÇÃO, CONFORME DETALHE EM PROJETO</t>
  </si>
  <si>
    <t>BOTOEIRA PARA COMANDO DOS MOTORES EM CAIXA DE SOBREPOR</t>
  </si>
  <si>
    <t>ANTENA PARA RÁDIO DE TELECOMANDO</t>
  </si>
  <si>
    <t>02.02.04.15</t>
  </si>
  <si>
    <t>02.02.04.16</t>
  </si>
  <si>
    <t>02.02.04.17</t>
  </si>
  <si>
    <t>02.02.04.18</t>
  </si>
  <si>
    <t>02.02.04.19</t>
  </si>
  <si>
    <t>02.02.04.20</t>
  </si>
  <si>
    <t>02.02.04.21</t>
  </si>
  <si>
    <t>02.02.04.22</t>
  </si>
  <si>
    <t>02.02.04.23</t>
  </si>
  <si>
    <t>02.02.04.24</t>
  </si>
  <si>
    <t>02.02.04.25</t>
  </si>
  <si>
    <t>02.02.04.26</t>
  </si>
  <si>
    <t>02.02.04.27</t>
  </si>
  <si>
    <t>02.02.04.28</t>
  </si>
  <si>
    <t>02.02.04.29</t>
  </si>
  <si>
    <t>02.02.04.30</t>
  </si>
  <si>
    <t>02.02.04.31</t>
  </si>
  <si>
    <t>02.02.04.32</t>
  </si>
  <si>
    <t>02.02.04.33</t>
  </si>
  <si>
    <t>02.02.04.34</t>
  </si>
  <si>
    <t>02.02.04.35</t>
  </si>
  <si>
    <t>02.02.04.36</t>
  </si>
  <si>
    <t>02.02.04.37</t>
  </si>
  <si>
    <t>02.02.04.38</t>
  </si>
  <si>
    <t>02.02.04.28.01</t>
  </si>
  <si>
    <t>02.02.04.28.02</t>
  </si>
  <si>
    <t>02.02.04.28.03</t>
  </si>
  <si>
    <t>CONDULETE METÁLICO, TIPO "C",Ø3/4”</t>
  </si>
  <si>
    <t>CONDULETE METÁLICO, TIPO "E", Ø3/4”</t>
  </si>
  <si>
    <t>TOMADA 2P+T E UNIVERSAL, 15A, 250V, INSTALADA EM CONDULETE METÁLICO, TIPO "C",Ø3/4” INCLUSIVE TAMPA</t>
  </si>
  <si>
    <t>TOMADA 2P+T E UNIVERSAL, 15A, 250V, INSTALADA EM CONDULETE METÁLICO, TIPO "E",Ø3/4” INCLUSIVE TAMPA</t>
  </si>
  <si>
    <t>INTERRUPTOR SIMPLES, DUAS SEÇÕES, 10A, 250V, INSTALADO EM CONDULETE METÁLICO, TIPO "E", Ø3/4” INCLUSIVE TAMPA</t>
  </si>
  <si>
    <t>RESERVAÇÃO - REL 1</t>
  </si>
  <si>
    <t>02.03</t>
  </si>
  <si>
    <t>02.03.01</t>
  </si>
  <si>
    <t>TORNEIRA DE BOIA PLÁSTICA, HASTE METÁLICA, CLASSE DE PRESSÃO 125 PSI, PARA RESERVATÓRIO DE ÁGUA, DIÂMETRO = 2".</t>
  </si>
  <si>
    <t>ELETRODUTO DE FERRO GALVANIZADO PESADO, DIÂMETRO 1", TAMANHO DE 3 METROS</t>
  </si>
  <si>
    <t>CURVA DE PVC RÍGIDO, TIPO ROSQUEÁVEL - ROSCA CONFORME NBR 6414, PARA ELETRODUTO, DIÂMETRO 1".</t>
  </si>
  <si>
    <t>LUVA DE PVC RÍGIDO ROSCAVEL ANTICHAMA. COR PRETA CLASSE B, FABRICADO CONFORME NBR 6150, DIÂMETRO 1"</t>
  </si>
  <si>
    <t>Tipo “LR” Ø1”</t>
  </si>
  <si>
    <t>CABO DE COBRE UNIPOLAR, FIO DE COBRE TÊMPERA MOLE, ENCORDOAMENTO CLASSE  2" ISOLADO EM TERMOPLASTICO DE PVC SEM CHUMBO ANTICHAMA, 1000V 70°C,  BITOLA 2.5MM2</t>
  </si>
  <si>
    <t>CABO DE COBRE UNIPOLAR, FIO DE COBRE TÊMPERA MOLE, ENCORDOAMENTO CLASSE  2" ISOLADO EM TERMOPLASTICO DE PVC SEM CHUMBO ANTICHAMA, 1000V 70°C,  BITOLA 2 X 1.5MM2</t>
  </si>
  <si>
    <t>CHAVE BÓIA COM CONTATO DE MERCÚRIO 20A 1NA</t>
  </si>
  <si>
    <t>QUADRO EM CHAPA DE AÇO SAE 1008 COM PINTURA ANTI-CORROSIVA PROVIDO DE PORTA E FECHO NAS DIMENSÕES 350X250X140MM</t>
  </si>
  <si>
    <t>FIO DE NYLON Nº 100</t>
  </si>
  <si>
    <t>02.03.02</t>
  </si>
  <si>
    <t>02.03.02.01</t>
  </si>
  <si>
    <t>02.03.02.02</t>
  </si>
  <si>
    <t>02.03.02.03</t>
  </si>
  <si>
    <t>02.03.02.04</t>
  </si>
  <si>
    <t>02.03.02.05</t>
  </si>
  <si>
    <t>02.03.02.06</t>
  </si>
  <si>
    <t>02.03.02.07</t>
  </si>
  <si>
    <t>02.03.02.08</t>
  </si>
  <si>
    <t>02.03.02.09</t>
  </si>
  <si>
    <t>02.03.02.10</t>
  </si>
  <si>
    <t>02.03.02.10.01</t>
  </si>
  <si>
    <t>02.03.02.11</t>
  </si>
  <si>
    <t>02.03.02.12</t>
  </si>
  <si>
    <t>02.03.02.13</t>
  </si>
  <si>
    <t>02.03.02.14</t>
  </si>
  <si>
    <t>02.03.02.15</t>
  </si>
  <si>
    <t>02.03.02.16</t>
  </si>
  <si>
    <t>02.03.02.17</t>
  </si>
  <si>
    <t>02.03.02.18</t>
  </si>
  <si>
    <t>02.03.02.19</t>
  </si>
  <si>
    <t>02.03.02.20</t>
  </si>
  <si>
    <t>02.04</t>
  </si>
  <si>
    <t>TUBO DE PVC PB CLASSE 15 JS DN 32 DE 40 MM, FABRICADO CONFORME NBR 5648 DA ABNT</t>
  </si>
  <si>
    <t>LUVA DE PVC JS DN 32 DE 40 MM, PARA ATENDER AOS TUBOS DA NBR 5648 DA ABNT</t>
  </si>
  <si>
    <t>CAP PVC JS DN 32 DE 40 MM, PARA ATENDER AOS TUBOS DA NBR 5648 DA ABNT</t>
  </si>
  <si>
    <t>02.04.01</t>
  </si>
  <si>
    <t>02.04.02</t>
  </si>
  <si>
    <t>02.04.03</t>
  </si>
  <si>
    <t>LIGAÇÕES PREDIAIS</t>
  </si>
  <si>
    <t>02.05</t>
  </si>
  <si>
    <t>02.05.01</t>
  </si>
  <si>
    <t>COTOVELO ADAPTADOR PARA PEAD, FABRICADO EM FERRO GALVANIZADO, PINTURA CATAFORÉTICA (KTL), DIÂMETRO 1/2" X 20 MM</t>
  </si>
  <si>
    <t>COTOVELO 90 GRAUS - F.G. CLASSE 10 - DIÂMETRO 1/2", FABRICADO CONFORME NBR 6943 DA ABNT</t>
  </si>
  <si>
    <t>REGISTRO DE ESFERA EM LATÃO COM BORBOLETA, DN 1/2" PN 20 - PARA ÁGUA, CONFORME NORMAS ABNT 5426, ISO 5208 E BS 6755</t>
  </si>
  <si>
    <t xml:space="preserve">TUBETE PARA VIROLA  DIÂMETRO = 1/2 ", FABRICADA EM LIGA DE COBRE </t>
  </si>
  <si>
    <t>HIDRÔMETRO - 1,5 M3/H, CONFORME NBR 8009, 8193 A 8195 DA ABNT (INCLUSO VIROLAS)</t>
  </si>
  <si>
    <t>02.05.02</t>
  </si>
  <si>
    <t>02.05.03</t>
  </si>
  <si>
    <t>02.05.04</t>
  </si>
  <si>
    <t>02.05.05</t>
  </si>
  <si>
    <t>SERVIÇOS TÉCNICOS</t>
  </si>
  <si>
    <t xml:space="preserve">FORNECIMENTO E ASSENTAMENTO DE PLACA DE IDENTIFICAÇÃO DE OBRA </t>
  </si>
  <si>
    <t>Leitos de secagem</t>
  </si>
  <si>
    <t>1.1 - Cimento Portland CP 32 II comum</t>
  </si>
  <si>
    <t>1.2 - Areia</t>
  </si>
  <si>
    <t>2.1.5 - Desmoldante para formas</t>
  </si>
  <si>
    <t>l</t>
  </si>
  <si>
    <t>2.2.1 - Prego (18 x 30)</t>
  </si>
  <si>
    <t>2.2.2 - Madeirit 2,20 x 1,10 m - E = 14 mm (resinado)</t>
  </si>
  <si>
    <t>2.2.3 - Pontalete 8 x 8 cm (em madeira de lei)</t>
  </si>
  <si>
    <t>2.2.4 - Sarrafo de pinho - 10 x 2,5 cm</t>
  </si>
  <si>
    <t>2.2.5 - Desmoldante para formas</t>
  </si>
  <si>
    <t>2.3.1 - Prego (18 x 30)</t>
  </si>
  <si>
    <t>1.3 - Tampão de ferro fundido DN 600</t>
  </si>
  <si>
    <t>TOTAL DO ÍTEM 1.2</t>
  </si>
  <si>
    <t>01.</t>
  </si>
  <si>
    <t>02.</t>
  </si>
  <si>
    <r>
      <t xml:space="preserve"> </t>
    </r>
    <r>
      <rPr>
        <vertAlign val="superscript"/>
        <sz val="10"/>
        <rFont val="Arial"/>
        <family val="2"/>
      </rPr>
      <t xml:space="preserve"> DATA BASE:</t>
    </r>
  </si>
  <si>
    <r>
      <t xml:space="preserve"> </t>
    </r>
    <r>
      <rPr>
        <vertAlign val="superscript"/>
        <sz val="10"/>
        <rFont val="Arial"/>
        <family val="2"/>
      </rPr>
      <t>OBRA / SERVIÇO - UNIDADE DO SISTEMA:</t>
    </r>
  </si>
  <si>
    <r>
      <t xml:space="preserve"> </t>
    </r>
    <r>
      <rPr>
        <vertAlign val="superscript"/>
        <sz val="10"/>
        <rFont val="Arial"/>
        <family val="2"/>
      </rPr>
      <t>DATA:</t>
    </r>
  </si>
  <si>
    <r>
      <t xml:space="preserve">1 - </t>
    </r>
    <r>
      <rPr>
        <sz val="10"/>
        <rFont val="Arial"/>
        <family val="2"/>
      </rPr>
      <t>Estrutura de escoramento contínua</t>
    </r>
  </si>
  <si>
    <t>CRONOGRAMA FÍSICO-FINANCEIRO</t>
  </si>
  <si>
    <t>1.2 - Movimento de terra</t>
  </si>
  <si>
    <t>1.3 - Estrutura de concreto e escoramento</t>
  </si>
  <si>
    <t>1.4 - Materiais e equipamentos hidráulicos e Serviços diversos</t>
  </si>
  <si>
    <t>Drenagem</t>
  </si>
  <si>
    <t>2.2.3 - Tubulação e caixas</t>
  </si>
  <si>
    <t>2.2.2 - Movimento de terra</t>
  </si>
  <si>
    <t>2.3.2 - Aterros e cortes</t>
  </si>
  <si>
    <t>V - Valor a reajustar</t>
  </si>
  <si>
    <t>Ti - Refere-se à coluna 38 da FGV - Terraplanagem, cód. A0157956, correspondente ao mês de aniversário da proposta</t>
  </si>
  <si>
    <t>To - Refere-se à coluna 38 da FGV - Terraplanagem, cód. A0157956, correspondente a data da apresentação da proposta</t>
  </si>
  <si>
    <t>DESPESAS FINANCEIRAS</t>
  </si>
  <si>
    <t>f  =</t>
  </si>
  <si>
    <t>Despesas Financeiras</t>
  </si>
  <si>
    <t>LUCRO</t>
  </si>
  <si>
    <t>l =</t>
  </si>
  <si>
    <t>Lucro</t>
  </si>
  <si>
    <t xml:space="preserve">PV = </t>
  </si>
  <si>
    <t>calculado</t>
  </si>
  <si>
    <t>BDI = ((1+a+r+f)/(1-(i+l))-1)*100</t>
  </si>
  <si>
    <t>adotado</t>
  </si>
  <si>
    <t xml:space="preserve">DETALHAMENTO DO BDI </t>
  </si>
  <si>
    <t>SISTEMA DE ESGOTAMENTO SANITÁRIO - SERVIÇOS</t>
  </si>
  <si>
    <t>Despesas financeiras</t>
  </si>
  <si>
    <t xml:space="preserve">   </t>
  </si>
  <si>
    <t>terr</t>
  </si>
  <si>
    <t>edif</t>
  </si>
  <si>
    <t>ca</t>
  </si>
  <si>
    <t>mp</t>
  </si>
  <si>
    <t>ferro</t>
  </si>
  <si>
    <t>m ob esp</t>
  </si>
  <si>
    <t>equip</t>
  </si>
  <si>
    <t>CONCRETO CICLÓPICO C/ 30 % DE PEDRA DE MÃO - CONSUMO MÍNIMO DE CIMENTO 150 KG/M3 - PREPARO E LANÇAMENTO</t>
  </si>
  <si>
    <t>LANÇAMENTO OU BOMBEAMENTO E ADENSAMENTO DE CONCRETO-ALTURA OU PROFUNDIDADE SUPERIOR A 1,50 M ATÉ 10,00 M</t>
  </si>
  <si>
    <t>FORMA PLANA EM TÁBUA DE PINHO PARA FUNDAÇÕES</t>
  </si>
  <si>
    <t>DESFORMA DE ESTRUTURAS, ALTURA OU PROFUNDIDADE MAIOR QUE 1,50M</t>
  </si>
  <si>
    <t>FECHAMENTO</t>
  </si>
  <si>
    <t>VIDRO CRISTAL INCOLOR, E = 3 MM</t>
  </si>
  <si>
    <t>PORTA EM MADEIRA DE LEI, TIPO PRANCHETA, 0.70 X 2.10 M</t>
  </si>
  <si>
    <t>TABLADO DE MADEIRA PARA SALA DE PRODUTOS QUÍMICOS</t>
  </si>
  <si>
    <t>REVESTIMENTOS / TRATAMENTO DE SUPERFÍCIES</t>
  </si>
  <si>
    <t>CHAPISCADO COMUM COM ARGAMASSA DE CIMENTO E AREIA</t>
  </si>
  <si>
    <t>PINTURA EM ALVENARIA LÁTEX SEM MASSA CORRIDA</t>
  </si>
  <si>
    <t>PINTURA EM ESQUADRIAS DE FERRO</t>
  </si>
  <si>
    <t>PINTURA EM ESQUADRIAS DE MADEIRA</t>
  </si>
  <si>
    <t>PISO CIMENTADO LISO, RECOBERTO COM NATA DE CIMENTO</t>
  </si>
  <si>
    <t>02.01.01.06</t>
  </si>
  <si>
    <t>02.01.01.07</t>
  </si>
  <si>
    <t>02.02.01</t>
  </si>
  <si>
    <t>TUBO - PVC JR - DIÂMETRO 3/4", EXTREMIDADE COM ROSCA DA NBR 6414, FABRICADO CONFORME NBR 5648 DA ABNT.</t>
  </si>
  <si>
    <t>TANQUE CILÍNDRICO COM ALÇA CAPACIDADE 60 LITROS, EM POLIETILENO, COM GRADUAÇÃO APARENTE</t>
  </si>
  <si>
    <t>BOMBA DOSADORA ELETROMAGNÉTICA DE DIAFRAGMA, 220V, MONOFÁSICA</t>
  </si>
  <si>
    <t>MANGUEIRA FLEXÍVEL DIÂMETRO 1/2"</t>
  </si>
  <si>
    <t>ADAPTADOR PVC PARA MANGUEIRA DIÂMETRO 1/2"</t>
  </si>
  <si>
    <t>NIPLE DUPLO PVC JR DIÂMETRO 1/2", ROSCA CONFORME NBR 6414 PARA ATENDER AOS TUBOS DA NBR 5648 DA ABNT</t>
  </si>
  <si>
    <t>BUCHA DE REDUÇÃO PVC JR DIÂMETRO 3/4" X 1/2", ROSCA CONFORME NBR 6414 PARA ATENDER AOS TUBOS DA NBR 5648 DA ABNT</t>
  </si>
  <si>
    <t>VÁLVULA DE RETENÇÃO EM BRONZE, PORTINHOLA HORIZONTAL, CLASSE DE PRESSÃO 150 PSI, EXTREMIDADES COM ROSCA (BSP), CONFORME NBR 6414 DA ABNT, DIAM. 3/4"</t>
  </si>
  <si>
    <t>JOELHO 90 GRAUS PVC JR DIÂMETRO 3/4", ROSCA CONFORME NBR 6414 PARA ATENDER AOS TUBOS DA NBR 5648 DA ABNT</t>
  </si>
  <si>
    <t>COLAR DE TOMADA DE PVC RÍGIDO, COM TRAVAS, COM DERIVAÇÃO ROSCÁVEL - DN 50  X 3/4", CONFORME NBR 6414</t>
  </si>
  <si>
    <t>02.02.01.01</t>
  </si>
  <si>
    <t>02.02.01.02</t>
  </si>
  <si>
    <t>02.02.01.03</t>
  </si>
  <si>
    <t>02.02.01.04</t>
  </si>
  <si>
    <t>02.02.01.05</t>
  </si>
  <si>
    <t>02.02.01.06</t>
  </si>
  <si>
    <t>02.02.01.07</t>
  </si>
  <si>
    <t>02.02.01.08</t>
  </si>
  <si>
    <t>02.02.01.09</t>
  </si>
  <si>
    <t>02.02.01.10</t>
  </si>
  <si>
    <t>INSTALAÇÕES SANITÁRIAS</t>
  </si>
  <si>
    <t>02.02.02</t>
  </si>
  <si>
    <t>02.02.02.01</t>
  </si>
  <si>
    <t>TUBO DE PVC, PONTA E BOLSA, JE PARA COLETORES DE ESGOTO COM ANEL DE BORRACHA, DIÂMETRO = 100 MM, FABRICADO CONFORME NBR 7362 DA ABNT</t>
  </si>
  <si>
    <t>INSTALAÇÕES HIDRÁULICAS</t>
  </si>
  <si>
    <t>TORNEIRA CROMADA PADRÃO POPULAR, DIÂMETRO = 3/4".</t>
  </si>
  <si>
    <t>GRADE FERRO CHATO 1/4" X 5/8" L=25CM</t>
  </si>
  <si>
    <t>02.02.03</t>
  </si>
  <si>
    <t>02.02.03.01</t>
  </si>
  <si>
    <t>02.02.03.02</t>
  </si>
  <si>
    <t>02.02.03.03</t>
  </si>
  <si>
    <t>02.02.03.04</t>
  </si>
  <si>
    <t>02.02.03.05</t>
  </si>
  <si>
    <t>02.02.03.06</t>
  </si>
  <si>
    <t>02.02.03.07</t>
  </si>
  <si>
    <t>CANTONEIRA ABAS IGUAIS 1" E= 3/16" CONFORME PROJETO</t>
  </si>
  <si>
    <t>REGISTRO DE PRESSÃO DE PVC ROSCÁVEL,  DIÂMETRO = 3/4".</t>
  </si>
  <si>
    <t>LANÇAMENTO OU BOMBEAMENTO E ADENSAMENTO DE CONCRETO-ALTURA OU PROFUNDIDADE ATÉ 1,50 M</t>
  </si>
  <si>
    <t>02.01</t>
  </si>
  <si>
    <t>M</t>
  </si>
  <si>
    <t>Quant</t>
  </si>
  <si>
    <t>Total</t>
  </si>
  <si>
    <t>DISCRIMINAÇÃO</t>
  </si>
  <si>
    <t>MINAS GERAIS - CEP: 34.800-000</t>
  </si>
  <si>
    <r>
      <t>2.2 - Drenagem</t>
    </r>
    <r>
      <rPr>
        <sz val="10"/>
        <rFont val="Arial"/>
        <family val="2"/>
      </rPr>
      <t xml:space="preserve">
2.2.1 - Serviços preliminares</t>
    </r>
  </si>
  <si>
    <r>
      <t>2.0 - Construção da ETE</t>
    </r>
    <r>
      <rPr>
        <sz val="10"/>
        <rFont val="Arial"/>
        <family val="2"/>
      </rPr>
      <t xml:space="preserve">
</t>
    </r>
    <r>
      <rPr>
        <u/>
        <sz val="10"/>
        <rFont val="Arial"/>
        <family val="2"/>
      </rPr>
      <t>2.1 - Instalações preliminares</t>
    </r>
  </si>
  <si>
    <r>
      <t>2.3 - Terraplenagem</t>
    </r>
    <r>
      <rPr>
        <sz val="10"/>
        <rFont val="Arial"/>
        <family val="2"/>
      </rPr>
      <t xml:space="preserve">
2.3.1 - Serviços preliminares</t>
    </r>
  </si>
  <si>
    <t>Terraplenagem</t>
  </si>
  <si>
    <r>
      <t>2.4 - Estação elevatória</t>
    </r>
    <r>
      <rPr>
        <sz val="10"/>
        <rFont val="Arial"/>
        <family val="2"/>
      </rPr>
      <t xml:space="preserve">
2.4.1 - Serviços preliminares</t>
    </r>
  </si>
  <si>
    <t>2.4.2 - Movimento de terra</t>
  </si>
  <si>
    <t>FÓRMULA DE REAJUSTAMENTO</t>
  </si>
  <si>
    <t>COMPOSIÇÃO DOS ÍNDICES</t>
  </si>
  <si>
    <t>PARÂMETRO (%)</t>
  </si>
  <si>
    <t>N1 - Terraplanagem</t>
  </si>
  <si>
    <t>N2 - Edificações</t>
  </si>
  <si>
    <t>N3 - Concreto armado</t>
  </si>
  <si>
    <t>N4 - Materiais plásticos</t>
  </si>
  <si>
    <t>N5 - Ferro, aço e derivados</t>
  </si>
  <si>
    <t>N6 - Mão-de-obra especializada</t>
  </si>
  <si>
    <t>N7 - Maquinas e Equipamentos</t>
  </si>
  <si>
    <t>R - Valor de reajuste</t>
  </si>
  <si>
    <t>CAi - Refere-se à coluna 5 da FGV - Obras Hidrelétricas - Concreto Armado, cód. A0160116, correspondente ao mês de aniversário da proposta</t>
  </si>
  <si>
    <t>Casa de operação</t>
  </si>
  <si>
    <t>Fundações</t>
  </si>
  <si>
    <t>Estruturas e alvenaria</t>
  </si>
  <si>
    <t>Instalações e acabamentos</t>
  </si>
  <si>
    <t>Lançamentos</t>
  </si>
  <si>
    <t>Tudo</t>
  </si>
  <si>
    <t>17º mês</t>
  </si>
  <si>
    <t>18º mês</t>
  </si>
  <si>
    <t>19º mês</t>
  </si>
  <si>
    <t>20º mês</t>
  </si>
  <si>
    <t>21º mês</t>
  </si>
  <si>
    <t>22º mês</t>
  </si>
  <si>
    <r>
      <t>2.6 - UASB</t>
    </r>
    <r>
      <rPr>
        <sz val="10"/>
        <rFont val="Arial"/>
        <family val="2"/>
      </rPr>
      <t xml:space="preserve">
2.6.1 - Serviços preliminares</t>
    </r>
  </si>
  <si>
    <t>2.6.2 - Fundações profundas</t>
  </si>
  <si>
    <t>2.6.3 - Estruturas de concreto</t>
  </si>
  <si>
    <t>2.6.4 - Materiais e equipamentos</t>
  </si>
  <si>
    <t>2.6.5 - Serviços diversos</t>
  </si>
  <si>
    <r>
      <t>2.7 - Leitos de secagem</t>
    </r>
    <r>
      <rPr>
        <sz val="10"/>
        <rFont val="Arial"/>
        <family val="2"/>
      </rPr>
      <t xml:space="preserve">
2.7.1 - Serviços preliminares</t>
    </r>
  </si>
  <si>
    <t>2.7.2 - Estruturas de concreto</t>
  </si>
  <si>
    <t>2.7.3 - Leito filtrante</t>
  </si>
  <si>
    <r>
      <t>2.8 - Interligação geral</t>
    </r>
    <r>
      <rPr>
        <sz val="10"/>
        <rFont val="Arial"/>
        <family val="2"/>
      </rPr>
      <t xml:space="preserve">
2.8.1 - Movimento de terra</t>
    </r>
  </si>
  <si>
    <t>2.8.2 - Materiais e equipamentos</t>
  </si>
  <si>
    <r>
      <t>2.11 - Lançamentos de esgotos</t>
    </r>
    <r>
      <rPr>
        <sz val="10"/>
        <rFont val="Arial"/>
        <family val="2"/>
      </rPr>
      <t xml:space="preserve">
2.11.1 - Serviços preliminares</t>
    </r>
  </si>
  <si>
    <t>2.11.2 - Movimento de terra</t>
  </si>
  <si>
    <t>2.11.3 - Estruturas de concreto</t>
  </si>
  <si>
    <t>2.11.4 - Materiais e equipamentos</t>
  </si>
  <si>
    <t>2.12 - Serviços diversos</t>
  </si>
  <si>
    <t>Ligação do interceptor</t>
  </si>
  <si>
    <t>2.1</t>
  </si>
  <si>
    <t>2.2</t>
  </si>
  <si>
    <t>2.3</t>
  </si>
  <si>
    <t>2.4</t>
  </si>
  <si>
    <t>Totais</t>
  </si>
  <si>
    <t>Total menos contra-partida mão de obra do interceptor</t>
  </si>
  <si>
    <t>Contrapartida 1</t>
  </si>
  <si>
    <t>Contrapartida 2</t>
  </si>
  <si>
    <t>Repasse 1 mês a mês</t>
  </si>
  <si>
    <t>Repasse 1 final</t>
  </si>
  <si>
    <t>Repasse 2</t>
  </si>
  <si>
    <t>GL</t>
  </si>
  <si>
    <t>PREFEITURA MUNICIPAL DE CAETÉ</t>
  </si>
  <si>
    <t xml:space="preserve">                                                        Ministério da Integração Nacional</t>
  </si>
  <si>
    <t xml:space="preserve">                                                        Companhia de Desenvolvimento dos Vales do São Francisco e do Parnaíba</t>
  </si>
  <si>
    <t>CÓDIGO CPU</t>
  </si>
  <si>
    <t>02.01.01</t>
  </si>
  <si>
    <t xml:space="preserve">PAVIMENTAÇÃO </t>
  </si>
  <si>
    <t>PASSEIO CIMENTADO COM REVESTIMENTO EM ARGAMASSA DE CIMENTO E AREIA, TRAÇO 1:3, E = 2 CM, INCL. BASE DE CASCALHO, E = 6 CM</t>
  </si>
  <si>
    <t>INSTALAÇÕES HIDRÁULICAS - LINHAS DE DOSAGEM</t>
  </si>
  <si>
    <t>ASSENTAMENTO DE TUBOS E CONEXÕES PVC JR DIÂMETRO = 3/4"</t>
  </si>
  <si>
    <t>ASSENTAMENTO DE TUBOS E CONEXÕES PVC JE DN 100</t>
  </si>
  <si>
    <t>CAIXA DE PASSAGEM EM ALVENARIA (0,30 X 0,30 X 0,50 M)</t>
  </si>
  <si>
    <t>INSTALAÇÕES ELÉTRICAS</t>
  </si>
  <si>
    <t>RESERVAÇÃO REL 1</t>
  </si>
  <si>
    <t xml:space="preserve">LIMPEZA DE SUPERFÍCIE COM JATO DE ALTA PRESSÃO DE AR E ÁGUA - HIDROJATEAMENTO                                                                    </t>
  </si>
  <si>
    <t xml:space="preserve">LIMPEZA DO TERRENO - RASPAGEM E LIMPEZA MANUAL                                                                                                                                      </t>
  </si>
  <si>
    <t>PAVIMENTAÇÃO</t>
  </si>
  <si>
    <t>URBANIZAÇÃO</t>
  </si>
  <si>
    <t>PORTÃO PARA PEDESTRES</t>
  </si>
  <si>
    <t>INSTALAÇÕES ELÉTRICAS - REL 1</t>
  </si>
  <si>
    <t>INSTALAÇÕES ELÉTRICAS - ETA</t>
  </si>
  <si>
    <t>INSTALAÇÕES SANITÁRIAS E HIDRAÚLICAS - ETA</t>
  </si>
  <si>
    <t>REDE DE DISTRIBUIÇÃO</t>
  </si>
  <si>
    <t>CADASTRO DE REDE DE DISTRIBUIÇÃO</t>
  </si>
  <si>
    <t>KM</t>
  </si>
  <si>
    <t>ALVENARIA DE ELEVAÇÃO COM BLOCOS DE CONCRETO (40 X 20 X 20CM) E = 20 CM</t>
  </si>
  <si>
    <t>FUNDAÇÕES E ESTRUTURAS</t>
  </si>
  <si>
    <t>M3</t>
  </si>
  <si>
    <t>M2</t>
  </si>
  <si>
    <t>Ei - Refere-se à coluna 35 da FGV - Edificações Total, cod. A0159428, correspondente ao mês de aniversário da proposta</t>
  </si>
  <si>
    <t>Eo - Refere-se à coluna35 da FGV - Edificações Total, cod. A0159428, correspondente à data de apresentação da proposta</t>
  </si>
  <si>
    <r>
      <t>2.9 - Ligação do interceptor</t>
    </r>
    <r>
      <rPr>
        <sz val="10"/>
        <rFont val="Arial"/>
        <family val="2"/>
      </rPr>
      <t xml:space="preserve">
2.9.1 - Serviços preliminares</t>
    </r>
  </si>
  <si>
    <t>2.9.2 - Movimento de terra</t>
  </si>
  <si>
    <t>2.9.3 - Estruturas de concreto</t>
  </si>
  <si>
    <t>4 - Empréstimo e bota-fora:</t>
  </si>
  <si>
    <t>4.1 - Escavação e carga de material de 1° categoria</t>
  </si>
  <si>
    <t>4.1.1 - Servente</t>
  </si>
  <si>
    <t xml:space="preserve">SERVIÇOS PRELIMINARES </t>
  </si>
  <si>
    <t>PLANILHA ORÇAMENTÁRIA</t>
  </si>
  <si>
    <t>QUANT.</t>
  </si>
  <si>
    <t>PREÇO UNIT.</t>
  </si>
  <si>
    <t>PREÇO TOTAL</t>
  </si>
  <si>
    <t>M3XKM</t>
  </si>
  <si>
    <t>CIMBRAMENTO DE MADEIRA</t>
  </si>
  <si>
    <t>REBOCO PAULISTA</t>
  </si>
  <si>
    <t>TRANSPORTE LOCAL, PERÍMETRO URBANO (MATERIAL EM GERAL), A GRANEL</t>
  </si>
  <si>
    <t>ARMADURA DE AÇO CA 50, FORNECIMENTO E COLOCAÇÃO</t>
  </si>
  <si>
    <t>CAo - Refere-se à coluna 5 da FGV - Obras Hidrelétricas - Concreto Armado, cód. A0160116, correspondente à data de apresentação da proposta</t>
  </si>
  <si>
    <t>PLANTIO DE GRAMA EM PLACAS</t>
  </si>
  <si>
    <t>COL 1</t>
  </si>
  <si>
    <t>COL2</t>
  </si>
  <si>
    <t>2.1 - Forma plana em tábua de pinho, para fundações</t>
  </si>
  <si>
    <t>m²</t>
  </si>
  <si>
    <t>2.1.1 - Carpinteiro</t>
  </si>
  <si>
    <t>2.1.2 - Servente</t>
  </si>
  <si>
    <t>4.2.4 - Vibrador de imersão, motor a gasolina 5 HP</t>
  </si>
  <si>
    <t>ESCORAMENTO</t>
  </si>
  <si>
    <t>1.1 - Carpinteiro</t>
  </si>
  <si>
    <t>1.2 - Auxiliar de oficial</t>
  </si>
  <si>
    <t>1.3 - Servente</t>
  </si>
  <si>
    <t>1.4 - Retro escavadeira, motor diesel 74 HP, capacidade da caçamba 0.3 m³</t>
  </si>
  <si>
    <t>MATERIAIS E EQUIPAMENTOS HIDRÁULICOS</t>
  </si>
  <si>
    <t>1 - Tubos de PVC, ponta e bolsa, JE para coletores de esgoto com anel de</t>
  </si>
  <si>
    <t>borracha, fabricado conforme NBR 7362 - Fornecimento e assentamento:</t>
  </si>
  <si>
    <t>1.1 - Diâmetro = 350 mm</t>
  </si>
  <si>
    <t>1.1.1 - Bombeiro</t>
  </si>
  <si>
    <t>1.1.2 - Auxiliar de oficial</t>
  </si>
  <si>
    <t>1.2 - Diâmetro = 400 mm</t>
  </si>
  <si>
    <t>1.2.1 - Bombeiro</t>
  </si>
  <si>
    <t>1.2.2 - Auxiliar de oficial</t>
  </si>
  <si>
    <t>2 - Tubo de concreto armado centrifugado, JE PB EA2 (Esgoto armado) fabri-</t>
  </si>
  <si>
    <t>cado conforme NBR 8890, DN 500 mm - Fornecimento e assentamento</t>
  </si>
  <si>
    <t>2.1 - Bombeiro</t>
  </si>
  <si>
    <t>2.2 - Auxiliar de oficial</t>
  </si>
  <si>
    <t>SERVIÇOS DIVERSOS</t>
  </si>
  <si>
    <t>1 - Tampão de ferro fundido DN 600 mm - Fornecimento e assentamento</t>
  </si>
  <si>
    <t>un</t>
  </si>
  <si>
    <t>1.1 - Pedreiro</t>
  </si>
  <si>
    <t>1.2 - Servente</t>
  </si>
  <si>
    <t>TOTAL DO ÍTEM 1.1</t>
  </si>
  <si>
    <t>1.2</t>
  </si>
  <si>
    <t>UASB</t>
  </si>
  <si>
    <t>MOBILIZAÇÃO DE EQUIPAMENTO E PESSOAS</t>
  </si>
  <si>
    <t>DESMOBILIZAÇÃO DE EQUIPAMENTOS E PESSOAS</t>
  </si>
  <si>
    <t>INSTALAÇÃO DE CANTEIRO DE OBRAS</t>
  </si>
  <si>
    <t>VB</t>
  </si>
  <si>
    <t>Fi - Refere-se à coluna 32 da FGV - Ferro, Aço e Derivados, cód. A0160515, correspondente ao mês de aniversário da proposta</t>
  </si>
  <si>
    <t>Fo - Refere-se à coluna 32 da FGV - Ferro, Aço e Derivados, cód. A0160515, correspondente à data de apresentação da proposta</t>
  </si>
  <si>
    <t>MOi - Refere-se à coluna 13 da FGV Mão-de-Obra Especializada, cód. A0159886, correspondente ao mês de aniversário da proposta</t>
  </si>
  <si>
    <t>MOo - Refere-se à coluna 13 da FGV Mão-de-Obra Especializada, cód. A0159886, correspondente a data da apresentação da proposta</t>
  </si>
  <si>
    <t xml:space="preserve">ESPALHAMENTO DE SOLO EM BOTA FORA                                                                                                                                                   </t>
  </si>
  <si>
    <t>LASTRO DE CONCRETO SIMPLES, CONSUMO MÍNIMO DE CIMENTO 150 KG/M3</t>
  </si>
  <si>
    <t>4.2 - Carga manual (material em geral) sem manuseio e arrumação do material</t>
  </si>
  <si>
    <t>4.2.1 - Servente</t>
  </si>
  <si>
    <t>4.2.2 - Caminhão basculante, capacidade 5 m³ (inclusive motorista)-H.Improd.</t>
  </si>
  <si>
    <t>4.3 - Transporte manual (terra, areia, entulho) distância até 100 m</t>
  </si>
  <si>
    <t>4.3.1 - Servente</t>
  </si>
  <si>
    <t>4.4 - Transporte local, em perímetro urbano (material em geral), a granel</t>
  </si>
  <si>
    <t>m³ x km</t>
  </si>
  <si>
    <t>4.4.1 - Caminhão basculante, capacidade 5 m³ (inclusive motorista)-H.Prod.</t>
  </si>
  <si>
    <t>4.5 - Espalhamento de solo em bota-fora</t>
  </si>
  <si>
    <t>4.5.1 - Trator de esteira, motor diesel, 140 HP, D6M</t>
  </si>
  <si>
    <t>ESTRUTURAS E CONCRETO</t>
  </si>
  <si>
    <t>1 - Broca de concreto (diâmetro = 30 cm), consumo mínimo de cimento</t>
  </si>
  <si>
    <t>150 kg/m³</t>
  </si>
  <si>
    <t>1.1 - Servente</t>
  </si>
  <si>
    <t>ARMADURA DE AÇO CA 60, FORNECIMENTO E COLOCAÇÃO</t>
  </si>
  <si>
    <t>BDI =</t>
  </si>
  <si>
    <t>MONTAGENS ELÉTRICA/MECÃNICA DO POÇO EM BOA VISTA</t>
  </si>
  <si>
    <t>ESTAÇÃO DE TRATAMENTO DE ÁGUA - CASA DE QUÍMICA</t>
  </si>
  <si>
    <t>LOCAÇÃO DE ESTRUTURAS</t>
  </si>
  <si>
    <t>ESCAVAÇÃO MANUAL DE VALAS (SOLO SECO), PROFUNDIDADE ATÉ 1,50 M</t>
  </si>
  <si>
    <t>ESCAVAÇÃO MECÂNICA DE VALAS (SOLO SECO), PROFUNDIDADE ATÉ 1,50 M</t>
  </si>
  <si>
    <t>ACERTO E VERIFICAÇÃO DO NIVELAMENTO DE FUNDO DE VALAS</t>
  </si>
  <si>
    <t>CARGA MECÂNICA (MATERIAL EM GERAL), SEM MANUSEIO E ARRUMAÇÃO DO MATERIAL</t>
  </si>
  <si>
    <t>DEMOLIÇÃO DE ALVENARIA, INCLUSIVE CARGA MANUAL</t>
  </si>
  <si>
    <t xml:space="preserve">CAPTAÇÃO - POÇO TUBULAR PROFUNDO </t>
  </si>
  <si>
    <t xml:space="preserve">LIMPEZA DO TERRENO - RASPAGEM E LIMPEZA MANUAL                                                                                             </t>
  </si>
  <si>
    <t>ESCAVAÇÃO MANUAL EM SOLO PROFUNDIDADE ATÉ 1,50M</t>
  </si>
  <si>
    <t>ATERRO DE VALAS E CAVAS DE FUNDAÇÃO COM AVALIAÇÃO VISUAL DA COMPACTAÇÃO</t>
  </si>
  <si>
    <t>ESCAVAÇÃO E CARGA EM SOLO COM PÁ MECÂNICA OU ESCAVADEIRA</t>
  </si>
  <si>
    <t>M3 X KM</t>
  </si>
  <si>
    <t>CONCRETO ESTRUTURAL (FCK=20 MPA) - PREPARO EM BETONEIRA</t>
  </si>
  <si>
    <t>FORMA PLANA EM CHAPA DE MADEIRA COMPENSADA PLASTIFICADA, E = 14 MM, P/ ESTRUTURAS</t>
  </si>
  <si>
    <t>DESFORMA DE ESTRUTURAS, ALTURA OU PROFUNDIDADE ATÉ 1,50M</t>
  </si>
  <si>
    <t>URBANIZAÇÃO DA ÁREA DE CAPTAÇÃO</t>
  </si>
  <si>
    <t>CALÇAMENTO EM BRITA, E = 5 CM</t>
  </si>
  <si>
    <t>MEIO-FIO RETO DE CONCRETO (80 X 45 X 18 X 12) CM PADRÃO SUDECAP(FORNECIMENTO E ASSENTAMENTO)</t>
  </si>
  <si>
    <t>PORTÃO PARA VEÍCULOS</t>
  </si>
  <si>
    <t>INSTALAÇÕES ELÉTRICAS - POÇO</t>
  </si>
  <si>
    <t>2.9.4 - Materiais e equipamentos</t>
  </si>
  <si>
    <r>
      <t>2.10 - Casa de operação</t>
    </r>
    <r>
      <rPr>
        <sz val="10"/>
        <rFont val="Arial"/>
        <family val="2"/>
      </rPr>
      <t xml:space="preserve">
2.10.1 - Serviços preliminares</t>
    </r>
  </si>
  <si>
    <t>2.10.2 - Fundações</t>
  </si>
  <si>
    <t>2.10.3 - Estruturas e alvenaria</t>
  </si>
  <si>
    <t>2.10.4 - Instalações e acabamentos</t>
  </si>
  <si>
    <t>2.5</t>
  </si>
  <si>
    <t>2.6</t>
  </si>
  <si>
    <t>ITEM</t>
  </si>
  <si>
    <t>1.3</t>
  </si>
  <si>
    <t>1.4</t>
  </si>
  <si>
    <t>2.7</t>
  </si>
  <si>
    <t>2.8</t>
  </si>
  <si>
    <t>2.9</t>
  </si>
  <si>
    <t>2.10</t>
  </si>
  <si>
    <t>Observações:</t>
  </si>
  <si>
    <t>1 - O custo relativo a bonificação e despesas indiretas já esta incluso nos preços.</t>
  </si>
  <si>
    <t>2- Os custos referentes a locação de eixo em áreas não planejadas e a todos os ítens</t>
  </si>
  <si>
    <t>CPU</t>
  </si>
  <si>
    <t>PREÇO UNIT. S/ BDI</t>
  </si>
  <si>
    <t>TOTAL - R$</t>
  </si>
  <si>
    <t>UNID</t>
  </si>
  <si>
    <t>H</t>
  </si>
  <si>
    <t>PREÇO TOTAL C/ BDI</t>
  </si>
  <si>
    <t>74209/001</t>
  </si>
  <si>
    <t>ATIVIDADE</t>
  </si>
  <si>
    <t>INICIO</t>
  </si>
  <si>
    <t>TÉRMINO</t>
  </si>
  <si>
    <t>DURAÇÃO</t>
  </si>
  <si>
    <t>EFETIVA</t>
  </si>
  <si>
    <t>(DIAS)</t>
  </si>
  <si>
    <t>FINANCEIRO</t>
  </si>
  <si>
    <t>FISICO/MESES</t>
  </si>
  <si>
    <t>TOTAL ITEM</t>
  </si>
  <si>
    <t>SOMA</t>
  </si>
  <si>
    <t>CRONOGRAMA FISICO - FINANCEIRO</t>
  </si>
  <si>
    <t>DETALHAMENTO DO BDI - SERVIÇOS - SEM DESONERAÇÃO</t>
  </si>
  <si>
    <t>ESCRITÓRIO CENTRAL</t>
  </si>
  <si>
    <t>VIAGENS</t>
  </si>
  <si>
    <t>OUTROS</t>
  </si>
  <si>
    <t>SEGURO</t>
  </si>
  <si>
    <t>RISCO</t>
  </si>
  <si>
    <t>GARANTIA</t>
  </si>
  <si>
    <t>BDI - CALCULADO</t>
  </si>
  <si>
    <t>BDI = ((1+((AC+S+R+G)/100))x(1+DF/100)x(1+L/100)/(1-I/100)-1)*100</t>
  </si>
  <si>
    <t>BDI (CALCULADO):</t>
  </si>
  <si>
    <t>Para o preenchimento da proposta deve-se utilizar o valor de ISS da Prefeitura Local.</t>
  </si>
  <si>
    <t xml:space="preserve">BDI CALCULADO CONFORME ACÓRDÃO Nº 2369/2011 – TCU </t>
  </si>
  <si>
    <t>BDI              24,10  %</t>
  </si>
  <si>
    <t>AJUDANTE</t>
  </si>
  <si>
    <t>JATEAMENTO E LIMPEZA DE PEÇAS</t>
  </si>
  <si>
    <t>PINTURA EPOXI</t>
  </si>
  <si>
    <t>SOLDA DE TUBULAÇÃO INCLUINDO MAQUINA E ELETRODO</t>
  </si>
  <si>
    <t>MECANICO MONTADOR</t>
  </si>
  <si>
    <t>OBRA: VEDAÇÃO DA COMPORTA PLANA</t>
  </si>
  <si>
    <t>DESMONTAGEM DE ENSECADEIRA</t>
  </si>
  <si>
    <t>CONSTRUÇÃO DE ENSECADEIRA(MATERIAIS)</t>
  </si>
  <si>
    <t>03.</t>
  </si>
  <si>
    <t>04.</t>
  </si>
  <si>
    <t>DEMOLIÇÃO E CONSTRUÇÃO DE BLOCO DE ANCORAGEM</t>
  </si>
  <si>
    <t>Und</t>
  </si>
  <si>
    <t xml:space="preserve">MONTAGEM E DESMONTAGEM DE ENSECADEIRA </t>
  </si>
  <si>
    <t>ESCAVAÇÃO DE VALA</t>
  </si>
  <si>
    <t>ANEL DE VEDAÇÃO P/FLANGE 400 mm</t>
  </si>
  <si>
    <t>M²</t>
  </si>
  <si>
    <t>M³</t>
  </si>
  <si>
    <t>CORTE/DOBRA DE CHAPA EM CALANDRA</t>
  </si>
  <si>
    <t>FORMA PLANA DE MADEIRA REAPROVEITAMENTO</t>
  </si>
  <si>
    <t>COTAÇÃO</t>
  </si>
  <si>
    <t>PEDREIRO -SINAPI</t>
  </si>
  <si>
    <t>MONTADOR MECANICO - SINAPI</t>
  </si>
  <si>
    <t>SOLDADOR - SINAPI</t>
  </si>
  <si>
    <t>AJUDANTE - SINAPI 00248</t>
  </si>
  <si>
    <t>CONCRETO USINADO CONVENCIONAL C15</t>
  </si>
  <si>
    <t>JUNTA MONTAGEM/DESMONTAGEM, FLANGEADA 400 mm</t>
  </si>
  <si>
    <t>SEINFRA TAB 024</t>
  </si>
  <si>
    <t>SEINFRA 13898</t>
  </si>
  <si>
    <t>ESCAVACAO MANUAL DE VALAS EM TERRA COMPACTA, PROF. DE 0 M &lt; H &lt;= 1 M</t>
  </si>
  <si>
    <t>ATERRO INTERNO (EDIFICACOES) COMPACTADO MANUALMENTE</t>
  </si>
  <si>
    <t>LOCAÇÃO DA OBRA, COM USO DE EQUIPAMENTOS TOPOGRÁFICOS</t>
  </si>
  <si>
    <t>Kg</t>
  </si>
  <si>
    <t>PINTURA EM PRIMER EPÓXI EM ESTRUTURA DE AÇO CARBONO APLICADO A REVÓLVER, UMA DEMÃO, ESPESSURA 25 MICRA</t>
  </si>
  <si>
    <t>TELA SOLDADA PARA GUARDA-CORPO NAS LATERAIS - FIO 3,4 MM  EM MALHA 15 X 15 CM</t>
  </si>
  <si>
    <t>CONCRETO ESTRUTURAL FCK = 25 MPA, VIRADO EM BETONEIRA, NA OBRA, SEM LANÇAMENTO</t>
  </si>
  <si>
    <t>LANCAMENTO/APLICACAO MANUAL DE CONCRETO EM FUNDACOES</t>
  </si>
  <si>
    <t>EXECUÇÃO DE LASTRO EM CONCRETO (1:2,5:6), PREPARO MANUAL</t>
  </si>
  <si>
    <t>ARMACAO ACO CA-50, DIAM. 6,3 (1/4) À 12,5MM(1/2) -FORNECIMENTO/ CORTE( PERDA DE 10%) / DOBRA / COLOCAÇÃO.</t>
  </si>
  <si>
    <t>ARMACAO DE ACO CA-60 DIAM. 3,4 A 6,0MM.- FORNECIMENTO / CORTE (C/PERDA DE 10%) / DOBRA / COLOCAÇÃO.</t>
  </si>
  <si>
    <t>PLACA IDENTIFICAÇÃO DE OBRA - FORNECIMENTO INSTALAÇÃO</t>
  </si>
  <si>
    <t>RECUPERAÇÃO DE COMPORTAS, VÁLVULAS E REGISTROS</t>
  </si>
  <si>
    <t>FORNECIMENTO DE COMPORTAS VÁVULAS, REGISTOS E ACESSÓRIOS</t>
  </si>
  <si>
    <t>SERVIÇO DE MERGULHO PROFISSIONAL</t>
  </si>
  <si>
    <t>COMPORTA PLANA EM AÇO, TIPO VAGÃO, COM PESCADOR E ACIONAMENTO</t>
  </si>
  <si>
    <t>VALVULA BORBOLETA FLANGEADA C/ VOLANTE E CAIXA REDUTORA, PN 16, 400 mm</t>
  </si>
  <si>
    <t>VALVULA BORBOLETA FLANGEADA C/ VOLANTE E CAIXA REDUTORA, PN 16, 450 mm</t>
  </si>
  <si>
    <t>REGISTRO DE GAVETA FLANGEADO C/ VOLANTE E CAIXA REDUTORA, PN 16, 400 mm</t>
  </si>
  <si>
    <t>VALVULA BORBOLETA FLANGEADA C/ VOLANTE E CAIXA REDUTORA, PN 16, 250 mm</t>
  </si>
  <si>
    <t>VALVULA BORBOLETA FLANGEADA C/ VOLANTE E CAIXA REDUTORA, PN 16, 350 mm</t>
  </si>
  <si>
    <t>CARRETEL EM AÇO,PONTA/ FLANGE, 400 mm X 1,00 m</t>
  </si>
  <si>
    <t>CARRETEL EM AÇO,FLANGE/ FLANGE, 400 mm X 1,50 m</t>
  </si>
  <si>
    <t>CARRETEL EM AÇO,FLANGE/ FLANGE, 250 mm X 0,60 m</t>
  </si>
  <si>
    <t>CARRETEL EM AÇO,FLANGE/ FLANGE, 350 mm X 0,60 m</t>
  </si>
  <si>
    <t>RECUPERAÇÃO DE VENTOSA 150 MM</t>
  </si>
  <si>
    <t>RECUPERAÇÃO DE VALVULA BORBOLETA 800 MM</t>
  </si>
  <si>
    <t>RECUPERAÇÃO DE VENTOSA 200 MM</t>
  </si>
  <si>
    <t>RECUPERAÇÃO DE VALVULA BORBOLETA 450 MM</t>
  </si>
  <si>
    <t>RECUPERAÇÃO DE COMPORTA PLANA LASTRO EM CONCRETO</t>
  </si>
  <si>
    <t>ANEL DE VEDAÇÃO P/FLANGE 250 mm</t>
  </si>
  <si>
    <t>ANEL DE VEDAÇÃO P/FLANGE 350 mm</t>
  </si>
  <si>
    <t>ANEL DE VEDAÇÃO P/FLANGE 450 mm</t>
  </si>
  <si>
    <t>ANEL DE VEDAÇÃO P/FLANGE 800 mm</t>
  </si>
  <si>
    <t>ANEL DE VEDAÇÃO P/FLANGE 150 mm</t>
  </si>
  <si>
    <t>ANEL DE VEDAÇÃO P/FLANGE 200 mm</t>
  </si>
  <si>
    <t>FLANGE CEGO 450 MM</t>
  </si>
  <si>
    <t>FLANGE CEGO 800 MM</t>
  </si>
  <si>
    <t>MOTORIZAÇÃO DE TALHA  PARA COMPORTA PLANA LASTRO DE CONCRETO</t>
  </si>
  <si>
    <t>REMOÇÃO/INSTALAÇÃO DE REGISTRO/VALVULA 150 MM</t>
  </si>
  <si>
    <t>REMOÇÃO/INSTALAÇÃO DE REGISTRO/VALVULA 200 MM</t>
  </si>
  <si>
    <t>REMOÇÃO/INSTALAÇÃO DE REGISTRO/VALVULA 350 MM</t>
  </si>
  <si>
    <t>REMOÇÃO/INSTALAÇÃO DE REGISTRO/VALVULA 400 MM</t>
  </si>
  <si>
    <t>REMOÇÃO/INSTALAÇÃO DE REGISTRO/VALVULA 450 MM</t>
  </si>
  <si>
    <t xml:space="preserve">REMOÇÃO INSTALAÇÃO DE COMPORTA PLANA DE AÇO </t>
  </si>
  <si>
    <t>REMOÇÃO/INSTALAÇÃO DE REGISTRO/VALVULA 800 MM</t>
  </si>
  <si>
    <t>SERVIÇO DE SOLDA EM TUBO 400 MM</t>
  </si>
  <si>
    <t>INSTALAÇÃO DE TUBULAÇÃO EM AÇO CARBONO 400 mm</t>
  </si>
  <si>
    <t>PROJETO EXECUTIVO DA ESTRUTURA METÁLICA DA PASSARELA</t>
  </si>
  <si>
    <t xml:space="preserve">Telefone </t>
  </si>
  <si>
    <t>min</t>
  </si>
  <si>
    <t>Água e esgoto</t>
  </si>
  <si>
    <t>m3</t>
  </si>
  <si>
    <t xml:space="preserve">Material escritório obra </t>
  </si>
  <si>
    <t>Material de limpeza</t>
  </si>
  <si>
    <t>Internet</t>
  </si>
  <si>
    <t>SERVIÇO : PROJETO EXECUTIVO DA ESTRUTURA METÁLICA DA PASSARELA</t>
  </si>
  <si>
    <t xml:space="preserve">SERVIÇO : ESTRUTURA METÁLICA EM AÇO ESTRUTURAL </t>
  </si>
  <si>
    <t>DETALHAMENTO DO BDI - FORNECIMENTOS</t>
  </si>
  <si>
    <t xml:space="preserve">PREÇO UNIT. C/ BDI </t>
  </si>
  <si>
    <t>Diária</t>
  </si>
  <si>
    <t xml:space="preserve">REMOÇÃO INSTALAÇÃO DE TRILHO GUIA PARA COMPORTA PLANA DE AÇO </t>
  </si>
  <si>
    <t>PARAFUSOS/ARRUELAS E PORCAS P/FLANGE 3/4"X3 1/2"</t>
  </si>
  <si>
    <t>PARAFUSOS/ARRUELAS E PORCAS P/FLANGE 7/8"X4"</t>
  </si>
  <si>
    <t>PARAFUSOS/ARRUELAS E PORCAS P/FLANGE 1 1/4"X4"</t>
  </si>
  <si>
    <t xml:space="preserve">TOCO DE TUBO EM AÇO CARBONO, DIAM 400 mm CHAPA 1/4" </t>
  </si>
  <si>
    <t>73884/004</t>
  </si>
  <si>
    <t>73884/005</t>
  </si>
  <si>
    <t>73884/008</t>
  </si>
  <si>
    <t>73884/009</t>
  </si>
  <si>
    <t>73884/010</t>
  </si>
  <si>
    <t>73884/014</t>
  </si>
  <si>
    <t>SEINFRA 18886</t>
  </si>
  <si>
    <t>SINAPI 96523</t>
  </si>
  <si>
    <t>CARGA/DECARGA MANUAL MATERIAS DIVERSOS CAMINHÃO BASC 6 M³</t>
  </si>
  <si>
    <t>ESTACA A TRADO (BROCA) DIAMETRO 20CM EM CONCRETO ARMADO MOLDADA IN-LOCO, 15 MPA</t>
  </si>
  <si>
    <t>ESTRUTURA METÁLICA EM AÇO ESTRUTURAL, INCLUSIVE GUINDAUTO 100 TON</t>
  </si>
  <si>
    <t>ENGENHEIRO MECANICO</t>
  </si>
  <si>
    <t>X</t>
  </si>
  <si>
    <t>SERVIÇO : INSTALAÇÃO DA TUBULAÇÃO 400 mm</t>
  </si>
  <si>
    <t>SERVIÇO : RECUPERAÇÃO DE VENTOSA 150/200 mm</t>
  </si>
  <si>
    <t>Anel de vedação 150/200 mm</t>
  </si>
  <si>
    <t xml:space="preserve">Esfera de borracha </t>
  </si>
  <si>
    <t>Tratamento e pintura epoxi</t>
  </si>
  <si>
    <t>Limpeza e jateamento de peça</t>
  </si>
  <si>
    <t>Pç</t>
  </si>
  <si>
    <t>SERVIÇO : RECUPERAÇÃO DEVÁLVULA BORBOLETA 450 mm</t>
  </si>
  <si>
    <t>Borracha  de vedação do disco 450 mm</t>
  </si>
  <si>
    <t xml:space="preserve">Eixo do disco </t>
  </si>
  <si>
    <t>Assento do disco</t>
  </si>
  <si>
    <t>Retentor da caixa de redução</t>
  </si>
  <si>
    <t>Graxa da caixa de redução</t>
  </si>
  <si>
    <t>Borracha  de vedação do disco 800 mm</t>
  </si>
  <si>
    <t>Guincho hidraulico,inclusive caminhão</t>
  </si>
  <si>
    <t>SERVIÇO : RECUPERAÇÃO DE COMPORTA PLANA DE CONCRETO</t>
  </si>
  <si>
    <t>Pintura epoxi</t>
  </si>
  <si>
    <t>Un.</t>
  </si>
  <si>
    <t xml:space="preserve">Tratamento anticorrosivo </t>
  </si>
  <si>
    <t>Chapa de aço grossa ASTM 36 espessuara 1/4"</t>
  </si>
  <si>
    <t>Corte de chapa de aço 1/4",  2,2 x 2,5 m</t>
  </si>
  <si>
    <t>Solda de chapa de aço 1/4"</t>
  </si>
  <si>
    <t>SERVIÇOS PRELIMINARES E CANTEIRO DE OBRAS</t>
  </si>
  <si>
    <t>SERVIÇO : RECUPERAÇÃO DE VÁLVULA BORBOLETA 800 mm</t>
  </si>
  <si>
    <t>Caminhão toco carroceria de madeira 10 ton</t>
  </si>
  <si>
    <t>Mês</t>
  </si>
  <si>
    <t>SEINFRA15098</t>
  </si>
  <si>
    <t>REGISTRO DE GAVETA FLANGEADO C/ VOLANTE E CAIXA REDUTORA, PN 10, 400 mm</t>
  </si>
  <si>
    <t>VALVULA BORBOLETA FLANGEADA C/ VOLANTE E CAIXA REDUTORA, PN 10, 250 mm</t>
  </si>
  <si>
    <t>SEINFRA17288</t>
  </si>
  <si>
    <t>SEINFRA17292</t>
  </si>
  <si>
    <t>SEINFRA17294</t>
  </si>
  <si>
    <t>SEINFRA17296</t>
  </si>
  <si>
    <t>VALVULA BORBOLETA FLANGEADA C/ VOLANTE E CAIXA REDUTORA, PN 10, 350 mm</t>
  </si>
  <si>
    <t>VALVULA BORBOLETA FLANGEADA C/ VOLANTE E CAIXA REDUTORA, PN 10, 400 mm</t>
  </si>
  <si>
    <t>VALVULA BORBOLETA FLANGEADA C/ VOLANTE E CAIXA REDUTORA, PN 10, 450 mm</t>
  </si>
  <si>
    <r>
      <t>LOCAL:</t>
    </r>
    <r>
      <rPr>
        <sz val="12"/>
        <color indexed="8"/>
        <rFont val="Arial"/>
        <family val="2"/>
      </rPr>
      <t xml:space="preserve"> Barragem do Bico da Pedra</t>
    </r>
  </si>
  <si>
    <r>
      <rPr>
        <b/>
        <sz val="11"/>
        <color theme="1"/>
        <rFont val="Arial"/>
        <family val="2"/>
      </rPr>
      <t xml:space="preserve">PRAZO DE EXECUÇÃO: </t>
    </r>
    <r>
      <rPr>
        <sz val="11"/>
        <color indexed="8"/>
        <rFont val="Arial"/>
        <family val="2"/>
      </rPr>
      <t>180 dias</t>
    </r>
  </si>
  <si>
    <r>
      <rPr>
        <b/>
        <sz val="11"/>
        <color theme="1"/>
        <rFont val="Arial"/>
        <family val="2"/>
      </rPr>
      <t>MUNICÍPIO</t>
    </r>
    <r>
      <rPr>
        <sz val="11"/>
        <color theme="1"/>
        <rFont val="Arial"/>
        <family val="2"/>
      </rPr>
      <t>: Nova Porteirinha - MG</t>
    </r>
  </si>
  <si>
    <t>PREÇO TOTAL S/ BDI</t>
  </si>
  <si>
    <t xml:space="preserve">                                                                      Ministério da Integração Nacional</t>
  </si>
  <si>
    <t xml:space="preserve">                                                                      Companhia de Desenvolvimento dos Vales do São Francisco e do Parnaíba</t>
  </si>
  <si>
    <t xml:space="preserve">                                                                      1ª Superintendência Regional da CODEVASF - 1ª SR</t>
  </si>
  <si>
    <t>ENGENHEIRO CIVIL  DE OBRA SENIOR (SINAPI 2018)</t>
  </si>
  <si>
    <t>DESENHISTA COPISTA (SINAPI 2018)</t>
  </si>
  <si>
    <t>ESCAVAÇÃO MANUAL PARA BLOCO DE COROAMENTO OU SAPATA, COM PREVISÃO DE FÔRMA. AF_06/2017</t>
  </si>
  <si>
    <t>DEM-CON-010</t>
  </si>
  <si>
    <t>DEMOLIÇÃO DE CONCRETO ARMADO-MANUAL, INCLUSIVE AFASTAMENTO</t>
  </si>
  <si>
    <t>EST-FOR-015</t>
  </si>
  <si>
    <t>FORMA E DESFORMA DE COMPENSADO RESINADO ESPESSURA 12 MM, EXCLUSIVE ESCORAMENTO (3X)</t>
  </si>
  <si>
    <t>SERVIÇO : REMOÇÃO INSTALAÇÃO DE COMPORTA PLANA DE AÇO</t>
  </si>
  <si>
    <t xml:space="preserve">CHP </t>
  </si>
  <si>
    <t>MARTELETE OU ROMPEDOR PNEUMÁTICO MANUAL, 28 KG, COM SILENCIADOR -DIURNO. AF_07/2016</t>
  </si>
  <si>
    <t>COD.</t>
  </si>
  <si>
    <t>GRUPO DE SOLDAGEM COM GERADOR A DIESEL 60 CV PARA SOLDA ELÉTRICA, SOBRE 04 RODAS, COM MOTOR 4 CILINDROS 600 A - CHP DIURNO. AF_02/2016</t>
  </si>
  <si>
    <t>AJUDANTE DE ARMADOR COM ENCARGOS COMPLEMENTARES</t>
  </si>
  <si>
    <t>MONTADOR DE ESTRUTURA METÁLICA COM ENCARGOS COMPLEMENTARES</t>
  </si>
  <si>
    <t xml:space="preserve">SERVIÇO : REMOÇÃO INSTALAÇÃO DE TRILHO GUIA PARA COMPORTA PLANA DE AÇO </t>
  </si>
  <si>
    <t>PASSARELA</t>
  </si>
  <si>
    <t>93358</t>
  </si>
  <si>
    <t>ESCAVAÇÃO MANUAL DE VALA COM PROFUNDIDADE MENOR OU IGUAL A 1,30 M. AF_03/2016</t>
  </si>
  <si>
    <t>TER-REA-010</t>
  </si>
  <si>
    <t>REATERRO COMPACTADO DE VALA COM EQUIPAMENTO PLACA VIBRATÓRIA</t>
  </si>
  <si>
    <t>TRA-CAR-005</t>
  </si>
  <si>
    <t>CARGA DE MATERIAL DE QUALQUER NATUREZA SOBRE CAMINHÃO - MANUAL</t>
  </si>
  <si>
    <t xml:space="preserve">ESTRUTURA METÁLICA EM AÇO ESTRUTURAL </t>
  </si>
  <si>
    <t>73865/001</t>
  </si>
  <si>
    <t>FUNDO PREPARADOR PRIMER A BASE DE EPOXI, PARA ESTRUTURA METALICA, UMA DEMAO, ESPESSURA DE 25 MICRA.</t>
  </si>
  <si>
    <t>73994/001</t>
  </si>
  <si>
    <t>ARMACAO EM TELA DE ACO SOLDADA NERVURADA Q-138, ACO CA-60, 4,2MM, MALHA 10X10CM</t>
  </si>
  <si>
    <t>DEM-CON-030</t>
  </si>
  <si>
    <t>DEMOLIÇÃO DE CONCRETO ARMADO - COM EQUIPAMENTO PNEUMÁTICO, INCLUSIVE AFASTAMENTO</t>
  </si>
  <si>
    <t>CONCRETO FCK = 25MPA, TRAÇO 1:2,3:2,7 (CIMENTO/ AREIA MÉDIA/ BRITA 1 
- PREPARO MECÂNICO COM BETONEIRA 600 L. AF_07/2016</t>
  </si>
  <si>
    <t>74157/004</t>
  </si>
  <si>
    <t>98230</t>
  </si>
  <si>
    <t>ESTACA BROCA DE CONCRETO, DIÂMETRO DE 30 CM, PROFUNDIDADE DE ATÉ 3 M, ESCAVAÇÃO MANUAL COM TRADO CONCHA, NÃO ARMADA. AF_03/2018</t>
  </si>
  <si>
    <t>FUN-LAS-005</t>
  </si>
  <si>
    <t>LASTRO DE CONCRETO MAGRO</t>
  </si>
  <si>
    <t>ARM-AÇO-005</t>
  </si>
  <si>
    <t>CORTE, DOBRA E ARMAÇÃO DE AÇO CA-50 D &lt;= 12,5 MM</t>
  </si>
  <si>
    <t>ARM-AÇO-015</t>
  </si>
  <si>
    <t>CORTE, DOBRA E ARMAÇÃO DE AÇO CA-60</t>
  </si>
  <si>
    <t>EST-FOR-025</t>
  </si>
  <si>
    <t>FORMA E DESFORMA DE COMPENSADO PLASTIFICADO ESPESSURA 12 MM, EXCLUSIVE ESCORAMENTO (5X)</t>
  </si>
  <si>
    <t>VEICULO TIPO PICK-UP 1.6 FLEX (101 CV)</t>
  </si>
  <si>
    <t>Carroceria de madeira com capacidade de 11 t</t>
  </si>
  <si>
    <t>A9351</t>
  </si>
  <si>
    <t>Caminhão basculante com capacidade de 6 m³ - 136 Kw</t>
  </si>
  <si>
    <t>E9506</t>
  </si>
  <si>
    <t>DESENHISTA DETALHISTA COM ENCARGOS COMPLEMENTARES</t>
  </si>
  <si>
    <t>ESTRUTURA METALICA EM ACO ESTRUTURAL</t>
  </si>
  <si>
    <t>TOTAL UNIFICADO</t>
  </si>
  <si>
    <r>
      <t xml:space="preserve">DATA BASE: </t>
    </r>
    <r>
      <rPr>
        <sz val="11"/>
        <color indexed="8"/>
        <rFont val="Arial"/>
        <family val="2"/>
      </rPr>
      <t>SINAPI SETEMBRO/2018 - SETOP JULHO/2018 - SEINFRA VIGENTE</t>
    </r>
  </si>
  <si>
    <t xml:space="preserve">PLANILHA DE CUSTO - RECUPERAÇÃO DA TOMADA D'ÁGUA DA BARRAGEM DO BICO DA PEDRA E CONSTRUÇÃO DE PASSARELA </t>
  </si>
  <si>
    <t xml:space="preserve">TUBO DE ACO CHAPA ASTM A36 3/16 COM PONTAS DN 400mm </t>
  </si>
  <si>
    <t>I7875 ( SEINFRA )</t>
  </si>
  <si>
    <t>Locação de container completo para almoxarifado</t>
  </si>
  <si>
    <t xml:space="preserve">Locação de container completo para sanitário </t>
  </si>
  <si>
    <t>TAB. ENGE. CONSULT.</t>
  </si>
  <si>
    <t xml:space="preserve">ENGENHEIRO CIVIL OBRA PLENO </t>
  </si>
  <si>
    <t>BDI DE SERVIÇOS</t>
  </si>
  <si>
    <t>2.13</t>
  </si>
  <si>
    <t>2.14</t>
  </si>
  <si>
    <t>2.15</t>
  </si>
  <si>
    <t>2.16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</si>
  <si>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</si>
  <si>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</si>
  <si>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</si>
  <si>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</si>
  <si>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</si>
  <si>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</si>
  <si>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</si>
  <si>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</si>
  <si>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</si>
  <si>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</si>
  <si>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</si>
  <si>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</si>
  <si>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</si>
  <si>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</si>
  <si>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</si>
  <si>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</si>
  <si>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</si>
  <si>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</si>
  <si>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</si>
  <si>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</si>
  <si>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</si>
  <si>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</si>
  <si>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</si>
  <si>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</si>
  <si>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</si>
  <si>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</si>
  <si>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</si>
  <si>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</si>
  <si>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</si>
  <si>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</si>
  <si>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</si>
  <si>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</si>
  <si>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</si>
  <si>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</si>
  <si>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</si>
  <si>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</si>
  <si>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</si>
  <si>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</si>
  <si>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</si>
  <si>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</si>
  <si>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PRAZO: 180 DIAS</t>
  </si>
  <si>
    <t>ETAPAS/DESCRIÇAO</t>
  </si>
  <si>
    <t>FISICO/  FINANCEIRO</t>
  </si>
  <si>
    <t>TOTAL    ETAPAS</t>
  </si>
  <si>
    <t>MÊS 1</t>
  </si>
  <si>
    <t>MÊS 2</t>
  </si>
  <si>
    <t>MÊS 3</t>
  </si>
  <si>
    <t>MÊS 4</t>
  </si>
  <si>
    <t>MÊS 5</t>
  </si>
  <si>
    <t xml:space="preserve">FISICO </t>
  </si>
  <si>
    <t>OBSERVAÇÕES:</t>
  </si>
  <si>
    <t>CRONOGRAMA GERADO AUTOMATICAMENTE COM A PLANILHA</t>
  </si>
  <si>
    <t>DATA: OUTUBRO/2018</t>
  </si>
  <si>
    <r>
      <t>OBRA:</t>
    </r>
    <r>
      <rPr>
        <sz val="12"/>
        <color indexed="8"/>
        <rFont val="Arial"/>
        <family val="2"/>
      </rPr>
      <t xml:space="preserve"> RECUPERAÇÃO DA TOMADA D'ÁGUA DA BARRAGEM BICO DA PEDRA E CONSTRUÇÃO DE PASSARELA</t>
    </r>
  </si>
  <si>
    <t>BDI DE FORNECIMENTO</t>
  </si>
  <si>
    <t>CRONOGRAMA FÍSISCO-FINANCEIRO</t>
  </si>
  <si>
    <t>VALOR :</t>
  </si>
  <si>
    <t/>
  </si>
  <si>
    <t>LOCAL: BARRAGEM BICO DA PEDRA</t>
  </si>
  <si>
    <t>MOBILIZAÇÃO E DESMOBILIZAÇÃO</t>
  </si>
  <si>
    <t xml:space="preserve">SERVIÇO :Mobilização e Desmobilização </t>
  </si>
  <si>
    <t>4.5</t>
  </si>
  <si>
    <t>ENGENHEIRO CIVIL  DE OBRA PLENO (SINAPI 90778)</t>
  </si>
  <si>
    <t>SOLDADOR COM ENCARGOS COMPLEMENTARES</t>
  </si>
  <si>
    <t>AJUDANTE ESPECIALIZADO COM ENCARGOS COMPLEMENTARES</t>
  </si>
  <si>
    <t>GUINDASTE HIDRÁULICO AUTOPROPELIDO SOBRE PNEUS, COM LANCA TELESCOPICA, CAPACIDADE DE  40 M, CAPACIDADE 60T , POT 260 kw</t>
  </si>
  <si>
    <t>Mestre de obra</t>
  </si>
  <si>
    <t>GUINDAUTO HIDRÁULICO CAP CARGA 6.500 KG, ALCANCE 7,60M, INCLUSIVE CAMINHÃO TOCO</t>
  </si>
  <si>
    <t xml:space="preserve">BDI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</si>
</sst>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00"/>
    <numFmt numFmtId="168" formatCode="###,###,###,##0.00"/>
    <numFmt numFmtId="169" formatCode="0.0%"/>
    <numFmt numFmtId="170" formatCode="0.00_);[Red]\(0.00\)"/>
    <numFmt numFmtId="171" formatCode="_(* #,##0.0_);_(* \(#,##0.0\);_(* &quot;-&quot;??_);_(@_)"/>
    <numFmt numFmtId="172" formatCode="_(* #,##0_);_(* \(#,##0\);_(* &quot;-&quot;??_);_(@_)"/>
    <numFmt numFmtId="173" formatCode="d/m"/>
    <numFmt numFmtId="174" formatCode="mmmm\-yy"/>
    <numFmt numFmtId="175" formatCode="0.0000"/>
    <numFmt numFmtId="176" formatCode="0.000000"/>
    <numFmt numFmtId="177" formatCode="0.00000000"/>
    <numFmt numFmtId="178" formatCode="0.00000000000"/>
    <numFmt numFmtId="179" formatCode="0.0000000"/>
    <numFmt numFmtId="180" formatCode="0.00000"/>
    <numFmt numFmtId="181" formatCode="General&quot; dias&quot;"/>
    <numFmt numFmtId="182" formatCode="#,##0.0000"/>
    <numFmt numFmtId="183" formatCode="&quot;R$ &quot;#,##0.00"/>
    <numFmt numFmtId="184" formatCode="[$-416]mmm\-yy;@"/>
    <numFmt numFmtId="185" formatCode="_-* #,##0.0000_-;\-* #,##0.0000_-;_-* &quot;-&quot;??_-;_-@_-"/>
    <numFmt numFmtId="186" formatCode="0.0"/>
  </numFmts>
  <fonts count="5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vertAlign val="superscript"/>
      <sz val="9"/>
      <name val="Arial"/>
      <family val="2"/>
    </font>
    <font>
      <vertAlign val="superscript"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9"/>
      <color indexed="8"/>
      <name val="Arial"/>
      <family val="2"/>
    </font>
    <font>
      <b/>
      <sz val="9"/>
      <color indexed="8"/>
      <name val="SansSerif"/>
      <charset val="2"/>
    </font>
    <font>
      <sz val="10"/>
      <color indexed="8"/>
      <name val="Arial"/>
      <family val="2"/>
    </font>
    <font>
      <b/>
      <sz val="14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b/>
      <sz val="15"/>
      <color indexed="48"/>
      <name val="Calibri"/>
      <family val="2"/>
    </font>
    <font>
      <sz val="8"/>
      <name val="Arial"/>
      <family val="2"/>
    </font>
    <font>
      <b/>
      <i/>
      <sz val="12"/>
      <color indexed="56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3366"/>
      <name val="Times New Roman"/>
      <family val="1"/>
    </font>
    <font>
      <sz val="12"/>
      <color rgb="FFFF0000"/>
      <name val="Arial"/>
      <family val="2"/>
    </font>
    <font>
      <b/>
      <sz val="12"/>
      <color theme="1"/>
      <name val="Arial"/>
      <family val="2"/>
    </font>
    <font>
      <sz val="12"/>
      <color indexed="8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sz val="11"/>
      <color rgb="FF9C6500"/>
      <name val="Calibri"/>
      <family val="2"/>
      <scheme val="minor"/>
    </font>
    <font>
      <sz val="10"/>
      <color theme="1"/>
      <name val="Times New Roman"/>
      <family val="1"/>
    </font>
    <font>
      <sz val="24"/>
      <color theme="1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20"/>
      <color theme="1"/>
      <name val="Times New Roman"/>
      <family val="1"/>
    </font>
    <font>
      <b/>
      <sz val="15"/>
      <color theme="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CCFFCC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EB9C"/>
      </patternFill>
    </fill>
    <fill>
      <patternFill patternType="solid">
        <fgColor rgb="FFFF0000"/>
        <bgColor indexed="64"/>
      </patternFill>
    </fill>
  </fills>
  <borders count="117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29" fillId="0" borderId="0"/>
    <xf numFmtId="0" fontId="4" fillId="0" borderId="0"/>
    <xf numFmtId="0" fontId="2" fillId="0" borderId="0"/>
    <xf numFmtId="3" fontId="4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0" fillId="0" borderId="1" applyNumberFormat="0" applyFill="0" applyAlignment="0" applyProtection="0"/>
    <xf numFmtId="166" fontId="2" fillId="0" borderId="0" applyFont="0" applyFill="0" applyBorder="0" applyAlignment="0" applyProtection="0"/>
    <xf numFmtId="0" fontId="4" fillId="0" borderId="0"/>
    <xf numFmtId="0" fontId="45" fillId="18" borderId="0" applyNumberFormat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88">
    <xf numFmtId="0" fontId="0" fillId="0" borderId="0" xfId="0"/>
    <xf numFmtId="4" fontId="45" fillId="18" borderId="0" xfId="11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2" xfId="0" applyNumberFormat="1" applyBorder="1" applyAlignment="1">
      <alignment vertical="center" wrapText="1"/>
    </xf>
    <xf numFmtId="4" fontId="0" fillId="1" borderId="2" xfId="0" applyNumberForma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1" fillId="0" borderId="4" xfId="0" applyFont="1" applyBorder="1" applyAlignment="1" applyProtection="1">
      <alignment vertical="center"/>
      <protection locked="0"/>
    </xf>
    <xf numFmtId="0" fontId="11" fillId="0" borderId="5" xfId="0" applyFont="1" applyBorder="1" applyAlignment="1">
      <alignment horizontal="left" vertical="center"/>
    </xf>
    <xf numFmtId="0" fontId="0" fillId="0" borderId="6" xfId="0" applyBorder="1" applyAlignment="1" applyProtection="1">
      <alignment vertical="center"/>
      <protection locked="0"/>
    </xf>
    <xf numFmtId="0" fontId="12" fillId="0" borderId="7" xfId="0" applyFont="1" applyBorder="1" applyAlignment="1" applyProtection="1">
      <alignment vertical="center"/>
      <protection locked="0"/>
    </xf>
    <xf numFmtId="0" fontId="12" fillId="0" borderId="8" xfId="0" applyFont="1" applyBorder="1" applyAlignment="1" applyProtection="1">
      <alignment vertical="center"/>
      <protection locked="0"/>
    </xf>
    <xf numFmtId="0" fontId="12" fillId="0" borderId="9" xfId="0" applyFont="1" applyBorder="1" applyAlignment="1" applyProtection="1">
      <alignment vertical="center"/>
      <protection locked="0"/>
    </xf>
    <xf numFmtId="0" fontId="12" fillId="0" borderId="10" xfId="0" applyFont="1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12" fillId="0" borderId="15" xfId="0" applyFont="1" applyBorder="1" applyAlignment="1" applyProtection="1">
      <alignment vertical="center"/>
      <protection locked="0"/>
    </xf>
    <xf numFmtId="174" fontId="12" fillId="0" borderId="16" xfId="0" applyNumberFormat="1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vertical="center"/>
      <protection locked="0"/>
    </xf>
    <xf numFmtId="173" fontId="12" fillId="0" borderId="18" xfId="0" applyNumberFormat="1" applyFont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vertical="center"/>
      <protection locked="0"/>
    </xf>
    <xf numFmtId="0" fontId="13" fillId="0" borderId="20" xfId="0" quotePrefix="1" applyFont="1" applyBorder="1" applyAlignment="1" applyProtection="1">
      <alignment horizontal="center" vertical="center"/>
      <protection locked="0"/>
    </xf>
    <xf numFmtId="0" fontId="0" fillId="0" borderId="21" xfId="0" applyBorder="1" applyAlignment="1">
      <alignment horizontal="center" vertical="center"/>
    </xf>
    <xf numFmtId="0" fontId="13" fillId="0" borderId="22" xfId="0" quotePrefix="1" applyFont="1" applyBorder="1" applyAlignment="1" applyProtection="1">
      <alignment horizontal="center" vertical="center"/>
      <protection locked="0"/>
    </xf>
    <xf numFmtId="0" fontId="0" fillId="0" borderId="23" xfId="0" applyBorder="1" applyAlignment="1">
      <alignment horizontal="center" vertical="center"/>
    </xf>
    <xf numFmtId="0" fontId="12" fillId="0" borderId="11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0" xfId="0" applyFont="1"/>
    <xf numFmtId="0" fontId="12" fillId="0" borderId="24" xfId="0" applyFont="1" applyBorder="1" applyAlignment="1">
      <alignment horizontal="center"/>
    </xf>
    <xf numFmtId="172" fontId="12" fillId="0" borderId="25" xfId="9" applyNumberFormat="1" applyFont="1" applyBorder="1"/>
    <xf numFmtId="0" fontId="12" fillId="0" borderId="26" xfId="0" applyFont="1" applyBorder="1"/>
    <xf numFmtId="166" fontId="12" fillId="0" borderId="26" xfId="9" applyFont="1" applyBorder="1" applyAlignment="1">
      <alignment horizontal="center"/>
    </xf>
    <xf numFmtId="166" fontId="12" fillId="0" borderId="0" xfId="9" applyFont="1" applyAlignment="1">
      <alignment horizontal="center"/>
    </xf>
    <xf numFmtId="0" fontId="12" fillId="0" borderId="14" xfId="0" applyFont="1" applyBorder="1"/>
    <xf numFmtId="0" fontId="14" fillId="0" borderId="0" xfId="0" applyFont="1"/>
    <xf numFmtId="166" fontId="12" fillId="0" borderId="13" xfId="9" applyFont="1" applyBorder="1"/>
    <xf numFmtId="0" fontId="12" fillId="0" borderId="0" xfId="0" applyFont="1" applyBorder="1"/>
    <xf numFmtId="166" fontId="12" fillId="0" borderId="0" xfId="9" applyFont="1" applyBorder="1" applyAlignment="1">
      <alignment horizont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quotePrefix="1" applyFont="1" applyAlignment="1">
      <alignment horizontal="left"/>
    </xf>
    <xf numFmtId="0" fontId="15" fillId="0" borderId="11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166" fontId="12" fillId="0" borderId="13" xfId="9" applyFont="1" applyBorder="1" applyAlignment="1">
      <alignment horizontal="center"/>
    </xf>
    <xf numFmtId="0" fontId="12" fillId="0" borderId="0" xfId="0" quotePrefix="1" applyFont="1" applyAlignment="1">
      <alignment horizontal="left"/>
    </xf>
    <xf numFmtId="166" fontId="12" fillId="0" borderId="13" xfId="9" applyFont="1" applyBorder="1" applyAlignment="1"/>
    <xf numFmtId="0" fontId="15" fillId="0" borderId="0" xfId="0" applyFont="1" applyAlignment="1">
      <alignment horizontal="left"/>
    </xf>
    <xf numFmtId="166" fontId="12" fillId="0" borderId="0" xfId="0" quotePrefix="1" applyNumberFormat="1" applyFont="1" applyAlignment="1">
      <alignment horizontal="left"/>
    </xf>
    <xf numFmtId="166" fontId="15" fillId="0" borderId="13" xfId="9" applyFont="1" applyBorder="1" applyAlignment="1"/>
    <xf numFmtId="0" fontId="15" fillId="0" borderId="0" xfId="0" applyFont="1" applyBorder="1"/>
    <xf numFmtId="166" fontId="15" fillId="0" borderId="0" xfId="9" applyFont="1" applyBorder="1" applyAlignment="1">
      <alignment horizontal="center"/>
    </xf>
    <xf numFmtId="166" fontId="15" fillId="0" borderId="0" xfId="9" applyFont="1" applyAlignment="1">
      <alignment horizontal="center"/>
    </xf>
    <xf numFmtId="166" fontId="3" fillId="0" borderId="0" xfId="9" applyFont="1" applyAlignment="1">
      <alignment horizontal="right"/>
    </xf>
    <xf numFmtId="4" fontId="3" fillId="0" borderId="0" xfId="0" quotePrefix="1" applyNumberFormat="1" applyFont="1" applyAlignment="1">
      <alignment horizontal="center"/>
    </xf>
    <xf numFmtId="179" fontId="15" fillId="0" borderId="0" xfId="9" applyNumberFormat="1" applyFont="1" applyAlignment="1">
      <alignment horizontal="center"/>
    </xf>
    <xf numFmtId="0" fontId="4" fillId="0" borderId="0" xfId="0" applyFont="1" applyBorder="1"/>
    <xf numFmtId="49" fontId="0" fillId="0" borderId="0" xfId="0" applyNumberFormat="1" applyBorder="1"/>
    <xf numFmtId="166" fontId="12" fillId="0" borderId="0" xfId="9" quotePrefix="1" applyFont="1" applyAlignment="1">
      <alignment horizontal="center"/>
    </xf>
    <xf numFmtId="10" fontId="12" fillId="0" borderId="0" xfId="0" applyNumberFormat="1" applyFont="1" applyAlignment="1">
      <alignment horizontal="left"/>
    </xf>
    <xf numFmtId="0" fontId="12" fillId="0" borderId="15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7" xfId="0" applyFont="1" applyBorder="1"/>
    <xf numFmtId="0" fontId="12" fillId="0" borderId="27" xfId="0" applyFont="1" applyBorder="1" applyAlignment="1">
      <alignment horizontal="center"/>
    </xf>
    <xf numFmtId="172" fontId="12" fillId="0" borderId="18" xfId="0" applyNumberFormat="1" applyFont="1" applyBorder="1"/>
    <xf numFmtId="166" fontId="12" fillId="0" borderId="17" xfId="9" applyFont="1" applyBorder="1" applyAlignment="1">
      <alignment horizontal="center"/>
    </xf>
    <xf numFmtId="0" fontId="12" fillId="0" borderId="19" xfId="0" applyFont="1" applyBorder="1"/>
    <xf numFmtId="0" fontId="12" fillId="0" borderId="0" xfId="0" applyFont="1" applyBorder="1" applyAlignment="1">
      <alignment horizontal="center"/>
    </xf>
    <xf numFmtId="172" fontId="12" fillId="0" borderId="0" xfId="0" applyNumberFormat="1" applyFont="1" applyBorder="1"/>
    <xf numFmtId="0" fontId="11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172" fontId="12" fillId="0" borderId="28" xfId="0" applyNumberFormat="1" applyFont="1" applyBorder="1" applyAlignment="1">
      <alignment vertical="center"/>
    </xf>
    <xf numFmtId="166" fontId="12" fillId="0" borderId="4" xfId="9" applyFont="1" applyBorder="1" applyAlignment="1">
      <alignment vertical="center"/>
    </xf>
    <xf numFmtId="0" fontId="12" fillId="0" borderId="4" xfId="0" applyFont="1" applyBorder="1"/>
    <xf numFmtId="166" fontId="12" fillId="0" borderId="4" xfId="9" applyFont="1" applyBorder="1" applyAlignment="1">
      <alignment horizontal="center"/>
    </xf>
    <xf numFmtId="0" fontId="12" fillId="0" borderId="6" xfId="0" applyFont="1" applyBorder="1"/>
    <xf numFmtId="172" fontId="12" fillId="0" borderId="16" xfId="0" applyNumberFormat="1" applyFont="1" applyBorder="1"/>
    <xf numFmtId="0" fontId="0" fillId="0" borderId="0" xfId="0" applyBorder="1"/>
    <xf numFmtId="0" fontId="12" fillId="0" borderId="3" xfId="0" applyFont="1" applyBorder="1"/>
    <xf numFmtId="0" fontId="0" fillId="0" borderId="4" xfId="0" applyBorder="1"/>
    <xf numFmtId="0" fontId="12" fillId="0" borderId="29" xfId="0" applyFont="1" applyBorder="1"/>
    <xf numFmtId="0" fontId="0" fillId="0" borderId="8" xfId="0" applyBorder="1"/>
    <xf numFmtId="1" fontId="0" fillId="0" borderId="30" xfId="0" applyNumberFormat="1" applyBorder="1" applyAlignment="1" applyProtection="1">
      <alignment horizontal="center"/>
      <protection locked="0"/>
    </xf>
    <xf numFmtId="0" fontId="12" fillId="0" borderId="11" xfId="0" applyFont="1" applyBorder="1"/>
    <xf numFmtId="0" fontId="12" fillId="0" borderId="31" xfId="0" applyFont="1" applyBorder="1"/>
    <xf numFmtId="17" fontId="0" fillId="0" borderId="32" xfId="0" applyNumberFormat="1" applyBorder="1" applyAlignment="1">
      <alignment horizontal="center"/>
    </xf>
    <xf numFmtId="0" fontId="0" fillId="0" borderId="3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4" xfId="0" applyBorder="1"/>
    <xf numFmtId="0" fontId="0" fillId="0" borderId="25" xfId="0" applyBorder="1"/>
    <xf numFmtId="0" fontId="0" fillId="0" borderId="35" xfId="0" applyBorder="1"/>
    <xf numFmtId="172" fontId="2" fillId="0" borderId="0" xfId="9" applyNumberFormat="1" applyBorder="1" applyAlignment="1">
      <alignment horizontal="right"/>
    </xf>
    <xf numFmtId="0" fontId="0" fillId="0" borderId="36" xfId="0" applyBorder="1"/>
    <xf numFmtId="0" fontId="0" fillId="0" borderId="37" xfId="0" applyBorder="1"/>
    <xf numFmtId="0" fontId="0" fillId="0" borderId="13" xfId="0" applyBorder="1"/>
    <xf numFmtId="0" fontId="0" fillId="0" borderId="12" xfId="0" applyBorder="1"/>
    <xf numFmtId="0" fontId="0" fillId="0" borderId="24" xfId="0" applyBorder="1"/>
    <xf numFmtId="172" fontId="2" fillId="0" borderId="24" xfId="9" applyNumberFormat="1" applyBorder="1" applyAlignment="1">
      <alignment horizontal="right"/>
    </xf>
    <xf numFmtId="0" fontId="0" fillId="0" borderId="31" xfId="0" applyBorder="1"/>
    <xf numFmtId="49" fontId="3" fillId="0" borderId="37" xfId="0" applyNumberFormat="1" applyFont="1" applyBorder="1" applyAlignment="1">
      <alignment horizontal="center"/>
    </xf>
    <xf numFmtId="0" fontId="9" fillId="0" borderId="0" xfId="0" applyFont="1"/>
    <xf numFmtId="49" fontId="0" fillId="0" borderId="12" xfId="0" applyNumberFormat="1" applyBorder="1"/>
    <xf numFmtId="49" fontId="0" fillId="0" borderId="0" xfId="0" applyNumberFormat="1" applyBorder="1" applyAlignment="1">
      <alignment horizontal="center"/>
    </xf>
    <xf numFmtId="40" fontId="17" fillId="0" borderId="0" xfId="0" applyNumberFormat="1" applyFont="1" applyBorder="1"/>
    <xf numFmtId="166" fontId="4" fillId="0" borderId="31" xfId="9" applyFont="1" applyBorder="1" applyAlignment="1">
      <alignment horizontal="center"/>
    </xf>
    <xf numFmtId="49" fontId="0" fillId="0" borderId="11" xfId="0" applyNumberFormat="1" applyBorder="1" applyAlignment="1">
      <alignment horizontal="center"/>
    </xf>
    <xf numFmtId="49" fontId="0" fillId="0" borderId="13" xfId="0" applyNumberFormat="1" applyBorder="1"/>
    <xf numFmtId="172" fontId="2" fillId="0" borderId="24" xfId="9" applyNumberFormat="1" applyFont="1" applyBorder="1" applyAlignment="1">
      <alignment horizontal="right"/>
    </xf>
    <xf numFmtId="0" fontId="4" fillId="0" borderId="13" xfId="0" applyFont="1" applyBorder="1"/>
    <xf numFmtId="172" fontId="18" fillId="0" borderId="24" xfId="9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center"/>
    </xf>
    <xf numFmtId="40" fontId="4" fillId="0" borderId="0" xfId="0" applyNumberFormat="1" applyFont="1" applyBorder="1"/>
    <xf numFmtId="166" fontId="4" fillId="0" borderId="31" xfId="9" applyFont="1" applyFill="1" applyBorder="1" applyAlignment="1">
      <alignment horizontal="center"/>
    </xf>
    <xf numFmtId="172" fontId="4" fillId="0" borderId="24" xfId="9" applyNumberFormat="1" applyFont="1" applyBorder="1" applyAlignment="1">
      <alignment horizontal="right"/>
    </xf>
    <xf numFmtId="175" fontId="4" fillId="0" borderId="24" xfId="9" applyNumberFormat="1" applyFont="1" applyBorder="1" applyAlignment="1">
      <alignment horizontal="right"/>
    </xf>
    <xf numFmtId="170" fontId="4" fillId="0" borderId="0" xfId="0" applyNumberFormat="1" applyFont="1" applyBorder="1"/>
    <xf numFmtId="178" fontId="4" fillId="0" borderId="0" xfId="0" applyNumberFormat="1" applyFont="1" applyBorder="1"/>
    <xf numFmtId="2" fontId="4" fillId="0" borderId="31" xfId="9" applyNumberFormat="1" applyFont="1" applyFill="1" applyBorder="1" applyAlignment="1">
      <alignment horizontal="center"/>
    </xf>
    <xf numFmtId="175" fontId="2" fillId="0" borderId="24" xfId="9" applyNumberFormat="1" applyBorder="1" applyAlignment="1">
      <alignment horizontal="right"/>
    </xf>
    <xf numFmtId="2" fontId="2" fillId="0" borderId="24" xfId="9" applyNumberFormat="1" applyBorder="1" applyAlignment="1">
      <alignment horizontal="right"/>
    </xf>
    <xf numFmtId="176" fontId="2" fillId="0" borderId="24" xfId="9" applyNumberFormat="1" applyBorder="1" applyAlignment="1">
      <alignment horizontal="right"/>
    </xf>
    <xf numFmtId="171" fontId="2" fillId="0" borderId="24" xfId="9" applyNumberFormat="1" applyBorder="1" applyAlignment="1">
      <alignment horizontal="right"/>
    </xf>
    <xf numFmtId="175" fontId="4" fillId="0" borderId="0" xfId="0" applyNumberFormat="1" applyFont="1" applyBorder="1"/>
    <xf numFmtId="176" fontId="4" fillId="0" borderId="0" xfId="0" applyNumberFormat="1" applyFont="1" applyBorder="1"/>
    <xf numFmtId="0" fontId="0" fillId="0" borderId="38" xfId="0" applyBorder="1"/>
    <xf numFmtId="0" fontId="0" fillId="0" borderId="18" xfId="0" applyBorder="1"/>
    <xf numFmtId="49" fontId="0" fillId="0" borderId="17" xfId="0" applyNumberFormat="1" applyBorder="1"/>
    <xf numFmtId="49" fontId="0" fillId="0" borderId="16" xfId="0" applyNumberFormat="1" applyBorder="1"/>
    <xf numFmtId="49" fontId="0" fillId="0" borderId="27" xfId="0" applyNumberFormat="1" applyBorder="1" applyAlignment="1">
      <alignment horizontal="center"/>
    </xf>
    <xf numFmtId="172" fontId="2" fillId="0" borderId="27" xfId="9" applyNumberFormat="1" applyBorder="1" applyAlignment="1">
      <alignment horizontal="right"/>
    </xf>
    <xf numFmtId="40" fontId="4" fillId="0" borderId="17" xfId="0" applyNumberFormat="1" applyFont="1" applyBorder="1"/>
    <xf numFmtId="40" fontId="0" fillId="0" borderId="32" xfId="0" applyNumberFormat="1" applyBorder="1"/>
    <xf numFmtId="0" fontId="0" fillId="0" borderId="39" xfId="0" applyBorder="1"/>
    <xf numFmtId="172" fontId="2" fillId="0" borderId="39" xfId="9" applyNumberFormat="1" applyBorder="1" applyAlignment="1"/>
    <xf numFmtId="0" fontId="12" fillId="0" borderId="13" xfId="0" applyFont="1" applyBorder="1"/>
    <xf numFmtId="172" fontId="2" fillId="0" borderId="0" xfId="9" applyNumberFormat="1" applyBorder="1" applyAlignment="1"/>
    <xf numFmtId="0" fontId="0" fillId="0" borderId="14" xfId="0" applyBorder="1"/>
    <xf numFmtId="0" fontId="0" fillId="0" borderId="17" xfId="0" applyBorder="1"/>
    <xf numFmtId="172" fontId="2" fillId="0" borderId="17" xfId="9" applyNumberFormat="1" applyBorder="1" applyAlignment="1"/>
    <xf numFmtId="0" fontId="0" fillId="0" borderId="19" xfId="0" applyBorder="1"/>
    <xf numFmtId="166" fontId="4" fillId="0" borderId="0" xfId="9" applyFont="1" applyBorder="1" applyAlignment="1"/>
    <xf numFmtId="49" fontId="0" fillId="0" borderId="37" xfId="0" applyNumberFormat="1" applyBorder="1" applyAlignment="1">
      <alignment horizontal="center"/>
    </xf>
    <xf numFmtId="0" fontId="4" fillId="0" borderId="0" xfId="0" applyFont="1" applyAlignment="1">
      <alignment horizontal="justify"/>
    </xf>
    <xf numFmtId="0" fontId="4" fillId="0" borderId="24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vertical="top" wrapText="1"/>
    </xf>
    <xf numFmtId="166" fontId="4" fillId="0" borderId="24" xfId="9" applyFont="1" applyBorder="1" applyAlignment="1">
      <alignment horizontal="right" vertical="top"/>
    </xf>
    <xf numFmtId="2" fontId="17" fillId="0" borderId="0" xfId="9" applyNumberFormat="1" applyFont="1" applyBorder="1" applyAlignment="1">
      <alignment vertical="top" wrapText="1"/>
    </xf>
    <xf numFmtId="3" fontId="4" fillId="0" borderId="0" xfId="0" applyNumberFormat="1" applyFont="1" applyBorder="1" applyAlignment="1">
      <alignment horizontal="right" vertical="top" wrapText="1"/>
    </xf>
    <xf numFmtId="166" fontId="4" fillId="0" borderId="0" xfId="9" applyFont="1" applyBorder="1" applyAlignment="1">
      <alignment horizontal="right" vertical="top"/>
    </xf>
    <xf numFmtId="0" fontId="4" fillId="0" borderId="0" xfId="0" applyFont="1" applyAlignment="1"/>
    <xf numFmtId="176" fontId="2" fillId="0" borderId="12" xfId="9" applyNumberFormat="1" applyFont="1" applyBorder="1" applyAlignment="1"/>
    <xf numFmtId="166" fontId="18" fillId="0" borderId="12" xfId="9" applyFont="1" applyBorder="1" applyAlignment="1"/>
    <xf numFmtId="0" fontId="4" fillId="0" borderId="24" xfId="0" applyFont="1" applyBorder="1" applyAlignment="1">
      <alignment horizontal="right" vertical="top" wrapText="1"/>
    </xf>
    <xf numFmtId="166" fontId="2" fillId="0" borderId="12" xfId="9" applyFont="1" applyBorder="1" applyAlignment="1">
      <alignment horizontal="right" vertical="top"/>
    </xf>
    <xf numFmtId="166" fontId="17" fillId="0" borderId="12" xfId="9" applyFont="1" applyBorder="1" applyAlignment="1">
      <alignment horizontal="right" vertical="top"/>
    </xf>
    <xf numFmtId="3" fontId="17" fillId="0" borderId="24" xfId="0" applyNumberFormat="1" applyFont="1" applyBorder="1" applyAlignment="1">
      <alignment horizontal="right" vertical="top" wrapText="1"/>
    </xf>
    <xf numFmtId="166" fontId="4" fillId="0" borderId="12" xfId="9" applyFont="1" applyBorder="1" applyAlignment="1">
      <alignment horizontal="right" vertical="top"/>
    </xf>
    <xf numFmtId="3" fontId="4" fillId="0" borderId="24" xfId="0" applyNumberFormat="1" applyFont="1" applyBorder="1" applyAlignment="1">
      <alignment horizontal="right" vertical="top" wrapText="1"/>
    </xf>
    <xf numFmtId="175" fontId="4" fillId="0" borderId="24" xfId="0" applyNumberFormat="1" applyFont="1" applyBorder="1" applyAlignment="1">
      <alignment horizontal="right" vertical="top" wrapText="1"/>
    </xf>
    <xf numFmtId="176" fontId="4" fillId="0" borderId="12" xfId="9" applyNumberFormat="1" applyFont="1" applyBorder="1" applyAlignment="1">
      <alignment horizontal="right" vertical="top"/>
    </xf>
    <xf numFmtId="2" fontId="4" fillId="0" borderId="12" xfId="9" applyNumberFormat="1" applyFont="1" applyBorder="1" applyAlignment="1">
      <alignment horizontal="right" vertical="top"/>
    </xf>
    <xf numFmtId="0" fontId="0" fillId="0" borderId="0" xfId="0" applyAlignment="1"/>
    <xf numFmtId="0" fontId="0" fillId="0" borderId="0" xfId="0" applyBorder="1" applyAlignment="1"/>
    <xf numFmtId="177" fontId="4" fillId="0" borderId="24" xfId="0" applyNumberFormat="1" applyFont="1" applyBorder="1" applyAlignment="1">
      <alignment horizontal="right" vertical="top" wrapText="1"/>
    </xf>
    <xf numFmtId="0" fontId="0" fillId="0" borderId="12" xfId="0" applyBorder="1" applyAlignment="1"/>
    <xf numFmtId="2" fontId="18" fillId="0" borderId="24" xfId="9" applyNumberFormat="1" applyFont="1" applyBorder="1" applyAlignment="1">
      <alignment horizontal="right"/>
    </xf>
    <xf numFmtId="0" fontId="4" fillId="0" borderId="13" xfId="0" applyFont="1" applyBorder="1" applyAlignment="1"/>
    <xf numFmtId="175" fontId="2" fillId="0" borderId="24" xfId="9" applyNumberFormat="1" applyFont="1" applyBorder="1" applyAlignment="1">
      <alignment horizontal="right"/>
    </xf>
    <xf numFmtId="2" fontId="2" fillId="0" borderId="24" xfId="9" applyNumberFormat="1" applyFont="1" applyBorder="1" applyAlignment="1">
      <alignment horizontal="right"/>
    </xf>
    <xf numFmtId="2" fontId="2" fillId="0" borderId="0" xfId="9" applyNumberFormat="1" applyAlignment="1"/>
    <xf numFmtId="166" fontId="4" fillId="0" borderId="24" xfId="9" applyFont="1" applyBorder="1"/>
    <xf numFmtId="172" fontId="2" fillId="0" borderId="0" xfId="9" applyNumberFormat="1" applyAlignment="1"/>
    <xf numFmtId="2" fontId="4" fillId="0" borderId="0" xfId="9" applyNumberFormat="1" applyFont="1" applyBorder="1" applyAlignment="1">
      <alignment horizontal="right" vertical="top"/>
    </xf>
    <xf numFmtId="166" fontId="4" fillId="0" borderId="24" xfId="9" applyFont="1" applyBorder="1" applyAlignment="1">
      <alignment horizontal="right" vertical="top" wrapText="1"/>
    </xf>
    <xf numFmtId="172" fontId="4" fillId="0" borderId="0" xfId="9" applyNumberFormat="1" applyFont="1" applyBorder="1" applyAlignment="1">
      <alignment horizontal="right" vertical="top"/>
    </xf>
    <xf numFmtId="2" fontId="17" fillId="0" borderId="0" xfId="9" applyNumberFormat="1" applyFont="1" applyBorder="1" applyAlignment="1">
      <alignment horizontal="right" vertical="top"/>
    </xf>
    <xf numFmtId="166" fontId="4" fillId="0" borderId="0" xfId="9" applyFont="1" applyBorder="1" applyAlignment="1">
      <alignment horizontal="right" vertical="top" wrapText="1"/>
    </xf>
    <xf numFmtId="49" fontId="0" fillId="0" borderId="24" xfId="0" applyNumberFormat="1" applyBorder="1" applyAlignment="1">
      <alignment horizontal="center"/>
    </xf>
    <xf numFmtId="49" fontId="0" fillId="0" borderId="17" xfId="0" applyNumberFormat="1" applyBorder="1" applyAlignment="1">
      <alignment horizontal="center"/>
    </xf>
    <xf numFmtId="40" fontId="0" fillId="0" borderId="17" xfId="0" applyNumberFormat="1" applyBorder="1"/>
    <xf numFmtId="0" fontId="0" fillId="0" borderId="37" xfId="0" applyBorder="1" applyAlignment="1">
      <alignment horizontal="center"/>
    </xf>
    <xf numFmtId="40" fontId="4" fillId="0" borderId="24" xfId="0" applyNumberFormat="1" applyFont="1" applyBorder="1"/>
    <xf numFmtId="0" fontId="0" fillId="0" borderId="11" xfId="0" applyBorder="1" applyAlignment="1">
      <alignment horizontal="center"/>
    </xf>
    <xf numFmtId="172" fontId="2" fillId="0" borderId="24" xfId="9" applyNumberFormat="1" applyFont="1" applyBorder="1" applyAlignment="1">
      <alignment horizontal="center"/>
    </xf>
    <xf numFmtId="172" fontId="2" fillId="0" borderId="24" xfId="9" applyNumberFormat="1" applyBorder="1" applyAlignment="1">
      <alignment horizontal="center"/>
    </xf>
    <xf numFmtId="0" fontId="3" fillId="0" borderId="13" xfId="0" applyFont="1" applyBorder="1" applyAlignment="1">
      <alignment horizontal="center"/>
    </xf>
    <xf numFmtId="40" fontId="0" fillId="0" borderId="0" xfId="0" applyNumberFormat="1" applyBorder="1"/>
    <xf numFmtId="166" fontId="3" fillId="0" borderId="31" xfId="9" applyFont="1" applyBorder="1" applyAlignment="1">
      <alignment horizontal="center"/>
    </xf>
    <xf numFmtId="40" fontId="0" fillId="0" borderId="31" xfId="0" applyNumberFormat="1" applyBorder="1"/>
    <xf numFmtId="172" fontId="17" fillId="0" borderId="24" xfId="9" applyNumberFormat="1" applyFont="1" applyBorder="1" applyAlignment="1">
      <alignment horizontal="right"/>
    </xf>
    <xf numFmtId="0" fontId="18" fillId="0" borderId="0" xfId="0" applyFont="1" applyBorder="1" applyAlignment="1">
      <alignment horizontal="right" vertical="top" wrapText="1"/>
    </xf>
    <xf numFmtId="2" fontId="18" fillId="0" borderId="0" xfId="9" applyNumberFormat="1" applyFont="1" applyBorder="1" applyAlignment="1">
      <alignment vertical="top" wrapText="1"/>
    </xf>
    <xf numFmtId="0" fontId="18" fillId="0" borderId="24" xfId="0" applyFont="1" applyBorder="1"/>
    <xf numFmtId="3" fontId="18" fillId="0" borderId="24" xfId="0" applyNumberFormat="1" applyFont="1" applyBorder="1" applyAlignment="1">
      <alignment horizontal="right" vertical="top" wrapText="1"/>
    </xf>
    <xf numFmtId="2" fontId="2" fillId="0" borderId="0" xfId="9" applyNumberFormat="1" applyBorder="1" applyAlignment="1">
      <alignment horizontal="right"/>
    </xf>
    <xf numFmtId="166" fontId="4" fillId="0" borderId="0" xfId="9" applyFont="1" applyBorder="1"/>
    <xf numFmtId="166" fontId="4" fillId="0" borderId="31" xfId="9" applyFont="1" applyBorder="1" applyAlignment="1"/>
    <xf numFmtId="4" fontId="0" fillId="0" borderId="2" xfId="0" applyNumberFormat="1" applyBorder="1" applyAlignment="1">
      <alignment horizontal="center" vertical="center" wrapText="1"/>
    </xf>
    <xf numFmtId="10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0" fillId="2" borderId="0" xfId="0" applyNumberFormat="1" applyFill="1" applyAlignment="1">
      <alignment vertical="center"/>
    </xf>
    <xf numFmtId="0" fontId="0" fillId="0" borderId="0" xfId="0" applyNumberFormat="1" applyAlignment="1">
      <alignment horizontal="left" vertical="center" indent="1"/>
    </xf>
    <xf numFmtId="0" fontId="0" fillId="3" borderId="0" xfId="0" applyNumberFormat="1" applyFill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81" fontId="0" fillId="0" borderId="0" xfId="0" applyNumberForma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81" fontId="0" fillId="0" borderId="2" xfId="0" applyNumberFormat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textRotation="90"/>
    </xf>
    <xf numFmtId="10" fontId="0" fillId="0" borderId="2" xfId="5" applyNumberFormat="1" applyFont="1" applyFill="1" applyBorder="1" applyAlignment="1">
      <alignment horizontal="center" vertical="center" textRotation="90"/>
    </xf>
    <xf numFmtId="4" fontId="0" fillId="0" borderId="33" xfId="0" applyNumberFormat="1" applyBorder="1" applyAlignment="1">
      <alignment horizontal="center" vertical="center"/>
    </xf>
    <xf numFmtId="4" fontId="0" fillId="0" borderId="22" xfId="0" applyNumberFormat="1" applyBorder="1" applyAlignment="1">
      <alignment horizontal="center" vertical="center"/>
    </xf>
    <xf numFmtId="4" fontId="0" fillId="0" borderId="40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4" fontId="0" fillId="0" borderId="42" xfId="0" applyNumberFormat="1" applyBorder="1" applyAlignment="1">
      <alignment horizontal="center" vertical="center"/>
    </xf>
    <xf numFmtId="3" fontId="0" fillId="0" borderId="43" xfId="0" applyNumberFormat="1" applyBorder="1" applyAlignment="1">
      <alignment horizontal="center" vertical="center"/>
    </xf>
    <xf numFmtId="4" fontId="0" fillId="0" borderId="44" xfId="0" applyNumberFormat="1" applyBorder="1" applyAlignment="1">
      <alignment horizontal="center" vertical="center"/>
    </xf>
    <xf numFmtId="4" fontId="0" fillId="0" borderId="45" xfId="0" applyNumberForma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center" vertical="center" wrapText="1"/>
    </xf>
    <xf numFmtId="4" fontId="20" fillId="0" borderId="0" xfId="0" applyNumberFormat="1" applyFont="1" applyAlignment="1">
      <alignment vertical="center"/>
    </xf>
    <xf numFmtId="4" fontId="20" fillId="0" borderId="0" xfId="0" applyNumberFormat="1" applyFont="1" applyAlignment="1">
      <alignment vertical="center" wrapText="1"/>
    </xf>
    <xf numFmtId="4" fontId="21" fillId="0" borderId="0" xfId="0" applyNumberFormat="1" applyFont="1" applyAlignment="1">
      <alignment horizontal="center" vertical="center"/>
    </xf>
    <xf numFmtId="4" fontId="20" fillId="0" borderId="0" xfId="0" applyNumberFormat="1" applyFont="1" applyFill="1" applyAlignment="1">
      <alignment vertical="center"/>
    </xf>
    <xf numFmtId="4" fontId="21" fillId="0" borderId="0" xfId="0" applyNumberFormat="1" applyFont="1" applyFill="1" applyAlignment="1">
      <alignment horizontal="center" vertical="center"/>
    </xf>
    <xf numFmtId="4" fontId="20" fillId="0" borderId="0" xfId="0" applyNumberFormat="1" applyFont="1" applyFill="1" applyAlignment="1">
      <alignment vertical="center" wrapText="1"/>
    </xf>
    <xf numFmtId="0" fontId="2" fillId="0" borderId="0" xfId="3"/>
    <xf numFmtId="171" fontId="2" fillId="0" borderId="0" xfId="7" applyNumberFormat="1"/>
    <xf numFmtId="0" fontId="3" fillId="0" borderId="46" xfId="3" applyFont="1" applyBorder="1" applyAlignment="1">
      <alignment horizontal="center" vertical="center" wrapText="1"/>
    </xf>
    <xf numFmtId="171" fontId="3" fillId="0" borderId="47" xfId="7" applyNumberFormat="1" applyFont="1" applyBorder="1" applyAlignment="1">
      <alignment horizontal="center" vertical="center" wrapText="1"/>
    </xf>
    <xf numFmtId="0" fontId="4" fillId="0" borderId="48" xfId="3" applyFont="1" applyBorder="1"/>
    <xf numFmtId="169" fontId="2" fillId="0" borderId="49" xfId="6" applyNumberFormat="1" applyBorder="1" applyAlignment="1">
      <alignment horizontal="right"/>
    </xf>
    <xf numFmtId="0" fontId="4" fillId="0" borderId="50" xfId="3" applyFont="1" applyBorder="1"/>
    <xf numFmtId="169" fontId="2" fillId="0" borderId="51" xfId="6" applyNumberFormat="1" applyBorder="1" applyAlignment="1">
      <alignment horizontal="right"/>
    </xf>
    <xf numFmtId="0" fontId="4" fillId="0" borderId="52" xfId="3" applyFont="1" applyBorder="1"/>
    <xf numFmtId="169" fontId="2" fillId="0" borderId="53" xfId="6" applyNumberFormat="1" applyBorder="1" applyAlignment="1">
      <alignment horizontal="right"/>
    </xf>
    <xf numFmtId="0" fontId="2" fillId="0" borderId="54" xfId="3" applyBorder="1" applyAlignment="1">
      <alignment horizontal="right"/>
    </xf>
    <xf numFmtId="169" fontId="2" fillId="0" borderId="55" xfId="6" applyNumberFormat="1" applyBorder="1"/>
    <xf numFmtId="0" fontId="24" fillId="0" borderId="0" xfId="0" applyFont="1" applyAlignment="1">
      <alignment wrapText="1"/>
    </xf>
    <xf numFmtId="0" fontId="2" fillId="0" borderId="0" xfId="3" applyBorder="1"/>
    <xf numFmtId="171" fontId="4" fillId="0" borderId="0" xfId="7" applyNumberFormat="1" applyFont="1" applyBorder="1" applyAlignment="1">
      <alignment horizontal="center"/>
    </xf>
    <xf numFmtId="171" fontId="2" fillId="0" borderId="0" xfId="7" applyNumberFormat="1" applyBorder="1" applyAlignment="1"/>
    <xf numFmtId="0" fontId="2" fillId="0" borderId="0" xfId="3" applyFont="1" applyAlignment="1">
      <alignment vertical="justify" wrapText="1"/>
    </xf>
    <xf numFmtId="171" fontId="2" fillId="0" borderId="0" xfId="7" applyNumberFormat="1" applyAlignment="1">
      <alignment vertical="justify" wrapText="1"/>
    </xf>
    <xf numFmtId="0" fontId="2" fillId="0" borderId="0" xfId="3" applyAlignment="1">
      <alignment vertical="justify" wrapText="1"/>
    </xf>
    <xf numFmtId="0" fontId="2" fillId="0" borderId="0" xfId="3" applyAlignment="1">
      <alignment vertical="top" wrapText="1"/>
    </xf>
    <xf numFmtId="171" fontId="2" fillId="0" borderId="0" xfId="7" applyNumberFormat="1" applyAlignment="1">
      <alignment vertical="top" wrapText="1"/>
    </xf>
    <xf numFmtId="0" fontId="26" fillId="0" borderId="0" xfId="0" applyFont="1" applyAlignment="1">
      <alignment wrapText="1"/>
    </xf>
    <xf numFmtId="169" fontId="0" fillId="0" borderId="53" xfId="6" applyNumberFormat="1" applyFont="1" applyBorder="1" applyAlignment="1">
      <alignment horizontal="right"/>
    </xf>
    <xf numFmtId="3" fontId="20" fillId="0" borderId="0" xfId="0" applyNumberFormat="1" applyFont="1" applyAlignment="1">
      <alignment horizontal="center" vertical="center"/>
    </xf>
    <xf numFmtId="4" fontId="20" fillId="0" borderId="0" xfId="0" applyNumberFormat="1" applyFont="1" applyFill="1" applyAlignment="1">
      <alignment horizontal="left" vertical="center"/>
    </xf>
    <xf numFmtId="4" fontId="23" fillId="0" borderId="3" xfId="0" applyNumberFormat="1" applyFont="1" applyFill="1" applyBorder="1" applyAlignment="1">
      <alignment horizontal="centerContinuous" vertical="center"/>
    </xf>
    <xf numFmtId="4" fontId="23" fillId="0" borderId="4" xfId="0" applyNumberFormat="1" applyFont="1" applyFill="1" applyBorder="1" applyAlignment="1">
      <alignment horizontal="centerContinuous" vertical="center"/>
    </xf>
    <xf numFmtId="4" fontId="3" fillId="0" borderId="4" xfId="0" applyNumberFormat="1" applyFont="1" applyFill="1" applyBorder="1" applyAlignment="1">
      <alignment horizontal="centerContinuous" vertical="center"/>
    </xf>
    <xf numFmtId="4" fontId="23" fillId="0" borderId="4" xfId="0" applyNumberFormat="1" applyFont="1" applyFill="1" applyBorder="1" applyAlignment="1">
      <alignment horizontal="left" vertical="center"/>
    </xf>
    <xf numFmtId="4" fontId="23" fillId="0" borderId="11" xfId="0" applyNumberFormat="1" applyFont="1" applyFill="1" applyBorder="1" applyAlignment="1">
      <alignment horizontal="centerContinuous" vertical="center"/>
    </xf>
    <xf numFmtId="4" fontId="23" fillId="0" borderId="0" xfId="0" applyNumberFormat="1" applyFont="1" applyFill="1" applyBorder="1" applyAlignment="1">
      <alignment horizontal="centerContinuous" vertical="center"/>
    </xf>
    <xf numFmtId="4" fontId="3" fillId="0" borderId="0" xfId="0" applyNumberFormat="1" applyFont="1" applyFill="1" applyBorder="1" applyAlignment="1">
      <alignment horizontal="left" vertical="center"/>
    </xf>
    <xf numFmtId="4" fontId="23" fillId="0" borderId="0" xfId="0" applyNumberFormat="1" applyFont="1" applyFill="1" applyBorder="1" applyAlignment="1">
      <alignment horizontal="left" vertical="center"/>
    </xf>
    <xf numFmtId="4" fontId="21" fillId="0" borderId="0" xfId="0" applyNumberFormat="1" applyFont="1" applyFill="1" applyBorder="1" applyAlignment="1">
      <alignment horizontal="centerContinuous" vertical="center"/>
    </xf>
    <xf numFmtId="4" fontId="21" fillId="0" borderId="0" xfId="0" applyNumberFormat="1" applyFont="1" applyFill="1" applyBorder="1" applyAlignment="1">
      <alignment horizontal="left" vertical="center"/>
    </xf>
    <xf numFmtId="0" fontId="3" fillId="0" borderId="1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4" fontId="21" fillId="0" borderId="17" xfId="0" applyNumberFormat="1" applyFont="1" applyFill="1" applyBorder="1" applyAlignment="1">
      <alignment horizontal="centerContinuous" vertical="center"/>
    </xf>
    <xf numFmtId="0" fontId="23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15" fillId="0" borderId="56" xfId="0" applyNumberFormat="1" applyFont="1" applyFill="1" applyBorder="1" applyAlignment="1">
      <alignment horizontal="center" vertical="center"/>
    </xf>
    <xf numFmtId="3" fontId="15" fillId="0" borderId="57" xfId="0" applyNumberFormat="1" applyFont="1" applyFill="1" applyBorder="1" applyAlignment="1">
      <alignment horizontal="center" vertical="center"/>
    </xf>
    <xf numFmtId="49" fontId="15" fillId="0" borderId="57" xfId="0" applyNumberFormat="1" applyFont="1" applyFill="1" applyBorder="1" applyAlignment="1">
      <alignment horizontal="left" vertical="center" wrapText="1"/>
    </xf>
    <xf numFmtId="4" fontId="12" fillId="0" borderId="57" xfId="0" applyNumberFormat="1" applyFont="1" applyFill="1" applyBorder="1" applyAlignment="1">
      <alignment horizontal="center" vertical="center"/>
    </xf>
    <xf numFmtId="0" fontId="12" fillId="0" borderId="57" xfId="0" applyFont="1" applyFill="1" applyBorder="1" applyAlignment="1">
      <alignment horizontal="center" vertical="center"/>
    </xf>
    <xf numFmtId="166" fontId="12" fillId="0" borderId="0" xfId="0" applyNumberFormat="1" applyFont="1" applyFill="1" applyAlignment="1">
      <alignment vertical="center"/>
    </xf>
    <xf numFmtId="3" fontId="12" fillId="0" borderId="56" xfId="0" applyNumberFormat="1" applyFont="1" applyFill="1" applyBorder="1" applyAlignment="1">
      <alignment horizontal="center" vertical="center"/>
    </xf>
    <xf numFmtId="3" fontId="12" fillId="0" borderId="57" xfId="0" applyNumberFormat="1" applyFont="1" applyFill="1" applyBorder="1" applyAlignment="1">
      <alignment horizontal="center" vertical="center"/>
    </xf>
    <xf numFmtId="49" fontId="12" fillId="0" borderId="57" xfId="0" applyNumberFormat="1" applyFont="1" applyFill="1" applyBorder="1" applyAlignment="1">
      <alignment horizontal="left" vertical="center" wrapText="1"/>
    </xf>
    <xf numFmtId="0" fontId="15" fillId="0" borderId="56" xfId="0" applyFont="1" applyFill="1" applyBorder="1" applyAlignment="1">
      <alignment horizontal="center" vertical="center"/>
    </xf>
    <xf numFmtId="0" fontId="15" fillId="0" borderId="57" xfId="0" applyFont="1" applyFill="1" applyBorder="1" applyAlignment="1">
      <alignment horizontal="center" vertical="center"/>
    </xf>
    <xf numFmtId="0" fontId="12" fillId="0" borderId="56" xfId="0" applyFont="1" applyFill="1" applyBorder="1" applyAlignment="1">
      <alignment horizontal="center" vertical="center"/>
    </xf>
    <xf numFmtId="0" fontId="12" fillId="0" borderId="57" xfId="0" applyFont="1" applyFill="1" applyBorder="1" applyAlignment="1">
      <alignment horizontal="center" vertical="center" wrapText="1"/>
    </xf>
    <xf numFmtId="4" fontId="12" fillId="0" borderId="57" xfId="9" applyNumberFormat="1" applyFont="1" applyFill="1" applyBorder="1" applyAlignment="1">
      <alignment horizontal="center" vertical="center" wrapText="1"/>
    </xf>
    <xf numFmtId="172" fontId="12" fillId="0" borderId="57" xfId="9" applyNumberFormat="1" applyFont="1" applyFill="1" applyBorder="1" applyAlignment="1">
      <alignment horizontal="center" vertical="center" wrapText="1"/>
    </xf>
    <xf numFmtId="0" fontId="15" fillId="0" borderId="57" xfId="0" applyFont="1" applyFill="1" applyBorder="1" applyAlignment="1">
      <alignment horizontal="left" vertical="center" wrapText="1"/>
    </xf>
    <xf numFmtId="3" fontId="12" fillId="0" borderId="58" xfId="0" applyNumberFormat="1" applyFont="1" applyBorder="1" applyAlignment="1">
      <alignment horizontal="center" vertical="center"/>
    </xf>
    <xf numFmtId="3" fontId="12" fillId="0" borderId="59" xfId="0" applyNumberFormat="1" applyFont="1" applyBorder="1" applyAlignment="1">
      <alignment horizontal="center" vertical="center"/>
    </xf>
    <xf numFmtId="4" fontId="15" fillId="0" borderId="59" xfId="0" applyNumberFormat="1" applyFont="1" applyFill="1" applyBorder="1" applyAlignment="1">
      <alignment horizontal="left" vertical="center" wrapText="1"/>
    </xf>
    <xf numFmtId="4" fontId="12" fillId="0" borderId="59" xfId="0" applyNumberFormat="1" applyFont="1" applyFill="1" applyBorder="1" applyAlignment="1">
      <alignment horizontal="left" vertical="center"/>
    </xf>
    <xf numFmtId="166" fontId="20" fillId="0" borderId="0" xfId="0" applyNumberFormat="1" applyFont="1" applyFill="1" applyAlignment="1">
      <alignment horizontal="right" vertical="center"/>
    </xf>
    <xf numFmtId="166" fontId="21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166" fontId="23" fillId="0" borderId="4" xfId="0" applyNumberFormat="1" applyFont="1" applyFill="1" applyBorder="1" applyAlignment="1">
      <alignment horizontal="centerContinuous" vertical="center"/>
    </xf>
    <xf numFmtId="166" fontId="20" fillId="0" borderId="4" xfId="0" applyNumberFormat="1" applyFont="1" applyBorder="1" applyAlignment="1">
      <alignment vertical="center"/>
    </xf>
    <xf numFmtId="166" fontId="20" fillId="0" borderId="6" xfId="0" applyNumberFormat="1" applyFont="1" applyBorder="1" applyAlignment="1">
      <alignment vertical="center"/>
    </xf>
    <xf numFmtId="166" fontId="23" fillId="0" borderId="0" xfId="0" applyNumberFormat="1" applyFont="1" applyFill="1" applyBorder="1" applyAlignment="1">
      <alignment horizontal="centerContinuous" vertical="center"/>
    </xf>
    <xf numFmtId="166" fontId="20" fillId="0" borderId="0" xfId="0" applyNumberFormat="1" applyFont="1" applyBorder="1" applyAlignment="1">
      <alignment vertical="center"/>
    </xf>
    <xf numFmtId="166" fontId="20" fillId="0" borderId="14" xfId="0" applyNumberFormat="1" applyFont="1" applyBorder="1" applyAlignment="1">
      <alignment vertical="center"/>
    </xf>
    <xf numFmtId="166" fontId="21" fillId="0" borderId="0" xfId="0" applyNumberFormat="1" applyFont="1" applyFill="1" applyBorder="1" applyAlignment="1">
      <alignment horizontal="centerContinuous" vertical="center"/>
    </xf>
    <xf numFmtId="166" fontId="21" fillId="0" borderId="17" xfId="0" applyNumberFormat="1" applyFont="1" applyFill="1" applyBorder="1" applyAlignment="1">
      <alignment horizontal="centerContinuous" vertical="center"/>
    </xf>
    <xf numFmtId="166" fontId="20" fillId="0" borderId="17" xfId="0" applyNumberFormat="1" applyFont="1" applyBorder="1" applyAlignment="1">
      <alignment vertical="center"/>
    </xf>
    <xf numFmtId="166" fontId="20" fillId="0" borderId="19" xfId="0" applyNumberFormat="1" applyFont="1" applyBorder="1" applyAlignment="1">
      <alignment vertical="center"/>
    </xf>
    <xf numFmtId="166" fontId="23" fillId="0" borderId="0" xfId="0" applyNumberFormat="1" applyFont="1" applyFill="1" applyBorder="1" applyAlignment="1">
      <alignment vertical="center"/>
    </xf>
    <xf numFmtId="166" fontId="22" fillId="0" borderId="0" xfId="0" applyNumberFormat="1" applyFont="1" applyFill="1" applyBorder="1" applyAlignment="1">
      <alignment vertical="center"/>
    </xf>
    <xf numFmtId="166" fontId="5" fillId="0" borderId="2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 wrapText="1"/>
    </xf>
    <xf numFmtId="166" fontId="12" fillId="0" borderId="57" xfId="0" applyNumberFormat="1" applyFont="1" applyFill="1" applyBorder="1" applyAlignment="1">
      <alignment horizontal="center" vertical="center"/>
    </xf>
    <xf numFmtId="166" fontId="12" fillId="0" borderId="60" xfId="9" applyNumberFormat="1" applyFont="1" applyFill="1" applyBorder="1" applyAlignment="1">
      <alignment horizontal="center" vertical="center"/>
    </xf>
    <xf numFmtId="166" fontId="12" fillId="0" borderId="57" xfId="0" applyNumberFormat="1" applyFont="1" applyFill="1" applyBorder="1" applyAlignment="1">
      <alignment horizontal="center" vertical="center" wrapText="1"/>
    </xf>
    <xf numFmtId="166" fontId="12" fillId="0" borderId="57" xfId="9" applyNumberFormat="1" applyFont="1" applyFill="1" applyBorder="1" applyAlignment="1">
      <alignment horizontal="center" vertical="center"/>
    </xf>
    <xf numFmtId="166" fontId="12" fillId="0" borderId="57" xfId="9" applyNumberFormat="1" applyFont="1" applyFill="1" applyBorder="1" applyAlignment="1">
      <alignment horizontal="center" vertical="center" wrapText="1"/>
    </xf>
    <xf numFmtId="166" fontId="15" fillId="0" borderId="57" xfId="0" applyNumberFormat="1" applyFont="1" applyFill="1" applyBorder="1" applyAlignment="1">
      <alignment horizontal="center" vertical="center"/>
    </xf>
    <xf numFmtId="166" fontId="15" fillId="0" borderId="60" xfId="9" applyNumberFormat="1" applyFont="1" applyFill="1" applyBorder="1" applyAlignment="1">
      <alignment horizontal="center" vertical="center"/>
    </xf>
    <xf numFmtId="166" fontId="12" fillId="0" borderId="59" xfId="0" applyNumberFormat="1" applyFont="1" applyFill="1" applyBorder="1" applyAlignment="1">
      <alignment horizontal="right" vertical="center"/>
    </xf>
    <xf numFmtId="166" fontId="15" fillId="0" borderId="61" xfId="0" applyNumberFormat="1" applyFont="1" applyBorder="1" applyAlignment="1">
      <alignment horizontal="center" vertical="center"/>
    </xf>
    <xf numFmtId="166" fontId="15" fillId="4" borderId="2" xfId="0" applyNumberFormat="1" applyFont="1" applyFill="1" applyBorder="1" applyAlignment="1">
      <alignment horizontal="center" vertical="center"/>
    </xf>
    <xf numFmtId="4" fontId="20" fillId="0" borderId="0" xfId="0" applyNumberFormat="1" applyFont="1" applyAlignment="1">
      <alignment horizontal="center" vertical="center"/>
    </xf>
    <xf numFmtId="4" fontId="20" fillId="4" borderId="0" xfId="0" applyNumberFormat="1" applyFont="1" applyFill="1" applyAlignment="1">
      <alignment vertical="center"/>
    </xf>
    <xf numFmtId="4" fontId="21" fillId="4" borderId="0" xfId="0" applyNumberFormat="1" applyFont="1" applyFill="1" applyAlignment="1">
      <alignment horizontal="center" vertical="center"/>
    </xf>
    <xf numFmtId="4" fontId="20" fillId="4" borderId="0" xfId="0" applyNumberFormat="1" applyFont="1" applyFill="1" applyAlignment="1">
      <alignment vertical="center" wrapText="1"/>
    </xf>
    <xf numFmtId="0" fontId="12" fillId="0" borderId="62" xfId="0" applyFont="1" applyFill="1" applyBorder="1" applyAlignment="1">
      <alignment horizontal="center" vertical="center"/>
    </xf>
    <xf numFmtId="49" fontId="12" fillId="4" borderId="57" xfId="0" applyNumberFormat="1" applyFont="1" applyFill="1" applyBorder="1" applyAlignment="1">
      <alignment horizontal="left" vertical="center" wrapText="1"/>
    </xf>
    <xf numFmtId="0" fontId="12" fillId="4" borderId="57" xfId="0" applyFont="1" applyFill="1" applyBorder="1" applyAlignment="1">
      <alignment horizontal="left" vertical="center" wrapText="1"/>
    </xf>
    <xf numFmtId="0" fontId="12" fillId="0" borderId="57" xfId="0" applyFont="1" applyFill="1" applyBorder="1" applyAlignment="1">
      <alignment horizontal="center"/>
    </xf>
    <xf numFmtId="0" fontId="12" fillId="4" borderId="57" xfId="0" applyFont="1" applyFill="1" applyBorder="1" applyAlignment="1">
      <alignment wrapText="1"/>
    </xf>
    <xf numFmtId="3" fontId="12" fillId="0" borderId="63" xfId="0" applyNumberFormat="1" applyFont="1" applyFill="1" applyBorder="1" applyAlignment="1">
      <alignment horizontal="center"/>
    </xf>
    <xf numFmtId="0" fontId="6" fillId="0" borderId="0" xfId="0" applyFont="1" applyAlignment="1"/>
    <xf numFmtId="0" fontId="3" fillId="0" borderId="0" xfId="0" applyFont="1" applyAlignment="1"/>
    <xf numFmtId="0" fontId="16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83" fontId="3" fillId="0" borderId="0" xfId="0" applyNumberFormat="1" applyFont="1" applyAlignment="1">
      <alignment horizontal="left"/>
    </xf>
    <xf numFmtId="0" fontId="0" fillId="5" borderId="64" xfId="0" applyFill="1" applyBorder="1" applyAlignment="1">
      <alignment horizontal="center"/>
    </xf>
    <xf numFmtId="0" fontId="3" fillId="5" borderId="64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5" borderId="27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/>
    </xf>
    <xf numFmtId="0" fontId="3" fillId="0" borderId="37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" fillId="0" borderId="2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24" xfId="0" applyFont="1" applyBorder="1"/>
    <xf numFmtId="2" fontId="3" fillId="0" borderId="24" xfId="0" applyNumberFormat="1" applyFont="1" applyBorder="1" applyAlignment="1">
      <alignment horizontal="right"/>
    </xf>
    <xf numFmtId="4" fontId="3" fillId="0" borderId="31" xfId="0" applyNumberFormat="1" applyFont="1" applyBorder="1"/>
    <xf numFmtId="10" fontId="16" fillId="0" borderId="0" xfId="0" applyNumberFormat="1" applyFont="1" applyAlignment="1"/>
    <xf numFmtId="0" fontId="16" fillId="0" borderId="0" xfId="0" applyFont="1" applyAlignment="1"/>
    <xf numFmtId="0" fontId="0" fillId="0" borderId="37" xfId="0" applyBorder="1" applyAlignment="1">
      <alignment horizontal="right"/>
    </xf>
    <xf numFmtId="2" fontId="0" fillId="0" borderId="24" xfId="0" applyNumberFormat="1" applyBorder="1"/>
    <xf numFmtId="4" fontId="0" fillId="0" borderId="24" xfId="0" applyNumberFormat="1" applyBorder="1"/>
    <xf numFmtId="2" fontId="3" fillId="0" borderId="24" xfId="0" applyNumberFormat="1" applyFont="1" applyBorder="1"/>
    <xf numFmtId="4" fontId="3" fillId="0" borderId="14" xfId="0" applyNumberFormat="1" applyFont="1" applyBorder="1"/>
    <xf numFmtId="0" fontId="0" fillId="0" borderId="24" xfId="0" applyBorder="1" applyAlignment="1">
      <alignment horizontal="left"/>
    </xf>
    <xf numFmtId="0" fontId="6" fillId="0" borderId="0" xfId="0" applyFont="1"/>
    <xf numFmtId="2" fontId="0" fillId="0" borderId="24" xfId="0" applyNumberFormat="1" applyBorder="1" applyAlignment="1">
      <alignment horizontal="right"/>
    </xf>
    <xf numFmtId="4" fontId="0" fillId="0" borderId="14" xfId="0" applyNumberFormat="1" applyBorder="1"/>
    <xf numFmtId="2" fontId="4" fillId="0" borderId="24" xfId="0" applyNumberFormat="1" applyFont="1" applyBorder="1"/>
    <xf numFmtId="2" fontId="3" fillId="0" borderId="0" xfId="0" applyNumberFormat="1" applyFont="1" applyBorder="1"/>
    <xf numFmtId="0" fontId="0" fillId="0" borderId="46" xfId="0" applyBorder="1" applyAlignment="1">
      <alignment horizontal="right"/>
    </xf>
    <xf numFmtId="0" fontId="3" fillId="0" borderId="65" xfId="0" applyFont="1" applyBorder="1"/>
    <xf numFmtId="2" fontId="3" fillId="0" borderId="65" xfId="0" applyNumberFormat="1" applyFont="1" applyBorder="1"/>
    <xf numFmtId="4" fontId="0" fillId="0" borderId="65" xfId="0" applyNumberFormat="1" applyBorder="1"/>
    <xf numFmtId="4" fontId="3" fillId="0" borderId="66" xfId="0" applyNumberFormat="1" applyFont="1" applyBorder="1"/>
    <xf numFmtId="183" fontId="0" fillId="0" borderId="0" xfId="0" applyNumberFormat="1"/>
    <xf numFmtId="165" fontId="3" fillId="0" borderId="0" xfId="0" applyNumberFormat="1" applyFont="1"/>
    <xf numFmtId="0" fontId="3" fillId="0" borderId="0" xfId="0" applyFont="1"/>
    <xf numFmtId="175" fontId="6" fillId="0" borderId="0" xfId="0" applyNumberFormat="1" applyFont="1"/>
    <xf numFmtId="0" fontId="0" fillId="0" borderId="0" xfId="0" applyAlignment="1">
      <alignment horizontal="center"/>
    </xf>
    <xf numFmtId="2" fontId="16" fillId="0" borderId="0" xfId="0" applyNumberFormat="1" applyFont="1"/>
    <xf numFmtId="0" fontId="28" fillId="0" borderId="0" xfId="0" applyFont="1"/>
    <xf numFmtId="0" fontId="12" fillId="0" borderId="67" xfId="0" applyFont="1" applyFill="1" applyBorder="1" applyAlignment="1">
      <alignment horizontal="center" vertical="center"/>
    </xf>
    <xf numFmtId="166" fontId="12" fillId="0" borderId="67" xfId="0" applyNumberFormat="1" applyFont="1" applyFill="1" applyBorder="1" applyAlignment="1">
      <alignment horizontal="center" vertical="center"/>
    </xf>
    <xf numFmtId="49" fontId="12" fillId="4" borderId="57" xfId="0" applyNumberFormat="1" applyFont="1" applyFill="1" applyBorder="1" applyAlignment="1">
      <alignment horizontal="left" wrapText="1"/>
    </xf>
    <xf numFmtId="0" fontId="15" fillId="0" borderId="68" xfId="0" applyFont="1" applyFill="1" applyBorder="1" applyAlignment="1">
      <alignment horizontal="center" vertical="center"/>
    </xf>
    <xf numFmtId="166" fontId="12" fillId="0" borderId="62" xfId="0" applyNumberFormat="1" applyFont="1" applyFill="1" applyBorder="1" applyAlignment="1">
      <alignment horizontal="center" vertical="center"/>
    </xf>
    <xf numFmtId="168" fontId="12" fillId="0" borderId="57" xfId="0" applyNumberFormat="1" applyFont="1" applyBorder="1" applyAlignment="1">
      <alignment horizontal="right"/>
    </xf>
    <xf numFmtId="168" fontId="12" fillId="0" borderId="57" xfId="0" applyNumberFormat="1" applyFont="1" applyFill="1" applyBorder="1" applyAlignment="1">
      <alignment horizontal="right"/>
    </xf>
    <xf numFmtId="168" fontId="12" fillId="0" borderId="57" xfId="0" applyNumberFormat="1" applyFont="1" applyFill="1" applyBorder="1" applyAlignment="1">
      <alignment horizontal="right" wrapText="1"/>
    </xf>
    <xf numFmtId="168" fontId="12" fillId="0" borderId="57" xfId="0" applyNumberFormat="1" applyFont="1" applyFill="1" applyBorder="1"/>
    <xf numFmtId="49" fontId="12" fillId="4" borderId="57" xfId="0" applyNumberFormat="1" applyFont="1" applyFill="1" applyBorder="1" applyAlignment="1">
      <alignment wrapText="1"/>
    </xf>
    <xf numFmtId="0" fontId="12" fillId="0" borderId="57" xfId="0" applyFont="1" applyFill="1" applyBorder="1" applyAlignment="1">
      <alignment horizontal="center" wrapText="1"/>
    </xf>
    <xf numFmtId="49" fontId="12" fillId="6" borderId="57" xfId="0" applyNumberFormat="1" applyFont="1" applyFill="1" applyBorder="1" applyAlignment="1">
      <alignment horizontal="left" wrapText="1"/>
    </xf>
    <xf numFmtId="0" fontId="12" fillId="6" borderId="57" xfId="0" applyFont="1" applyFill="1" applyBorder="1" applyAlignment="1">
      <alignment horizontal="left" vertical="center" wrapText="1"/>
    </xf>
    <xf numFmtId="49" fontId="12" fillId="6" borderId="57" xfId="0" applyNumberFormat="1" applyFont="1" applyFill="1" applyBorder="1" applyAlignment="1">
      <alignment horizontal="left" vertical="center" wrapText="1"/>
    </xf>
    <xf numFmtId="0" fontId="12" fillId="0" borderId="57" xfId="0" applyNumberFormat="1" applyFont="1" applyFill="1" applyBorder="1" applyAlignment="1">
      <alignment wrapText="1"/>
    </xf>
    <xf numFmtId="0" fontId="12" fillId="6" borderId="57" xfId="0" applyNumberFormat="1" applyFont="1" applyFill="1" applyBorder="1" applyAlignment="1">
      <alignment wrapText="1"/>
    </xf>
    <xf numFmtId="0" fontId="12" fillId="0" borderId="69" xfId="0" applyFont="1" applyFill="1" applyBorder="1" applyAlignment="1">
      <alignment horizontal="center" vertical="center"/>
    </xf>
    <xf numFmtId="0" fontId="15" fillId="6" borderId="57" xfId="0" applyNumberFormat="1" applyFont="1" applyFill="1" applyBorder="1" applyAlignment="1">
      <alignment wrapText="1"/>
    </xf>
    <xf numFmtId="0" fontId="15" fillId="0" borderId="62" xfId="0" applyFont="1" applyFill="1" applyBorder="1" applyAlignment="1">
      <alignment horizontal="center" vertical="center"/>
    </xf>
    <xf numFmtId="166" fontId="15" fillId="0" borderId="62" xfId="0" applyNumberFormat="1" applyFont="1" applyFill="1" applyBorder="1" applyAlignment="1">
      <alignment horizontal="center" vertical="center"/>
    </xf>
    <xf numFmtId="0" fontId="15" fillId="0" borderId="57" xfId="0" applyNumberFormat="1" applyFont="1" applyFill="1" applyBorder="1" applyAlignment="1">
      <alignment wrapText="1"/>
    </xf>
    <xf numFmtId="0" fontId="15" fillId="0" borderId="69" xfId="0" applyFont="1" applyFill="1" applyBorder="1" applyAlignment="1">
      <alignment horizontal="center" vertical="center"/>
    </xf>
    <xf numFmtId="168" fontId="12" fillId="0" borderId="62" xfId="0" applyNumberFormat="1" applyFont="1" applyFill="1" applyBorder="1" applyAlignment="1">
      <alignment horizontal="right"/>
    </xf>
    <xf numFmtId="49" fontId="12" fillId="7" borderId="62" xfId="0" applyNumberFormat="1" applyFont="1" applyFill="1" applyBorder="1" applyAlignment="1">
      <alignment horizontal="left" wrapText="1"/>
    </xf>
    <xf numFmtId="0" fontId="15" fillId="0" borderId="62" xfId="0" applyNumberFormat="1" applyFont="1" applyFill="1" applyBorder="1" applyAlignment="1">
      <alignment wrapText="1"/>
    </xf>
    <xf numFmtId="168" fontId="12" fillId="0" borderId="70" xfId="0" applyNumberFormat="1" applyFont="1" applyBorder="1" applyAlignment="1">
      <alignment horizontal="right"/>
    </xf>
    <xf numFmtId="49" fontId="12" fillId="3" borderId="62" xfId="0" applyNumberFormat="1" applyFont="1" applyFill="1" applyBorder="1" applyAlignment="1">
      <alignment horizontal="left" wrapText="1"/>
    </xf>
    <xf numFmtId="49" fontId="12" fillId="3" borderId="70" xfId="0" applyNumberFormat="1" applyFont="1" applyFill="1" applyBorder="1" applyAlignment="1">
      <alignment horizontal="left" wrapText="1"/>
    </xf>
    <xf numFmtId="49" fontId="12" fillId="3" borderId="57" xfId="0" applyNumberFormat="1" applyFont="1" applyFill="1" applyBorder="1" applyAlignment="1">
      <alignment horizontal="left" wrapText="1"/>
    </xf>
    <xf numFmtId="49" fontId="12" fillId="7" borderId="57" xfId="0" applyNumberFormat="1" applyFont="1" applyFill="1" applyBorder="1" applyAlignment="1">
      <alignment horizontal="left" wrapText="1"/>
    </xf>
    <xf numFmtId="0" fontId="12" fillId="3" borderId="57" xfId="0" applyNumberFormat="1" applyFont="1" applyFill="1" applyBorder="1" applyAlignment="1">
      <alignment wrapText="1"/>
    </xf>
    <xf numFmtId="49" fontId="15" fillId="0" borderId="57" xfId="0" applyNumberFormat="1" applyFont="1" applyFill="1" applyBorder="1" applyAlignment="1">
      <alignment horizontal="left" wrapText="1"/>
    </xf>
    <xf numFmtId="49" fontId="12" fillId="0" borderId="62" xfId="0" applyNumberFormat="1" applyFont="1" applyFill="1" applyBorder="1" applyAlignment="1">
      <alignment horizontal="left" vertical="center" wrapText="1"/>
    </xf>
    <xf numFmtId="0" fontId="12" fillId="7" borderId="62" xfId="0" applyNumberFormat="1" applyFont="1" applyFill="1" applyBorder="1" applyAlignment="1">
      <alignment horizontal="left" wrapText="1"/>
    </xf>
    <xf numFmtId="0" fontId="21" fillId="0" borderId="15" xfId="0" applyFont="1" applyFill="1" applyBorder="1" applyAlignment="1">
      <alignment vertical="center"/>
    </xf>
    <xf numFmtId="4" fontId="12" fillId="0" borderId="57" xfId="9" applyNumberFormat="1" applyFont="1" applyFill="1" applyBorder="1" applyAlignment="1">
      <alignment horizontal="center" wrapText="1"/>
    </xf>
    <xf numFmtId="4" fontId="20" fillId="0" borderId="0" xfId="0" applyNumberFormat="1" applyFont="1" applyFill="1" applyAlignment="1">
      <alignment horizontal="center" vertical="center"/>
    </xf>
    <xf numFmtId="4" fontId="23" fillId="0" borderId="4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center" vertical="center"/>
    </xf>
    <xf numFmtId="4" fontId="21" fillId="0" borderId="17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12" fillId="0" borderId="62" xfId="0" applyFont="1" applyFill="1" applyBorder="1" applyAlignment="1">
      <alignment horizontal="center"/>
    </xf>
    <xf numFmtId="0" fontId="12" fillId="0" borderId="70" xfId="0" applyFont="1" applyFill="1" applyBorder="1" applyAlignment="1">
      <alignment horizontal="center"/>
    </xf>
    <xf numFmtId="4" fontId="12" fillId="0" borderId="59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Alignment="1">
      <alignment horizontal="center" vertical="center"/>
    </xf>
    <xf numFmtId="166" fontId="20" fillId="0" borderId="0" xfId="0" applyNumberFormat="1" applyFont="1" applyAlignment="1">
      <alignment horizontal="center" vertical="center"/>
    </xf>
    <xf numFmtId="4" fontId="20" fillId="0" borderId="0" xfId="0" applyNumberFormat="1" applyFont="1" applyFill="1" applyAlignment="1">
      <alignment horizontal="left" vertical="center" wrapText="1"/>
    </xf>
    <xf numFmtId="4" fontId="20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/>
    </xf>
    <xf numFmtId="4" fontId="20" fillId="0" borderId="2" xfId="4" applyNumberFormat="1" applyFont="1" applyFill="1" applyBorder="1" applyAlignment="1">
      <alignment vertical="center"/>
    </xf>
    <xf numFmtId="3" fontId="20" fillId="8" borderId="0" xfId="4" applyFont="1" applyFill="1" applyBorder="1" applyAlignment="1">
      <alignment horizontal="center" vertical="center"/>
    </xf>
    <xf numFmtId="3" fontId="20" fillId="8" borderId="0" xfId="4" applyFont="1" applyFill="1" applyBorder="1" applyAlignment="1">
      <alignment horizontal="right" vertical="center"/>
    </xf>
    <xf numFmtId="180" fontId="20" fillId="8" borderId="0" xfId="4" applyNumberFormat="1" applyFont="1" applyFill="1" applyBorder="1" applyAlignment="1">
      <alignment horizontal="right" vertical="center"/>
    </xf>
    <xf numFmtId="3" fontId="20" fillId="8" borderId="58" xfId="4" applyFont="1" applyFill="1" applyBorder="1" applyAlignment="1">
      <alignment horizontal="left" vertical="center"/>
    </xf>
    <xf numFmtId="3" fontId="20" fillId="8" borderId="58" xfId="4" applyFont="1" applyFill="1" applyBorder="1" applyAlignment="1">
      <alignment horizontal="left" vertical="center" wrapText="1"/>
    </xf>
    <xf numFmtId="3" fontId="20" fillId="8" borderId="9" xfId="4" applyFont="1" applyFill="1" applyBorder="1" applyAlignment="1">
      <alignment horizontal="left" vertical="center"/>
    </xf>
    <xf numFmtId="3" fontId="20" fillId="8" borderId="71" xfId="4" applyFont="1" applyFill="1" applyBorder="1" applyAlignment="1">
      <alignment horizontal="left" vertical="center"/>
    </xf>
    <xf numFmtId="3" fontId="20" fillId="8" borderId="58" xfId="4" applyFont="1" applyFill="1" applyBorder="1" applyAlignment="1">
      <alignment horizontal="center" vertical="center"/>
    </xf>
    <xf numFmtId="3" fontId="20" fillId="8" borderId="2" xfId="4" applyFont="1" applyFill="1" applyBorder="1" applyAlignment="1">
      <alignment horizontal="center" vertical="center"/>
    </xf>
    <xf numFmtId="180" fontId="20" fillId="8" borderId="2" xfId="4" applyNumberFormat="1" applyFont="1" applyFill="1" applyBorder="1" applyAlignment="1">
      <alignment horizontal="right" vertical="center"/>
    </xf>
    <xf numFmtId="180" fontId="20" fillId="8" borderId="2" xfId="4" applyNumberFormat="1" applyFont="1" applyFill="1" applyBorder="1" applyAlignment="1">
      <alignment horizontal="center" vertical="center"/>
    </xf>
    <xf numFmtId="3" fontId="20" fillId="0" borderId="2" xfId="4" applyFont="1" applyFill="1" applyBorder="1" applyAlignment="1">
      <alignment horizontal="center" vertical="center"/>
    </xf>
    <xf numFmtId="180" fontId="20" fillId="0" borderId="2" xfId="4" applyNumberFormat="1" applyFont="1" applyFill="1" applyBorder="1" applyAlignment="1">
      <alignment horizontal="center" vertical="center"/>
    </xf>
    <xf numFmtId="175" fontId="20" fillId="0" borderId="2" xfId="4" applyNumberFormat="1" applyFont="1" applyFill="1" applyBorder="1" applyAlignment="1">
      <alignment horizontal="center" vertical="center"/>
    </xf>
    <xf numFmtId="3" fontId="20" fillId="8" borderId="13" xfId="4" applyFont="1" applyFill="1" applyBorder="1" applyAlignment="1">
      <alignment horizontal="right" vertical="center"/>
    </xf>
    <xf numFmtId="4" fontId="20" fillId="8" borderId="72" xfId="4" applyNumberFormat="1" applyFont="1" applyFill="1" applyBorder="1" applyAlignment="1">
      <alignment vertical="center"/>
    </xf>
    <xf numFmtId="180" fontId="20" fillId="0" borderId="2" xfId="4" applyNumberFormat="1" applyFont="1" applyFill="1" applyBorder="1" applyAlignment="1">
      <alignment horizontal="right" vertical="center"/>
    </xf>
    <xf numFmtId="3" fontId="20" fillId="8" borderId="2" xfId="4" applyFont="1" applyFill="1" applyBorder="1" applyAlignment="1">
      <alignment horizontal="right" vertical="center"/>
    </xf>
    <xf numFmtId="4" fontId="20" fillId="8" borderId="2" xfId="4" applyNumberFormat="1" applyFont="1" applyFill="1" applyBorder="1" applyAlignment="1">
      <alignment vertical="center"/>
    </xf>
    <xf numFmtId="4" fontId="20" fillId="8" borderId="2" xfId="4" applyNumberFormat="1" applyFont="1" applyFill="1" applyBorder="1" applyAlignment="1">
      <alignment horizontal="center" vertical="center"/>
    </xf>
    <xf numFmtId="182" fontId="20" fillId="8" borderId="2" xfId="4" applyNumberFormat="1" applyFont="1" applyFill="1" applyBorder="1" applyAlignment="1">
      <alignment horizontal="right" vertical="center"/>
    </xf>
    <xf numFmtId="2" fontId="20" fillId="0" borderId="2" xfId="4" applyNumberFormat="1" applyFont="1" applyFill="1" applyBorder="1" applyAlignment="1">
      <alignment horizontal="right" vertical="center"/>
    </xf>
    <xf numFmtId="175" fontId="20" fillId="8" borderId="2" xfId="4" applyNumberFormat="1" applyFont="1" applyFill="1" applyBorder="1" applyAlignment="1">
      <alignment horizontal="right" vertical="center"/>
    </xf>
    <xf numFmtId="3" fontId="32" fillId="9" borderId="2" xfId="4" quotePrefix="1" applyFont="1" applyFill="1" applyBorder="1" applyAlignment="1">
      <alignment horizontal="center" vertical="center"/>
    </xf>
    <xf numFmtId="2" fontId="20" fillId="8" borderId="2" xfId="4" applyNumberFormat="1" applyFont="1" applyFill="1" applyBorder="1" applyAlignment="1">
      <alignment horizontal="center" vertical="center"/>
    </xf>
    <xf numFmtId="3" fontId="20" fillId="0" borderId="58" xfId="4" applyFont="1" applyFill="1" applyBorder="1" applyAlignment="1">
      <alignment horizontal="center" vertical="center"/>
    </xf>
    <xf numFmtId="175" fontId="20" fillId="8" borderId="2" xfId="4" applyNumberFormat="1" applyFont="1" applyFill="1" applyBorder="1" applyAlignment="1">
      <alignment horizontal="center" vertical="center"/>
    </xf>
    <xf numFmtId="3" fontId="20" fillId="0" borderId="2" xfId="4" applyFont="1" applyFill="1" applyBorder="1" applyAlignment="1">
      <alignment vertical="center" wrapText="1"/>
    </xf>
    <xf numFmtId="4" fontId="20" fillId="0" borderId="2" xfId="4" applyNumberFormat="1" applyFont="1" applyFill="1" applyBorder="1" applyAlignment="1">
      <alignment horizontal="center" vertical="center"/>
    </xf>
    <xf numFmtId="2" fontId="20" fillId="0" borderId="2" xfId="4" applyNumberFormat="1" applyFont="1" applyFill="1" applyBorder="1" applyAlignment="1">
      <alignment horizontal="center" vertical="center"/>
    </xf>
    <xf numFmtId="3" fontId="20" fillId="0" borderId="58" xfId="4" applyFont="1" applyFill="1" applyBorder="1" applyAlignment="1">
      <alignment horizontal="left" vertical="center"/>
    </xf>
    <xf numFmtId="3" fontId="20" fillId="8" borderId="13" xfId="4" applyFont="1" applyFill="1" applyBorder="1" applyAlignment="1">
      <alignment horizontal="left" vertical="center"/>
    </xf>
    <xf numFmtId="180" fontId="20" fillId="0" borderId="58" xfId="4" applyNumberFormat="1" applyFont="1" applyFill="1" applyBorder="1" applyAlignment="1">
      <alignment horizontal="right" vertical="center"/>
    </xf>
    <xf numFmtId="3" fontId="20" fillId="8" borderId="2" xfId="4" applyFont="1" applyFill="1" applyBorder="1" applyAlignment="1">
      <alignment vertical="center" wrapText="1"/>
    </xf>
    <xf numFmtId="3" fontId="20" fillId="0" borderId="2" xfId="4" applyFont="1" applyBorder="1" applyAlignment="1">
      <alignment vertical="center" wrapText="1"/>
    </xf>
    <xf numFmtId="3" fontId="20" fillId="0" borderId="2" xfId="4" applyFont="1" applyBorder="1" applyAlignment="1">
      <alignment vertical="center"/>
    </xf>
    <xf numFmtId="3" fontId="20" fillId="0" borderId="2" xfId="4" applyFont="1" applyFill="1" applyBorder="1" applyAlignment="1">
      <alignment horizontal="left" vertical="center"/>
    </xf>
    <xf numFmtId="175" fontId="20" fillId="0" borderId="2" xfId="4" applyNumberFormat="1" applyFont="1" applyFill="1" applyBorder="1" applyAlignment="1">
      <alignment horizontal="right" vertical="center"/>
    </xf>
    <xf numFmtId="4" fontId="20" fillId="9" borderId="2" xfId="4" applyNumberFormat="1" applyFont="1" applyFill="1" applyBorder="1" applyAlignment="1">
      <alignment vertical="center"/>
    </xf>
    <xf numFmtId="184" fontId="20" fillId="8" borderId="61" xfId="4" applyNumberFormat="1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left" vertical="center"/>
    </xf>
    <xf numFmtId="166" fontId="23" fillId="0" borderId="2" xfId="0" applyNumberFormat="1" applyFont="1" applyFill="1" applyBorder="1" applyAlignment="1">
      <alignment horizontal="center" vertical="center"/>
    </xf>
    <xf numFmtId="166" fontId="23" fillId="0" borderId="2" xfId="0" applyNumberFormat="1" applyFont="1" applyFill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34" fillId="0" borderId="19" xfId="0" applyFont="1" applyBorder="1" applyAlignment="1">
      <alignment horizontal="center" vertical="center" wrapText="1"/>
    </xf>
    <xf numFmtId="0" fontId="34" fillId="0" borderId="19" xfId="0" applyFont="1" applyBorder="1" applyAlignment="1">
      <alignment vertical="center" wrapText="1"/>
    </xf>
    <xf numFmtId="0" fontId="35" fillId="0" borderId="19" xfId="0" applyFont="1" applyBorder="1" applyAlignment="1">
      <alignment horizontal="center" vertical="center" wrapText="1"/>
    </xf>
    <xf numFmtId="0" fontId="34" fillId="0" borderId="66" xfId="0" applyFont="1" applyBorder="1" applyAlignment="1">
      <alignment vertical="center" wrapText="1"/>
    </xf>
    <xf numFmtId="0" fontId="35" fillId="0" borderId="19" xfId="0" applyFont="1" applyBorder="1" applyAlignment="1">
      <alignment vertical="center" wrapText="1"/>
    </xf>
    <xf numFmtId="166" fontId="33" fillId="0" borderId="19" xfId="9" applyFont="1" applyBorder="1" applyAlignment="1">
      <alignment horizontal="center" vertical="center" wrapText="1"/>
    </xf>
    <xf numFmtId="166" fontId="0" fillId="0" borderId="0" xfId="0" applyNumberFormat="1"/>
    <xf numFmtId="0" fontId="20" fillId="0" borderId="73" xfId="0" applyFont="1" applyBorder="1"/>
    <xf numFmtId="0" fontId="3" fillId="0" borderId="0" xfId="0" applyFont="1" applyAlignment="1">
      <alignment horizontal="left" vertical="center"/>
    </xf>
    <xf numFmtId="183" fontId="3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0" fillId="10" borderId="85" xfId="0" applyFont="1" applyFill="1" applyBorder="1" applyAlignment="1">
      <alignment horizontal="center" vertical="center"/>
    </xf>
    <xf numFmtId="0" fontId="3" fillId="10" borderId="88" xfId="0" applyFont="1" applyFill="1" applyBorder="1" applyAlignment="1">
      <alignment horizontal="center" vertical="center"/>
    </xf>
    <xf numFmtId="0" fontId="3" fillId="0" borderId="89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3" fillId="0" borderId="91" xfId="0" applyFont="1" applyFill="1" applyBorder="1" applyAlignment="1">
      <alignment horizontal="center" vertical="center"/>
    </xf>
    <xf numFmtId="0" fontId="3" fillId="0" borderId="90" xfId="0" applyFont="1" applyBorder="1" applyAlignment="1">
      <alignment vertical="center"/>
    </xf>
    <xf numFmtId="43" fontId="3" fillId="0" borderId="91" xfId="0" applyNumberFormat="1" applyFont="1" applyBorder="1" applyAlignment="1">
      <alignment horizontal="right" vertical="center"/>
    </xf>
    <xf numFmtId="0" fontId="0" fillId="0" borderId="89" xfId="0" applyFont="1" applyBorder="1" applyAlignment="1">
      <alignment horizontal="center" vertical="center"/>
    </xf>
    <xf numFmtId="0" fontId="0" fillId="0" borderId="90" xfId="0" applyBorder="1" applyAlignment="1">
      <alignment vertical="center"/>
    </xf>
    <xf numFmtId="43" fontId="0" fillId="0" borderId="91" xfId="0" applyNumberFormat="1" applyFont="1" applyBorder="1" applyAlignment="1">
      <alignment vertical="center"/>
    </xf>
    <xf numFmtId="0" fontId="0" fillId="0" borderId="89" xfId="0" applyFont="1" applyBorder="1" applyAlignment="1">
      <alignment horizontal="right" vertical="center"/>
    </xf>
    <xf numFmtId="43" fontId="3" fillId="0" borderId="91" xfId="0" applyNumberFormat="1" applyFont="1" applyBorder="1" applyAlignment="1">
      <alignment vertical="center"/>
    </xf>
    <xf numFmtId="0" fontId="0" fillId="0" borderId="89" xfId="0" applyBorder="1" applyAlignment="1">
      <alignment horizontal="center" vertical="center"/>
    </xf>
    <xf numFmtId="0" fontId="0" fillId="0" borderId="90" xfId="0" applyFont="1" applyBorder="1" applyAlignment="1">
      <alignment horizontal="left" vertical="center"/>
    </xf>
    <xf numFmtId="0" fontId="0" fillId="0" borderId="90" xfId="0" applyBorder="1" applyAlignment="1">
      <alignment horizontal="justify" vertical="center"/>
    </xf>
    <xf numFmtId="0" fontId="0" fillId="0" borderId="90" xfId="0" applyFont="1" applyBorder="1" applyAlignment="1">
      <alignment vertical="center"/>
    </xf>
    <xf numFmtId="43" fontId="3" fillId="0" borderId="0" xfId="0" applyNumberFormat="1" applyFont="1" applyBorder="1" applyAlignment="1">
      <alignment vertical="center"/>
    </xf>
    <xf numFmtId="2" fontId="0" fillId="0" borderId="91" xfId="0" applyNumberFormat="1" applyFont="1" applyBorder="1" applyAlignment="1">
      <alignment vertical="center"/>
    </xf>
    <xf numFmtId="0" fontId="0" fillId="0" borderId="92" xfId="0" applyFont="1" applyBorder="1" applyAlignment="1">
      <alignment horizontal="right" vertical="center"/>
    </xf>
    <xf numFmtId="0" fontId="3" fillId="0" borderId="93" xfId="0" applyFont="1" applyBorder="1" applyAlignment="1">
      <alignment vertical="center"/>
    </xf>
    <xf numFmtId="2" fontId="3" fillId="0" borderId="94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3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43" fontId="0" fillId="0" borderId="91" xfId="0" applyNumberFormat="1" applyBorder="1" applyAlignment="1">
      <alignment horizontal="right" vertical="center"/>
    </xf>
    <xf numFmtId="0" fontId="0" fillId="10" borderId="96" xfId="0" applyFont="1" applyFill="1" applyBorder="1" applyAlignment="1">
      <alignment horizontal="center" vertical="center"/>
    </xf>
    <xf numFmtId="0" fontId="3" fillId="10" borderId="97" xfId="0" applyFont="1" applyFill="1" applyBorder="1" applyAlignment="1">
      <alignment horizontal="center" vertical="center"/>
    </xf>
    <xf numFmtId="0" fontId="3" fillId="0" borderId="98" xfId="0" applyFont="1" applyFill="1" applyBorder="1" applyAlignment="1">
      <alignment horizontal="center" vertical="center"/>
    </xf>
    <xf numFmtId="43" fontId="3" fillId="0" borderId="98" xfId="0" applyNumberFormat="1" applyFont="1" applyBorder="1" applyAlignment="1">
      <alignment horizontal="right" vertical="center"/>
    </xf>
    <xf numFmtId="43" fontId="0" fillId="0" borderId="98" xfId="0" applyNumberFormat="1" applyFont="1" applyBorder="1" applyAlignment="1">
      <alignment vertical="center"/>
    </xf>
    <xf numFmtId="43" fontId="3" fillId="0" borderId="98" xfId="0" applyNumberFormat="1" applyFont="1" applyBorder="1" applyAlignment="1">
      <alignment vertical="center"/>
    </xf>
    <xf numFmtId="2" fontId="0" fillId="0" borderId="98" xfId="0" applyNumberFormat="1" applyFont="1" applyBorder="1" applyAlignment="1">
      <alignment vertical="center"/>
    </xf>
    <xf numFmtId="2" fontId="3" fillId="0" borderId="95" xfId="0" applyNumberFormat="1" applyFont="1" applyBorder="1" applyAlignment="1">
      <alignment vertical="center"/>
    </xf>
    <xf numFmtId="3" fontId="20" fillId="0" borderId="24" xfId="4" applyFont="1" applyFill="1" applyBorder="1" applyAlignment="1">
      <alignment vertical="center"/>
    </xf>
    <xf numFmtId="3" fontId="20" fillId="0" borderId="2" xfId="4" applyFont="1" applyFill="1" applyBorder="1" applyAlignment="1">
      <alignment vertical="center"/>
    </xf>
    <xf numFmtId="0" fontId="20" fillId="0" borderId="0" xfId="0" applyFont="1"/>
    <xf numFmtId="0" fontId="34" fillId="0" borderId="19" xfId="0" applyFont="1" applyBorder="1" applyAlignment="1">
      <alignment horizontal="center" vertical="center" wrapText="1"/>
    </xf>
    <xf numFmtId="0" fontId="36" fillId="0" borderId="0" xfId="0" applyFont="1" applyAlignment="1">
      <alignment horizontal="justify" vertical="center"/>
    </xf>
    <xf numFmtId="0" fontId="35" fillId="0" borderId="0" xfId="0" applyFont="1" applyAlignment="1">
      <alignment horizontal="left" vertical="center" indent="3"/>
    </xf>
    <xf numFmtId="3" fontId="20" fillId="0" borderId="58" xfId="4" applyFont="1" applyFill="1" applyBorder="1" applyAlignment="1">
      <alignment horizontal="left" vertical="center" wrapText="1"/>
    </xf>
    <xf numFmtId="175" fontId="20" fillId="0" borderId="58" xfId="4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3" fontId="37" fillId="11" borderId="2" xfId="4" quotePrefix="1" applyFont="1" applyFill="1" applyBorder="1" applyAlignment="1">
      <alignment horizontal="center" vertical="center"/>
    </xf>
    <xf numFmtId="3" fontId="20" fillId="12" borderId="13" xfId="4" applyFont="1" applyFill="1" applyBorder="1" applyAlignment="1">
      <alignment horizontal="left" vertical="center"/>
    </xf>
    <xf numFmtId="3" fontId="20" fillId="12" borderId="0" xfId="4" applyFont="1" applyFill="1" applyBorder="1" applyAlignment="1">
      <alignment horizontal="center" vertical="center"/>
    </xf>
    <xf numFmtId="3" fontId="20" fillId="12" borderId="0" xfId="4" applyFont="1" applyFill="1" applyBorder="1" applyAlignment="1">
      <alignment horizontal="right" vertical="center"/>
    </xf>
    <xf numFmtId="180" fontId="20" fillId="12" borderId="0" xfId="4" applyNumberFormat="1" applyFont="1" applyFill="1" applyBorder="1" applyAlignment="1">
      <alignment horizontal="right" vertical="center"/>
    </xf>
    <xf numFmtId="3" fontId="20" fillId="12" borderId="58" xfId="4" applyFont="1" applyFill="1" applyBorder="1" applyAlignment="1">
      <alignment horizontal="left" vertical="center"/>
    </xf>
    <xf numFmtId="184" fontId="20" fillId="12" borderId="61" xfId="4" applyNumberFormat="1" applyFont="1" applyFill="1" applyBorder="1" applyAlignment="1">
      <alignment horizontal="left" vertical="center"/>
    </xf>
    <xf numFmtId="3" fontId="20" fillId="12" borderId="9" xfId="4" applyFont="1" applyFill="1" applyBorder="1" applyAlignment="1">
      <alignment horizontal="left" vertical="center"/>
    </xf>
    <xf numFmtId="3" fontId="20" fillId="12" borderId="71" xfId="4" applyFont="1" applyFill="1" applyBorder="1" applyAlignment="1">
      <alignment horizontal="left" vertical="center"/>
    </xf>
    <xf numFmtId="3" fontId="20" fillId="12" borderId="58" xfId="4" applyFont="1" applyFill="1" applyBorder="1" applyAlignment="1">
      <alignment horizontal="center" vertical="center"/>
    </xf>
    <xf numFmtId="3" fontId="20" fillId="12" borderId="2" xfId="4" applyFont="1" applyFill="1" applyBorder="1" applyAlignment="1">
      <alignment horizontal="center" vertical="center"/>
    </xf>
    <xf numFmtId="180" fontId="20" fillId="12" borderId="2" xfId="4" applyNumberFormat="1" applyFont="1" applyFill="1" applyBorder="1" applyAlignment="1">
      <alignment horizontal="right" vertical="center"/>
    </xf>
    <xf numFmtId="180" fontId="20" fillId="12" borderId="2" xfId="4" applyNumberFormat="1" applyFont="1" applyFill="1" applyBorder="1" applyAlignment="1">
      <alignment horizontal="center" vertical="center"/>
    </xf>
    <xf numFmtId="2" fontId="20" fillId="12" borderId="2" xfId="4" applyNumberFormat="1" applyFont="1" applyFill="1" applyBorder="1" applyAlignment="1">
      <alignment horizontal="center" vertical="center"/>
    </xf>
    <xf numFmtId="175" fontId="20" fillId="12" borderId="2" xfId="4" applyNumberFormat="1" applyFont="1" applyFill="1" applyBorder="1" applyAlignment="1">
      <alignment horizontal="center" vertical="center"/>
    </xf>
    <xf numFmtId="4" fontId="20" fillId="12" borderId="72" xfId="4" applyNumberFormat="1" applyFont="1" applyFill="1" applyBorder="1" applyAlignment="1">
      <alignment vertical="center"/>
    </xf>
    <xf numFmtId="2" fontId="20" fillId="12" borderId="2" xfId="4" applyNumberFormat="1" applyFont="1" applyFill="1" applyBorder="1" applyAlignment="1">
      <alignment horizontal="right" vertical="center"/>
    </xf>
    <xf numFmtId="4" fontId="20" fillId="12" borderId="2" xfId="4" applyNumberFormat="1" applyFont="1" applyFill="1" applyBorder="1" applyAlignment="1">
      <alignment horizontal="center" vertical="center"/>
    </xf>
    <xf numFmtId="3" fontId="20" fillId="12" borderId="58" xfId="4" applyFont="1" applyFill="1" applyBorder="1" applyAlignment="1">
      <alignment horizontal="left" vertical="center" wrapText="1"/>
    </xf>
    <xf numFmtId="4" fontId="20" fillId="12" borderId="2" xfId="4" applyNumberFormat="1" applyFont="1" applyFill="1" applyBorder="1" applyAlignment="1">
      <alignment vertical="center"/>
    </xf>
    <xf numFmtId="3" fontId="20" fillId="12" borderId="2" xfId="4" applyFont="1" applyFill="1" applyBorder="1" applyAlignment="1">
      <alignment horizontal="right" vertical="center"/>
    </xf>
    <xf numFmtId="182" fontId="20" fillId="12" borderId="2" xfId="4" applyNumberFormat="1" applyFont="1" applyFill="1" applyBorder="1" applyAlignment="1">
      <alignment horizontal="right" vertical="center"/>
    </xf>
    <xf numFmtId="175" fontId="20" fillId="12" borderId="2" xfId="4" applyNumberFormat="1" applyFont="1" applyFill="1" applyBorder="1" applyAlignment="1">
      <alignment horizontal="right" vertical="center"/>
    </xf>
    <xf numFmtId="3" fontId="20" fillId="12" borderId="13" xfId="4" applyFont="1" applyFill="1" applyBorder="1" applyAlignment="1">
      <alignment horizontal="right" vertical="center"/>
    </xf>
    <xf numFmtId="3" fontId="20" fillId="12" borderId="2" xfId="4" applyFont="1" applyFill="1" applyBorder="1" applyAlignment="1">
      <alignment vertical="center" wrapText="1"/>
    </xf>
    <xf numFmtId="4" fontId="20" fillId="11" borderId="2" xfId="4" applyNumberFormat="1" applyFont="1" applyFill="1" applyBorder="1" applyAlignment="1">
      <alignment vertical="center"/>
    </xf>
    <xf numFmtId="0" fontId="33" fillId="0" borderId="79" xfId="0" applyFont="1" applyBorder="1" applyAlignment="1">
      <alignment horizontal="center"/>
    </xf>
    <xf numFmtId="3" fontId="20" fillId="8" borderId="2" xfId="4" applyFont="1" applyFill="1" applyBorder="1" applyAlignment="1">
      <alignment horizontal="right" vertical="center"/>
    </xf>
    <xf numFmtId="3" fontId="20" fillId="8" borderId="13" xfId="4" applyFont="1" applyFill="1" applyBorder="1" applyAlignment="1">
      <alignment horizontal="right" vertical="center"/>
    </xf>
    <xf numFmtId="3" fontId="20" fillId="8" borderId="0" xfId="4" applyFont="1" applyFill="1" applyBorder="1" applyAlignment="1">
      <alignment horizontal="right" vertical="center"/>
    </xf>
    <xf numFmtId="0" fontId="34" fillId="0" borderId="19" xfId="0" applyFont="1" applyBorder="1" applyAlignment="1">
      <alignment horizontal="center" vertical="center" wrapText="1"/>
    </xf>
    <xf numFmtId="3" fontId="20" fillId="12" borderId="58" xfId="4" applyFont="1" applyFill="1" applyBorder="1" applyAlignment="1">
      <alignment horizontal="left" vertical="center" wrapText="1"/>
    </xf>
    <xf numFmtId="3" fontId="20" fillId="8" borderId="2" xfId="4" applyFont="1" applyFill="1" applyBorder="1" applyAlignment="1">
      <alignment horizontal="right" vertical="center"/>
    </xf>
    <xf numFmtId="3" fontId="20" fillId="8" borderId="58" xfId="4" applyFont="1" applyFill="1" applyBorder="1" applyAlignment="1">
      <alignment horizontal="left" vertical="center" wrapText="1"/>
    </xf>
    <xf numFmtId="3" fontId="20" fillId="8" borderId="13" xfId="4" applyFont="1" applyFill="1" applyBorder="1" applyAlignment="1">
      <alignment horizontal="right" vertical="center"/>
    </xf>
    <xf numFmtId="3" fontId="20" fillId="8" borderId="0" xfId="4" applyFont="1" applyFill="1" applyBorder="1" applyAlignment="1">
      <alignment horizontal="right" vertical="center"/>
    </xf>
    <xf numFmtId="0" fontId="34" fillId="0" borderId="15" xfId="0" applyFont="1" applyBorder="1" applyAlignment="1">
      <alignment vertical="center" wrapText="1"/>
    </xf>
    <xf numFmtId="3" fontId="21" fillId="0" borderId="79" xfId="4" applyFont="1" applyBorder="1" applyAlignment="1">
      <alignment vertical="center" wrapText="1"/>
    </xf>
    <xf numFmtId="49" fontId="34" fillId="0" borderId="79" xfId="0" applyNumberFormat="1" applyFont="1" applyFill="1" applyBorder="1" applyAlignment="1">
      <alignment horizontal="left" vertical="center" wrapText="1"/>
    </xf>
    <xf numFmtId="0" fontId="34" fillId="0" borderId="79" xfId="10" applyFont="1" applyFill="1" applyBorder="1" applyAlignment="1">
      <alignment horizontal="justify" vertical="center" wrapText="1"/>
    </xf>
    <xf numFmtId="0" fontId="34" fillId="0" borderId="73" xfId="0" applyFont="1" applyBorder="1"/>
    <xf numFmtId="3" fontId="34" fillId="8" borderId="79" xfId="4" applyFont="1" applyFill="1" applyBorder="1" applyAlignment="1">
      <alignment horizontal="left" vertical="center"/>
    </xf>
    <xf numFmtId="3" fontId="34" fillId="8" borderId="79" xfId="4" applyFont="1" applyFill="1" applyBorder="1" applyAlignment="1">
      <alignment vertical="center" wrapText="1"/>
    </xf>
    <xf numFmtId="3" fontId="34" fillId="0" borderId="79" xfId="4" applyFont="1" applyBorder="1" applyAlignment="1">
      <alignment vertical="center" wrapText="1"/>
    </xf>
    <xf numFmtId="4" fontId="20" fillId="8" borderId="2" xfId="4" applyNumberFormat="1" applyFont="1" applyFill="1" applyBorder="1" applyAlignment="1">
      <alignment horizontal="right" vertical="center"/>
    </xf>
    <xf numFmtId="0" fontId="4" fillId="0" borderId="0" xfId="0" applyFont="1"/>
    <xf numFmtId="182" fontId="20" fillId="8" borderId="2" xfId="4" applyNumberFormat="1" applyFont="1" applyFill="1" applyBorder="1" applyAlignment="1">
      <alignment horizontal="center" vertical="center"/>
    </xf>
    <xf numFmtId="0" fontId="23" fillId="0" borderId="99" xfId="0" applyFont="1" applyFill="1" applyBorder="1" applyAlignment="1">
      <alignment horizontal="center" vertical="center"/>
    </xf>
    <xf numFmtId="166" fontId="23" fillId="0" borderId="100" xfId="0" applyNumberFormat="1" applyFont="1" applyFill="1" applyBorder="1" applyAlignment="1">
      <alignment horizontal="center" vertical="center" wrapText="1"/>
    </xf>
    <xf numFmtId="49" fontId="21" fillId="14" borderId="0" xfId="0" applyNumberFormat="1" applyFont="1" applyFill="1" applyAlignment="1">
      <alignment horizontal="center" vertical="center"/>
    </xf>
    <xf numFmtId="4" fontId="21" fillId="14" borderId="0" xfId="0" applyNumberFormat="1" applyFont="1" applyFill="1" applyAlignment="1">
      <alignment horizontal="center" vertical="center"/>
    </xf>
    <xf numFmtId="3" fontId="20" fillId="14" borderId="0" xfId="4" applyFont="1" applyFill="1" applyBorder="1" applyAlignment="1">
      <alignment vertical="center"/>
    </xf>
    <xf numFmtId="4" fontId="20" fillId="14" borderId="0" xfId="0" applyNumberFormat="1" applyFont="1" applyFill="1" applyAlignment="1">
      <alignment horizontal="center" vertical="center"/>
    </xf>
    <xf numFmtId="0" fontId="36" fillId="0" borderId="0" xfId="0" applyFont="1" applyBorder="1" applyAlignment="1">
      <alignment horizontal="justify" vertical="center"/>
    </xf>
    <xf numFmtId="17" fontId="3" fillId="17" borderId="0" xfId="0" applyNumberFormat="1" applyFont="1" applyFill="1" applyBorder="1" applyAlignment="1">
      <alignment horizontal="center" vertical="center" wrapText="1"/>
    </xf>
    <xf numFmtId="0" fontId="2" fillId="16" borderId="0" xfId="0" applyFont="1" applyFill="1" applyBorder="1" applyAlignment="1">
      <alignment horizontal="center" vertical="center" wrapText="1"/>
    </xf>
    <xf numFmtId="4" fontId="2" fillId="16" borderId="0" xfId="0" applyNumberFormat="1" applyFont="1" applyFill="1" applyBorder="1" applyAlignment="1">
      <alignment horizontal="center" vertical="center" wrapText="1"/>
    </xf>
    <xf numFmtId="3" fontId="20" fillId="8" borderId="2" xfId="4" applyFont="1" applyFill="1" applyBorder="1" applyAlignment="1">
      <alignment horizontal="right" vertical="center"/>
    </xf>
    <xf numFmtId="3" fontId="20" fillId="8" borderId="58" xfId="4" applyFont="1" applyFill="1" applyBorder="1" applyAlignment="1">
      <alignment horizontal="left" vertical="center" wrapText="1"/>
    </xf>
    <xf numFmtId="3" fontId="20" fillId="8" borderId="13" xfId="4" applyFont="1" applyFill="1" applyBorder="1" applyAlignment="1">
      <alignment horizontal="right" vertical="center"/>
    </xf>
    <xf numFmtId="3" fontId="20" fillId="8" borderId="0" xfId="4" applyFont="1" applyFill="1" applyBorder="1" applyAlignment="1">
      <alignment horizontal="right" vertical="center"/>
    </xf>
    <xf numFmtId="3" fontId="20" fillId="12" borderId="13" xfId="4" applyFont="1" applyFill="1" applyBorder="1" applyAlignment="1">
      <alignment horizontal="right" vertical="center"/>
    </xf>
    <xf numFmtId="3" fontId="20" fillId="12" borderId="58" xfId="4" applyFont="1" applyFill="1" applyBorder="1" applyAlignment="1">
      <alignment horizontal="left" vertical="center" wrapText="1"/>
    </xf>
    <xf numFmtId="3" fontId="20" fillId="8" borderId="13" xfId="4" applyFont="1" applyFill="1" applyBorder="1" applyAlignment="1">
      <alignment horizontal="right" vertical="center"/>
    </xf>
    <xf numFmtId="3" fontId="20" fillId="8" borderId="0" xfId="4" applyFont="1" applyFill="1" applyBorder="1" applyAlignment="1">
      <alignment horizontal="right" vertical="center"/>
    </xf>
    <xf numFmtId="3" fontId="20" fillId="8" borderId="2" xfId="4" applyFont="1" applyFill="1" applyBorder="1" applyAlignment="1">
      <alignment horizontal="right" vertical="center"/>
    </xf>
    <xf numFmtId="3" fontId="20" fillId="8" borderId="58" xfId="4" applyFont="1" applyFill="1" applyBorder="1" applyAlignment="1">
      <alignment horizontal="left" vertical="center" wrapText="1"/>
    </xf>
    <xf numFmtId="3" fontId="37" fillId="11" borderId="58" xfId="4" quotePrefix="1" applyFont="1" applyFill="1" applyBorder="1" applyAlignment="1">
      <alignment horizontal="center" vertical="center"/>
    </xf>
    <xf numFmtId="3" fontId="20" fillId="12" borderId="0" xfId="4" applyFont="1" applyFill="1" applyBorder="1" applyAlignment="1">
      <alignment horizontal="left" vertical="center"/>
    </xf>
    <xf numFmtId="3" fontId="32" fillId="9" borderId="58" xfId="4" quotePrefix="1" applyFont="1" applyFill="1" applyBorder="1" applyAlignment="1">
      <alignment horizontal="center" vertical="center"/>
    </xf>
    <xf numFmtId="3" fontId="20" fillId="8" borderId="0" xfId="4" applyFont="1" applyFill="1" applyBorder="1" applyAlignment="1">
      <alignment horizontal="left" vertical="center"/>
    </xf>
    <xf numFmtId="0" fontId="20" fillId="8" borderId="58" xfId="4" applyNumberFormat="1" applyFont="1" applyFill="1" applyBorder="1" applyAlignment="1">
      <alignment horizontal="center" vertical="center"/>
    </xf>
    <xf numFmtId="3" fontId="20" fillId="0" borderId="2" xfId="4" applyFont="1" applyFill="1" applyBorder="1" applyAlignment="1">
      <alignment horizontal="left" vertical="center" wrapText="1"/>
    </xf>
    <xf numFmtId="0" fontId="20" fillId="0" borderId="2" xfId="4" applyNumberFormat="1" applyFont="1" applyFill="1" applyBorder="1" applyAlignment="1">
      <alignment horizontal="center" vertical="center"/>
    </xf>
    <xf numFmtId="2" fontId="20" fillId="15" borderId="2" xfId="4" applyNumberFormat="1" applyFont="1" applyFill="1" applyBorder="1" applyAlignment="1">
      <alignment horizontal="center" vertical="center"/>
    </xf>
    <xf numFmtId="4" fontId="20" fillId="15" borderId="2" xfId="4" applyNumberFormat="1" applyFont="1" applyFill="1" applyBorder="1" applyAlignment="1">
      <alignment horizontal="center" vertical="center"/>
    </xf>
    <xf numFmtId="166" fontId="20" fillId="15" borderId="41" xfId="4" applyNumberFormat="1" applyFont="1" applyFill="1" applyBorder="1" applyAlignment="1">
      <alignment horizontal="left" vertical="center" wrapText="1"/>
    </xf>
    <xf numFmtId="166" fontId="20" fillId="15" borderId="59" xfId="4" applyNumberFormat="1" applyFont="1" applyFill="1" applyBorder="1" applyAlignment="1">
      <alignment horizontal="center" vertical="center"/>
    </xf>
    <xf numFmtId="166" fontId="20" fillId="15" borderId="61" xfId="4" applyNumberFormat="1" applyFont="1" applyFill="1" applyBorder="1" applyAlignment="1">
      <alignment horizontal="left" vertical="center" wrapText="1"/>
    </xf>
    <xf numFmtId="166" fontId="20" fillId="15" borderId="59" xfId="4" applyNumberFormat="1" applyFont="1" applyFill="1" applyBorder="1" applyAlignment="1">
      <alignment horizontal="center" vertical="center" wrapText="1"/>
    </xf>
    <xf numFmtId="3" fontId="20" fillId="15" borderId="2" xfId="4" applyFont="1" applyFill="1" applyBorder="1" applyAlignment="1">
      <alignment vertical="center" wrapText="1"/>
    </xf>
    <xf numFmtId="0" fontId="20" fillId="15" borderId="2" xfId="4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3" fontId="16" fillId="13" borderId="99" xfId="0" applyNumberFormat="1" applyFont="1" applyFill="1" applyBorder="1" applyAlignment="1">
      <alignment horizontal="center" vertical="center"/>
    </xf>
    <xf numFmtId="4" fontId="6" fillId="13" borderId="2" xfId="0" applyNumberFormat="1" applyFont="1" applyFill="1" applyBorder="1" applyAlignment="1">
      <alignment horizontal="center" vertical="center"/>
    </xf>
    <xf numFmtId="166" fontId="6" fillId="13" borderId="2" xfId="0" applyNumberFormat="1" applyFont="1" applyFill="1" applyBorder="1" applyAlignment="1">
      <alignment horizontal="center" vertical="center"/>
    </xf>
    <xf numFmtId="166" fontId="16" fillId="13" borderId="2" xfId="0" applyNumberFormat="1" applyFont="1" applyFill="1" applyBorder="1" applyAlignment="1">
      <alignment horizontal="center" vertical="center"/>
    </xf>
    <xf numFmtId="166" fontId="16" fillId="13" borderId="100" xfId="9" applyNumberFormat="1" applyFont="1" applyFill="1" applyBorder="1" applyAlignment="1">
      <alignment horizontal="center" vertical="center"/>
    </xf>
    <xf numFmtId="3" fontId="6" fillId="0" borderId="99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166" fontId="6" fillId="0" borderId="2" xfId="0" applyNumberFormat="1" applyFont="1" applyFill="1" applyBorder="1" applyAlignment="1">
      <alignment horizontal="center" vertical="center"/>
    </xf>
    <xf numFmtId="166" fontId="6" fillId="0" borderId="100" xfId="9" applyNumberFormat="1" applyFont="1" applyFill="1" applyBorder="1" applyAlignment="1">
      <alignment horizontal="center" vertical="center"/>
    </xf>
    <xf numFmtId="0" fontId="6" fillId="0" borderId="2" xfId="10" applyFont="1" applyFill="1" applyBorder="1" applyAlignment="1">
      <alignment horizontal="justify" vertical="center" wrapText="1"/>
    </xf>
    <xf numFmtId="0" fontId="6" fillId="13" borderId="2" xfId="0" applyFont="1" applyFill="1" applyBorder="1" applyAlignment="1">
      <alignment horizontal="centerContinuous" vertical="center"/>
    </xf>
    <xf numFmtId="49" fontId="6" fillId="0" borderId="2" xfId="0" applyNumberFormat="1" applyFont="1" applyFill="1" applyBorder="1" applyAlignment="1">
      <alignment horizontal="center" vertical="center"/>
    </xf>
    <xf numFmtId="3" fontId="6" fillId="8" borderId="58" xfId="4" applyFont="1" applyFill="1" applyBorder="1" applyAlignment="1">
      <alignment horizontal="left" vertical="center"/>
    </xf>
    <xf numFmtId="3" fontId="6" fillId="0" borderId="2" xfId="4" applyFont="1" applyFill="1" applyBorder="1" applyAlignment="1">
      <alignment vertical="center" wrapText="1"/>
    </xf>
    <xf numFmtId="3" fontId="6" fillId="15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166" fontId="16" fillId="13" borderId="113" xfId="0" applyNumberFormat="1" applyFont="1" applyFill="1" applyBorder="1" applyAlignment="1">
      <alignment horizontal="center" vertical="center"/>
    </xf>
    <xf numFmtId="166" fontId="16" fillId="13" borderId="114" xfId="0" applyNumberFormat="1" applyFont="1" applyFill="1" applyBorder="1" applyAlignment="1">
      <alignment horizontal="center" vertical="center"/>
    </xf>
    <xf numFmtId="166" fontId="35" fillId="0" borderId="0" xfId="0" applyNumberFormat="1" applyFont="1" applyAlignment="1">
      <alignment horizontal="center" vertical="center"/>
    </xf>
    <xf numFmtId="180" fontId="20" fillId="12" borderId="58" xfId="4" applyNumberFormat="1" applyFont="1" applyFill="1" applyBorder="1" applyAlignment="1">
      <alignment horizontal="center" vertical="center"/>
    </xf>
    <xf numFmtId="166" fontId="20" fillId="0" borderId="41" xfId="4" applyNumberFormat="1" applyFont="1" applyFill="1" applyBorder="1" applyAlignment="1">
      <alignment horizontal="left" vertical="center" wrapText="1"/>
    </xf>
    <xf numFmtId="0" fontId="20" fillId="12" borderId="58" xfId="4" applyNumberFormat="1" applyFont="1" applyFill="1" applyBorder="1" applyAlignment="1">
      <alignment horizontal="center" vertical="center" wrapText="1"/>
    </xf>
    <xf numFmtId="3" fontId="20" fillId="0" borderId="58" xfId="4" applyFont="1" applyFill="1" applyBorder="1" applyAlignment="1">
      <alignment horizontal="center" vertical="center" wrapText="1"/>
    </xf>
    <xf numFmtId="3" fontId="20" fillId="12" borderId="58" xfId="4" applyFont="1" applyFill="1" applyBorder="1" applyAlignment="1">
      <alignment horizontal="center" vertical="center" wrapText="1"/>
    </xf>
    <xf numFmtId="0" fontId="20" fillId="12" borderId="58" xfId="4" applyNumberFormat="1" applyFont="1" applyFill="1" applyBorder="1" applyAlignment="1">
      <alignment horizontal="center" vertical="center"/>
    </xf>
    <xf numFmtId="180" fontId="20" fillId="0" borderId="58" xfId="4" applyNumberFormat="1" applyFont="1" applyFill="1" applyBorder="1" applyAlignment="1">
      <alignment horizontal="center" vertical="center"/>
    </xf>
    <xf numFmtId="2" fontId="20" fillId="0" borderId="2" xfId="0" applyNumberFormat="1" applyFont="1" applyBorder="1" applyAlignment="1">
      <alignment horizontal="center"/>
    </xf>
    <xf numFmtId="180" fontId="20" fillId="8" borderId="58" xfId="4" applyNumberFormat="1" applyFont="1" applyFill="1" applyBorder="1" applyAlignment="1">
      <alignment horizontal="center" vertical="center"/>
    </xf>
    <xf numFmtId="3" fontId="6" fillId="0" borderId="58" xfId="4" applyFont="1" applyFill="1" applyBorder="1" applyAlignment="1">
      <alignment horizontal="left" vertical="center"/>
    </xf>
    <xf numFmtId="185" fontId="42" fillId="0" borderId="100" xfId="0" applyNumberFormat="1" applyFont="1" applyFill="1" applyBorder="1" applyAlignment="1">
      <alignment vertical="center"/>
    </xf>
    <xf numFmtId="10" fontId="46" fillId="0" borderId="2" xfId="13" applyNumberFormat="1" applyFont="1" applyBorder="1" applyAlignment="1">
      <alignment horizontal="center"/>
    </xf>
    <xf numFmtId="10" fontId="46" fillId="0" borderId="2" xfId="13" applyNumberFormat="1" applyFont="1" applyBorder="1" applyAlignment="1" applyProtection="1">
      <alignment horizontal="center"/>
      <protection locked="0"/>
    </xf>
    <xf numFmtId="164" fontId="46" fillId="0" borderId="2" xfId="14" applyFont="1" applyBorder="1" applyAlignment="1" applyProtection="1">
      <alignment horizontal="center"/>
      <protection locked="0"/>
    </xf>
    <xf numFmtId="164" fontId="46" fillId="0" borderId="2" xfId="14" applyFont="1" applyBorder="1" applyAlignment="1">
      <alignment horizontal="center"/>
    </xf>
    <xf numFmtId="164" fontId="46" fillId="0" borderId="72" xfId="14" applyFont="1" applyBorder="1" applyAlignment="1">
      <alignment horizontal="center"/>
    </xf>
    <xf numFmtId="10" fontId="46" fillId="0" borderId="72" xfId="13" applyNumberFormat="1" applyFont="1" applyBorder="1" applyAlignment="1">
      <alignment horizontal="center"/>
    </xf>
    <xf numFmtId="164" fontId="46" fillId="0" borderId="26" xfId="14" applyFont="1" applyBorder="1" applyAlignment="1">
      <alignment horizontal="center"/>
    </xf>
    <xf numFmtId="0" fontId="46" fillId="0" borderId="2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/>
    </xf>
    <xf numFmtId="0" fontId="46" fillId="0" borderId="72" xfId="0" applyFont="1" applyBorder="1" applyAlignment="1">
      <alignment horizontal="center"/>
    </xf>
    <xf numFmtId="0" fontId="46" fillId="0" borderId="0" xfId="0" applyFont="1"/>
    <xf numFmtId="0" fontId="46" fillId="0" borderId="59" xfId="0" applyFont="1" applyBorder="1"/>
    <xf numFmtId="0" fontId="46" fillId="0" borderId="59" xfId="0" applyFont="1" applyBorder="1" applyAlignment="1">
      <alignment vertical="top"/>
    </xf>
    <xf numFmtId="0" fontId="46" fillId="0" borderId="26" xfId="0" applyFont="1" applyBorder="1" applyAlignment="1">
      <alignment vertical="top"/>
    </xf>
    <xf numFmtId="0" fontId="46" fillId="0" borderId="25" xfId="0" applyFont="1" applyBorder="1" applyAlignment="1" applyProtection="1">
      <protection locked="0"/>
    </xf>
    <xf numFmtId="10" fontId="46" fillId="0" borderId="26" xfId="0" applyNumberFormat="1" applyFont="1" applyBorder="1" applyAlignment="1" applyProtection="1">
      <protection locked="0"/>
    </xf>
    <xf numFmtId="0" fontId="46" fillId="0" borderId="26" xfId="0" applyFont="1" applyBorder="1" applyAlignment="1" applyProtection="1">
      <protection locked="0"/>
    </xf>
    <xf numFmtId="0" fontId="46" fillId="0" borderId="0" xfId="0" applyFont="1" applyBorder="1"/>
    <xf numFmtId="0" fontId="46" fillId="0" borderId="0" xfId="0" applyFont="1" applyBorder="1" applyAlignment="1" applyProtection="1">
      <alignment vertical="top"/>
      <protection locked="0"/>
    </xf>
    <xf numFmtId="0" fontId="46" fillId="0" borderId="13" xfId="0" applyFont="1" applyBorder="1" applyAlignment="1" applyProtection="1">
      <protection locked="0"/>
    </xf>
    <xf numFmtId="164" fontId="46" fillId="0" borderId="0" xfId="0" applyNumberFormat="1" applyFont="1"/>
    <xf numFmtId="10" fontId="46" fillId="0" borderId="0" xfId="0" applyNumberFormat="1" applyFont="1" applyAlignment="1" applyProtection="1">
      <protection locked="0"/>
    </xf>
    <xf numFmtId="0" fontId="46" fillId="0" borderId="0" xfId="0" applyFont="1" applyAlignment="1" applyProtection="1">
      <protection locked="0"/>
    </xf>
    <xf numFmtId="164" fontId="46" fillId="0" borderId="0" xfId="0" applyNumberFormat="1" applyFont="1" applyAlignment="1" applyProtection="1">
      <protection locked="0"/>
    </xf>
    <xf numFmtId="164" fontId="46" fillId="0" borderId="0" xfId="0" applyNumberFormat="1" applyFont="1" applyBorder="1" applyAlignment="1" applyProtection="1">
      <alignment vertical="top"/>
      <protection locked="0"/>
    </xf>
    <xf numFmtId="0" fontId="46" fillId="0" borderId="9" xfId="0" applyFont="1" applyBorder="1" applyProtection="1">
      <protection locked="0"/>
    </xf>
    <xf numFmtId="0" fontId="46" fillId="0" borderId="8" xfId="0" applyFont="1" applyBorder="1" applyProtection="1">
      <protection locked="0"/>
    </xf>
    <xf numFmtId="164" fontId="46" fillId="0" borderId="8" xfId="0" applyNumberFormat="1" applyFont="1" applyBorder="1" applyAlignment="1" applyProtection="1">
      <alignment vertical="top"/>
      <protection locked="0"/>
    </xf>
    <xf numFmtId="0" fontId="46" fillId="0" borderId="8" xfId="0" applyFont="1" applyBorder="1" applyAlignment="1" applyProtection="1">
      <alignment vertical="top"/>
      <protection locked="0"/>
    </xf>
    <xf numFmtId="0" fontId="46" fillId="0" borderId="0" xfId="0" quotePrefix="1" applyFont="1" applyBorder="1" applyAlignment="1" applyProtection="1">
      <alignment vertical="top"/>
      <protection locked="0"/>
    </xf>
    <xf numFmtId="10" fontId="0" fillId="0" borderId="0" xfId="0" applyNumberFormat="1"/>
    <xf numFmtId="164" fontId="0" fillId="0" borderId="0" xfId="0" applyNumberFormat="1"/>
    <xf numFmtId="9" fontId="0" fillId="0" borderId="0" xfId="5" applyFont="1"/>
    <xf numFmtId="166" fontId="38" fillId="0" borderId="0" xfId="9" applyNumberFormat="1" applyFont="1" applyFill="1" applyBorder="1" applyAlignment="1">
      <alignment horizontal="center" vertical="center"/>
    </xf>
    <xf numFmtId="166" fontId="38" fillId="0" borderId="0" xfId="9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Continuous" vertical="center"/>
    </xf>
    <xf numFmtId="186" fontId="20" fillId="0" borderId="2" xfId="4" applyNumberFormat="1" applyFont="1" applyFill="1" applyBorder="1" applyAlignment="1">
      <alignment horizontal="right" vertical="center"/>
    </xf>
    <xf numFmtId="172" fontId="20" fillId="0" borderId="59" xfId="4" applyNumberFormat="1" applyFont="1" applyFill="1" applyBorder="1" applyAlignment="1">
      <alignment horizontal="left" vertical="center"/>
    </xf>
    <xf numFmtId="0" fontId="3" fillId="0" borderId="0" xfId="3" applyFont="1" applyAlignment="1">
      <alignment horizontal="center"/>
    </xf>
    <xf numFmtId="0" fontId="5" fillId="0" borderId="73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5" fillId="0" borderId="66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7" fillId="0" borderId="0" xfId="0" applyFont="1" applyAlignment="1"/>
    <xf numFmtId="0" fontId="16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6" fillId="0" borderId="0" xfId="0" applyFont="1" applyAlignment="1"/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3" fillId="5" borderId="74" xfId="0" applyFont="1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5" borderId="64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6" fontId="38" fillId="0" borderId="0" xfId="9" applyNumberFormat="1" applyFont="1" applyFill="1" applyBorder="1" applyAlignment="1">
      <alignment horizontal="center" vertical="center"/>
    </xf>
    <xf numFmtId="0" fontId="41" fillId="0" borderId="2" xfId="0" applyFont="1" applyFill="1" applyBorder="1" applyAlignment="1">
      <alignment horizontal="center" vertical="center"/>
    </xf>
    <xf numFmtId="0" fontId="5" fillId="0" borderId="104" xfId="0" applyFont="1" applyFill="1" applyBorder="1" applyAlignment="1">
      <alignment horizontal="left" vertical="center"/>
    </xf>
    <xf numFmtId="0" fontId="5" fillId="0" borderId="105" xfId="0" applyFont="1" applyFill="1" applyBorder="1" applyAlignment="1">
      <alignment horizontal="left" vertical="center"/>
    </xf>
    <xf numFmtId="0" fontId="5" fillId="0" borderId="106" xfId="0" applyFont="1" applyFill="1" applyBorder="1" applyAlignment="1">
      <alignment horizontal="left" vertical="center"/>
    </xf>
    <xf numFmtId="0" fontId="5" fillId="0" borderId="107" xfId="0" applyFont="1" applyFill="1" applyBorder="1" applyAlignment="1">
      <alignment horizontal="left" vertical="center"/>
    </xf>
    <xf numFmtId="0" fontId="5" fillId="0" borderId="24" xfId="0" applyFont="1" applyFill="1" applyBorder="1" applyAlignment="1">
      <alignment horizontal="left" vertical="center"/>
    </xf>
    <xf numFmtId="0" fontId="5" fillId="0" borderId="108" xfId="0" applyFont="1" applyFill="1" applyBorder="1" applyAlignment="1">
      <alignment horizontal="left" vertical="center"/>
    </xf>
    <xf numFmtId="0" fontId="5" fillId="0" borderId="102" xfId="0" applyFont="1" applyFill="1" applyBorder="1" applyAlignment="1">
      <alignment horizontal="left" vertical="center"/>
    </xf>
    <xf numFmtId="0" fontId="5" fillId="0" borderId="72" xfId="0" applyFont="1" applyFill="1" applyBorder="1" applyAlignment="1">
      <alignment horizontal="left" vertical="center"/>
    </xf>
    <xf numFmtId="0" fontId="5" fillId="0" borderId="103" xfId="0" applyFont="1" applyFill="1" applyBorder="1" applyAlignment="1">
      <alignment horizontal="left" vertical="center"/>
    </xf>
    <xf numFmtId="0" fontId="51" fillId="0" borderId="115" xfId="0" applyFont="1" applyFill="1" applyBorder="1" applyAlignment="1">
      <alignment horizontal="center" vertical="center" wrapText="1"/>
    </xf>
    <xf numFmtId="0" fontId="51" fillId="0" borderId="59" xfId="0" applyFont="1" applyFill="1" applyBorder="1" applyAlignment="1">
      <alignment horizontal="center" vertical="center" wrapText="1"/>
    </xf>
    <xf numFmtId="0" fontId="51" fillId="0" borderId="101" xfId="0" applyFont="1" applyFill="1" applyBorder="1" applyAlignment="1">
      <alignment horizontal="center" vertical="center" wrapText="1"/>
    </xf>
    <xf numFmtId="49" fontId="16" fillId="13" borderId="58" xfId="0" applyNumberFormat="1" applyFont="1" applyFill="1" applyBorder="1" applyAlignment="1">
      <alignment horizontal="left" vertical="center"/>
    </xf>
    <xf numFmtId="49" fontId="16" fillId="13" borderId="61" xfId="0" applyNumberFormat="1" applyFont="1" applyFill="1" applyBorder="1" applyAlignment="1">
      <alignment horizontal="left" vertical="center"/>
    </xf>
    <xf numFmtId="0" fontId="16" fillId="13" borderId="2" xfId="0" applyFont="1" applyFill="1" applyBorder="1" applyAlignment="1">
      <alignment horizontal="left" vertical="center" wrapText="1"/>
    </xf>
    <xf numFmtId="0" fontId="39" fillId="0" borderId="99" xfId="0" applyFont="1" applyFill="1" applyBorder="1" applyAlignment="1">
      <alignment horizontal="left" vertical="center"/>
    </xf>
    <xf numFmtId="0" fontId="39" fillId="0" borderId="2" xfId="0" applyFont="1" applyFill="1" applyBorder="1" applyAlignment="1">
      <alignment horizontal="left" vertical="center"/>
    </xf>
    <xf numFmtId="0" fontId="41" fillId="0" borderId="99" xfId="0" applyFont="1" applyFill="1" applyBorder="1" applyAlignment="1">
      <alignment horizontal="left" vertical="center"/>
    </xf>
    <xf numFmtId="0" fontId="41" fillId="0" borderId="2" xfId="0" applyFont="1" applyFill="1" applyBorder="1" applyAlignment="1">
      <alignment horizontal="left" vertical="center"/>
    </xf>
    <xf numFmtId="0" fontId="42" fillId="0" borderId="2" xfId="0" applyFont="1" applyFill="1" applyBorder="1" applyAlignment="1">
      <alignment horizontal="left" vertical="center"/>
    </xf>
    <xf numFmtId="0" fontId="44" fillId="0" borderId="58" xfId="0" applyFont="1" applyFill="1" applyBorder="1" applyAlignment="1">
      <alignment horizontal="left" vertical="center"/>
    </xf>
    <xf numFmtId="0" fontId="44" fillId="0" borderId="59" xfId="0" applyFont="1" applyFill="1" applyBorder="1" applyAlignment="1">
      <alignment horizontal="left" vertical="center"/>
    </xf>
    <xf numFmtId="0" fontId="44" fillId="0" borderId="101" xfId="0" applyFont="1" applyFill="1" applyBorder="1" applyAlignment="1">
      <alignment horizontal="left" vertical="center"/>
    </xf>
    <xf numFmtId="0" fontId="41" fillId="0" borderId="58" xfId="0" applyFont="1" applyFill="1" applyBorder="1" applyAlignment="1">
      <alignment horizontal="right" vertical="center"/>
    </xf>
    <xf numFmtId="0" fontId="41" fillId="0" borderId="59" xfId="0" applyFont="1" applyFill="1" applyBorder="1" applyAlignment="1">
      <alignment horizontal="right" vertical="center"/>
    </xf>
    <xf numFmtId="0" fontId="41" fillId="0" borderId="61" xfId="0" applyFont="1" applyFill="1" applyBorder="1" applyAlignment="1">
      <alignment horizontal="right" vertical="center"/>
    </xf>
    <xf numFmtId="0" fontId="39" fillId="0" borderId="115" xfId="0" applyFont="1" applyFill="1" applyBorder="1" applyAlignment="1">
      <alignment horizontal="left" vertical="center"/>
    </xf>
    <xf numFmtId="0" fontId="39" fillId="0" borderId="59" xfId="0" applyFont="1" applyFill="1" applyBorder="1" applyAlignment="1">
      <alignment horizontal="left" vertical="center"/>
    </xf>
    <xf numFmtId="4" fontId="16" fillId="0" borderId="110" xfId="0" applyNumberFormat="1" applyFont="1" applyFill="1" applyBorder="1" applyAlignment="1">
      <alignment horizontal="center" vertical="center" wrapText="1"/>
    </xf>
    <xf numFmtId="4" fontId="16" fillId="0" borderId="111" xfId="0" applyNumberFormat="1" applyFont="1" applyFill="1" applyBorder="1" applyAlignment="1">
      <alignment horizontal="center" vertical="center" wrapText="1"/>
    </xf>
    <xf numFmtId="4" fontId="16" fillId="0" borderId="112" xfId="0" applyNumberFormat="1" applyFont="1" applyFill="1" applyBorder="1" applyAlignment="1">
      <alignment horizontal="center" vertical="center" wrapText="1"/>
    </xf>
    <xf numFmtId="2" fontId="20" fillId="8" borderId="42" xfId="4" applyNumberFormat="1" applyFont="1" applyFill="1" applyBorder="1" applyAlignment="1">
      <alignment horizontal="left" vertical="center"/>
    </xf>
    <xf numFmtId="2" fontId="20" fillId="8" borderId="109" xfId="4" applyNumberFormat="1" applyFont="1" applyFill="1" applyBorder="1" applyAlignment="1">
      <alignment horizontal="left" vertical="center"/>
    </xf>
    <xf numFmtId="2" fontId="20" fillId="8" borderId="75" xfId="4" applyNumberFormat="1" applyFont="1" applyFill="1" applyBorder="1" applyAlignment="1">
      <alignment horizontal="left" vertical="center"/>
    </xf>
    <xf numFmtId="2" fontId="20" fillId="8" borderId="76" xfId="4" applyNumberFormat="1" applyFont="1" applyFill="1" applyBorder="1" applyAlignment="1">
      <alignment horizontal="left" vertical="center"/>
    </xf>
    <xf numFmtId="2" fontId="20" fillId="8" borderId="41" xfId="4" applyNumberFormat="1" applyFont="1" applyFill="1" applyBorder="1" applyAlignment="1">
      <alignment horizontal="left" vertical="center"/>
    </xf>
    <xf numFmtId="2" fontId="20" fillId="8" borderId="58" xfId="4" applyNumberFormat="1" applyFont="1" applyFill="1" applyBorder="1" applyAlignment="1">
      <alignment horizontal="left" vertical="center"/>
    </xf>
    <xf numFmtId="2" fontId="20" fillId="8" borderId="59" xfId="4" applyNumberFormat="1" applyFont="1" applyFill="1" applyBorder="1" applyAlignment="1">
      <alignment horizontal="left" vertical="center"/>
    </xf>
    <xf numFmtId="2" fontId="20" fillId="8" borderId="61" xfId="4" applyNumberFormat="1" applyFont="1" applyFill="1" applyBorder="1" applyAlignment="1">
      <alignment horizontal="left" vertical="center"/>
    </xf>
    <xf numFmtId="2" fontId="21" fillId="8" borderId="58" xfId="4" applyNumberFormat="1" applyFont="1" applyFill="1" applyBorder="1" applyAlignment="1">
      <alignment horizontal="left" vertical="center"/>
    </xf>
    <xf numFmtId="2" fontId="21" fillId="8" borderId="59" xfId="4" applyNumberFormat="1" applyFont="1" applyFill="1" applyBorder="1" applyAlignment="1">
      <alignment horizontal="left" vertical="center"/>
    </xf>
    <xf numFmtId="2" fontId="21" fillId="8" borderId="61" xfId="4" applyNumberFormat="1" applyFont="1" applyFill="1" applyBorder="1" applyAlignment="1">
      <alignment horizontal="left" vertical="center"/>
    </xf>
    <xf numFmtId="3" fontId="21" fillId="0" borderId="58" xfId="4" applyFont="1" applyFill="1" applyBorder="1" applyAlignment="1">
      <alignment horizontal="center" vertical="center"/>
    </xf>
    <xf numFmtId="3" fontId="21" fillId="0" borderId="59" xfId="4" applyFont="1" applyFill="1" applyBorder="1" applyAlignment="1">
      <alignment horizontal="center" vertical="center"/>
    </xf>
    <xf numFmtId="3" fontId="21" fillId="0" borderId="61" xfId="4" applyFont="1" applyFill="1" applyBorder="1" applyAlignment="1">
      <alignment horizontal="center" vertical="center"/>
    </xf>
    <xf numFmtId="3" fontId="20" fillId="8" borderId="13" xfId="4" applyFont="1" applyFill="1" applyBorder="1" applyAlignment="1">
      <alignment horizontal="right" vertical="center"/>
    </xf>
    <xf numFmtId="3" fontId="20" fillId="8" borderId="0" xfId="4" applyFont="1" applyFill="1" applyBorder="1" applyAlignment="1">
      <alignment horizontal="right" vertical="center"/>
    </xf>
    <xf numFmtId="3" fontId="20" fillId="8" borderId="12" xfId="4" applyFont="1" applyFill="1" applyBorder="1" applyAlignment="1">
      <alignment horizontal="right" vertical="center"/>
    </xf>
    <xf numFmtId="3" fontId="20" fillId="8" borderId="2" xfId="4" applyFont="1" applyFill="1" applyBorder="1" applyAlignment="1">
      <alignment horizontal="right" vertical="center"/>
    </xf>
    <xf numFmtId="3" fontId="20" fillId="8" borderId="58" xfId="4" applyFont="1" applyFill="1" applyBorder="1" applyAlignment="1">
      <alignment horizontal="right" vertical="center"/>
    </xf>
    <xf numFmtId="3" fontId="20" fillId="8" borderId="59" xfId="4" applyFont="1" applyFill="1" applyBorder="1" applyAlignment="1">
      <alignment horizontal="right" vertical="center"/>
    </xf>
    <xf numFmtId="3" fontId="20" fillId="8" borderId="61" xfId="4" applyFont="1" applyFill="1" applyBorder="1" applyAlignment="1">
      <alignment horizontal="right" vertical="center"/>
    </xf>
    <xf numFmtId="3" fontId="21" fillId="9" borderId="58" xfId="4" applyFont="1" applyFill="1" applyBorder="1" applyAlignment="1">
      <alignment horizontal="center" vertical="center" wrapText="1"/>
    </xf>
    <xf numFmtId="3" fontId="21" fillId="9" borderId="59" xfId="4" applyFont="1" applyFill="1" applyBorder="1" applyAlignment="1">
      <alignment horizontal="center" vertical="center" wrapText="1"/>
    </xf>
    <xf numFmtId="3" fontId="21" fillId="9" borderId="61" xfId="4" applyFont="1" applyFill="1" applyBorder="1" applyAlignment="1">
      <alignment horizontal="center" vertical="center" wrapText="1"/>
    </xf>
    <xf numFmtId="3" fontId="20" fillId="8" borderId="58" xfId="4" applyFont="1" applyFill="1" applyBorder="1" applyAlignment="1">
      <alignment horizontal="left" vertical="center" wrapText="1"/>
    </xf>
    <xf numFmtId="3" fontId="20" fillId="8" borderId="59" xfId="4" applyFont="1" applyFill="1" applyBorder="1" applyAlignment="1">
      <alignment horizontal="left" vertical="center" wrapText="1"/>
    </xf>
    <xf numFmtId="3" fontId="20" fillId="8" borderId="61" xfId="4" applyFont="1" applyFill="1" applyBorder="1" applyAlignment="1">
      <alignment horizontal="left" vertical="center" wrapText="1"/>
    </xf>
    <xf numFmtId="3" fontId="20" fillId="12" borderId="2" xfId="4" applyFont="1" applyFill="1" applyBorder="1" applyAlignment="1">
      <alignment horizontal="right" vertical="center"/>
    </xf>
    <xf numFmtId="3" fontId="21" fillId="11" borderId="58" xfId="4" applyFont="1" applyFill="1" applyBorder="1" applyAlignment="1">
      <alignment horizontal="center" vertical="center" wrapText="1"/>
    </xf>
    <xf numFmtId="3" fontId="21" fillId="11" borderId="59" xfId="4" applyFont="1" applyFill="1" applyBorder="1" applyAlignment="1">
      <alignment horizontal="center" vertical="center" wrapText="1"/>
    </xf>
    <xf numFmtId="3" fontId="21" fillId="11" borderId="61" xfId="4" applyFont="1" applyFill="1" applyBorder="1" applyAlignment="1">
      <alignment horizontal="center" vertical="center" wrapText="1"/>
    </xf>
    <xf numFmtId="3" fontId="20" fillId="12" borderId="58" xfId="4" applyFont="1" applyFill="1" applyBorder="1" applyAlignment="1">
      <alignment horizontal="left" vertical="center" wrapText="1"/>
    </xf>
    <xf numFmtId="3" fontId="20" fillId="12" borderId="59" xfId="4" applyFont="1" applyFill="1" applyBorder="1" applyAlignment="1">
      <alignment horizontal="left" vertical="center" wrapText="1"/>
    </xf>
    <xf numFmtId="3" fontId="20" fillId="12" borderId="61" xfId="4" applyFont="1" applyFill="1" applyBorder="1" applyAlignment="1">
      <alignment horizontal="left" vertical="center" wrapText="1"/>
    </xf>
    <xf numFmtId="3" fontId="20" fillId="12" borderId="13" xfId="4" applyFont="1" applyFill="1" applyBorder="1" applyAlignment="1">
      <alignment horizontal="right" vertical="center"/>
    </xf>
    <xf numFmtId="3" fontId="20" fillId="12" borderId="0" xfId="4" applyFont="1" applyFill="1" applyBorder="1" applyAlignment="1">
      <alignment horizontal="right" vertical="center"/>
    </xf>
    <xf numFmtId="3" fontId="20" fillId="12" borderId="12" xfId="4" applyFont="1" applyFill="1" applyBorder="1" applyAlignment="1">
      <alignment horizontal="right" vertical="center"/>
    </xf>
    <xf numFmtId="3" fontId="20" fillId="12" borderId="58" xfId="4" applyFont="1" applyFill="1" applyBorder="1" applyAlignment="1">
      <alignment horizontal="right" vertical="center"/>
    </xf>
    <xf numFmtId="3" fontId="20" fillId="12" borderId="59" xfId="4" applyFont="1" applyFill="1" applyBorder="1" applyAlignment="1">
      <alignment horizontal="right" vertical="center"/>
    </xf>
    <xf numFmtId="3" fontId="20" fillId="12" borderId="61" xfId="4" applyFont="1" applyFill="1" applyBorder="1" applyAlignment="1">
      <alignment horizontal="right" vertical="center"/>
    </xf>
    <xf numFmtId="2" fontId="20" fillId="12" borderId="42" xfId="4" applyNumberFormat="1" applyFont="1" applyFill="1" applyBorder="1" applyAlignment="1">
      <alignment horizontal="left" vertical="center"/>
    </xf>
    <xf numFmtId="2" fontId="20" fillId="12" borderId="109" xfId="4" applyNumberFormat="1" applyFont="1" applyFill="1" applyBorder="1" applyAlignment="1">
      <alignment horizontal="left" vertical="center"/>
    </xf>
    <xf numFmtId="2" fontId="20" fillId="12" borderId="75" xfId="4" applyNumberFormat="1" applyFont="1" applyFill="1" applyBorder="1" applyAlignment="1">
      <alignment horizontal="left" vertical="center"/>
    </xf>
    <xf numFmtId="2" fontId="20" fillId="12" borderId="76" xfId="4" applyNumberFormat="1" applyFont="1" applyFill="1" applyBorder="1" applyAlignment="1">
      <alignment horizontal="left" vertical="center"/>
    </xf>
    <xf numFmtId="2" fontId="20" fillId="12" borderId="41" xfId="4" applyNumberFormat="1" applyFont="1" applyFill="1" applyBorder="1" applyAlignment="1">
      <alignment horizontal="left" vertical="center"/>
    </xf>
    <xf numFmtId="2" fontId="20" fillId="12" borderId="58" xfId="4" applyNumberFormat="1" applyFont="1" applyFill="1" applyBorder="1" applyAlignment="1">
      <alignment horizontal="left" vertical="center"/>
    </xf>
    <xf numFmtId="2" fontId="20" fillId="12" borderId="59" xfId="4" applyNumberFormat="1" applyFont="1" applyFill="1" applyBorder="1" applyAlignment="1">
      <alignment horizontal="left" vertical="center"/>
    </xf>
    <xf numFmtId="2" fontId="20" fillId="12" borderId="61" xfId="4" applyNumberFormat="1" applyFont="1" applyFill="1" applyBorder="1" applyAlignment="1">
      <alignment horizontal="left" vertical="center"/>
    </xf>
    <xf numFmtId="2" fontId="21" fillId="12" borderId="58" xfId="4" applyNumberFormat="1" applyFont="1" applyFill="1" applyBorder="1" applyAlignment="1">
      <alignment horizontal="left" vertical="center"/>
    </xf>
    <xf numFmtId="2" fontId="21" fillId="12" borderId="59" xfId="4" applyNumberFormat="1" applyFont="1" applyFill="1" applyBorder="1" applyAlignment="1">
      <alignment horizontal="left" vertical="center"/>
    </xf>
    <xf numFmtId="2" fontId="21" fillId="12" borderId="61" xfId="4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justify" vertical="top" wrapText="1"/>
    </xf>
    <xf numFmtId="0" fontId="27" fillId="0" borderId="0" xfId="0" applyFont="1" applyBorder="1" applyAlignment="1">
      <alignment horizontal="justify" vertical="center"/>
    </xf>
    <xf numFmtId="0" fontId="3" fillId="10" borderId="83" xfId="0" applyFont="1" applyFill="1" applyBorder="1" applyAlignment="1">
      <alignment horizontal="center" vertical="center"/>
    </xf>
    <xf numFmtId="0" fontId="3" fillId="10" borderId="86" xfId="0" applyFont="1" applyFill="1" applyBorder="1" applyAlignment="1">
      <alignment horizontal="center" vertical="center"/>
    </xf>
    <xf numFmtId="0" fontId="3" fillId="10" borderId="84" xfId="0" applyFont="1" applyFill="1" applyBorder="1" applyAlignment="1">
      <alignment horizontal="center" vertical="center"/>
    </xf>
    <xf numFmtId="0" fontId="3" fillId="10" borderId="8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7" fillId="19" borderId="26" xfId="0" applyFont="1" applyFill="1" applyBorder="1" applyAlignment="1">
      <alignment horizontal="center" vertical="center"/>
    </xf>
    <xf numFmtId="0" fontId="47" fillId="19" borderId="0" xfId="0" applyFont="1" applyFill="1" applyAlignment="1">
      <alignment horizontal="center" vertical="center"/>
    </xf>
    <xf numFmtId="0" fontId="46" fillId="0" borderId="13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6" fillId="0" borderId="9" xfId="0" applyFont="1" applyBorder="1" applyAlignment="1">
      <alignment horizontal="center" vertical="center"/>
    </xf>
    <xf numFmtId="0" fontId="46" fillId="0" borderId="71" xfId="0" applyFont="1" applyBorder="1" applyAlignment="1">
      <alignment horizontal="center" vertical="center"/>
    </xf>
    <xf numFmtId="0" fontId="46" fillId="0" borderId="2" xfId="0" applyFont="1" applyBorder="1" applyAlignment="1" applyProtection="1">
      <alignment horizontal="left" vertical="top"/>
      <protection locked="0"/>
    </xf>
    <xf numFmtId="10" fontId="46" fillId="0" borderId="8" xfId="0" applyNumberFormat="1" applyFont="1" applyBorder="1" applyAlignment="1" applyProtection="1">
      <alignment horizontal="center"/>
      <protection locked="0"/>
    </xf>
    <xf numFmtId="0" fontId="46" fillId="0" borderId="8" xfId="0" applyFont="1" applyBorder="1" applyAlignment="1" applyProtection="1">
      <alignment horizontal="center"/>
      <protection locked="0"/>
    </xf>
    <xf numFmtId="164" fontId="46" fillId="0" borderId="8" xfId="0" applyNumberFormat="1" applyFont="1" applyBorder="1" applyAlignment="1" applyProtection="1">
      <alignment horizontal="center"/>
      <protection locked="0"/>
    </xf>
    <xf numFmtId="10" fontId="46" fillId="0" borderId="26" xfId="0" applyNumberFormat="1" applyFont="1" applyBorder="1" applyAlignment="1" applyProtection="1">
      <alignment horizontal="left"/>
      <protection locked="0"/>
    </xf>
    <xf numFmtId="0" fontId="46" fillId="0" borderId="26" xfId="0" applyFont="1" applyBorder="1" applyAlignment="1" applyProtection="1">
      <alignment horizontal="left"/>
      <protection locked="0"/>
    </xf>
    <xf numFmtId="164" fontId="46" fillId="0" borderId="26" xfId="0" applyNumberFormat="1" applyFont="1" applyBorder="1" applyAlignment="1" applyProtection="1">
      <alignment horizontal="center"/>
      <protection locked="0"/>
    </xf>
    <xf numFmtId="0" fontId="46" fillId="0" borderId="26" xfId="0" applyFont="1" applyBorder="1" applyAlignment="1" applyProtection="1">
      <alignment horizontal="center"/>
      <protection locked="0"/>
    </xf>
    <xf numFmtId="10" fontId="46" fillId="0" borderId="8" xfId="0" applyNumberFormat="1" applyFont="1" applyBorder="1" applyAlignment="1" applyProtection="1">
      <alignment horizontal="left"/>
      <protection locked="0"/>
    </xf>
    <xf numFmtId="0" fontId="46" fillId="0" borderId="8" xfId="0" applyFont="1" applyBorder="1" applyAlignment="1" applyProtection="1">
      <alignment horizontal="left"/>
      <protection locked="0"/>
    </xf>
    <xf numFmtId="0" fontId="46" fillId="0" borderId="2" xfId="0" applyFont="1" applyBorder="1" applyAlignment="1" applyProtection="1">
      <alignment horizontal="center" vertical="center"/>
      <protection locked="0"/>
    </xf>
    <xf numFmtId="0" fontId="46" fillId="0" borderId="2" xfId="0" applyFont="1" applyBorder="1" applyAlignment="1" applyProtection="1">
      <alignment vertical="center"/>
      <protection locked="0"/>
    </xf>
    <xf numFmtId="0" fontId="46" fillId="0" borderId="35" xfId="0" applyFont="1" applyBorder="1" applyAlignment="1" applyProtection="1">
      <alignment vertical="center" wrapText="1"/>
      <protection locked="0"/>
    </xf>
    <xf numFmtId="0" fontId="46" fillId="0" borderId="72" xfId="0" applyFont="1" applyBorder="1" applyAlignment="1" applyProtection="1">
      <alignment vertical="center" wrapText="1"/>
      <protection locked="0"/>
    </xf>
    <xf numFmtId="49" fontId="46" fillId="0" borderId="2" xfId="0" applyNumberFormat="1" applyFont="1" applyBorder="1" applyAlignment="1" applyProtection="1">
      <alignment vertical="center"/>
      <protection locked="0"/>
    </xf>
    <xf numFmtId="0" fontId="46" fillId="0" borderId="25" xfId="0" applyFont="1" applyBorder="1" applyAlignment="1" applyProtection="1">
      <alignment horizontal="center" vertical="center" wrapText="1"/>
      <protection locked="0"/>
    </xf>
    <xf numFmtId="0" fontId="46" fillId="0" borderId="116" xfId="0" applyFont="1" applyBorder="1" applyAlignment="1" applyProtection="1">
      <alignment horizontal="center" vertical="center" wrapText="1"/>
      <protection locked="0"/>
    </xf>
    <xf numFmtId="0" fontId="46" fillId="0" borderId="9" xfId="0" applyFont="1" applyBorder="1" applyAlignment="1" applyProtection="1">
      <alignment horizontal="center" vertical="center" wrapText="1"/>
      <protection locked="0"/>
    </xf>
    <xf numFmtId="0" fontId="46" fillId="0" borderId="71" xfId="0" applyFont="1" applyBorder="1" applyAlignment="1" applyProtection="1">
      <alignment horizontal="center" vertical="center" wrapText="1"/>
      <protection locked="0"/>
    </xf>
    <xf numFmtId="0" fontId="50" fillId="0" borderId="2" xfId="0" applyFont="1" applyBorder="1" applyAlignment="1" applyProtection="1">
      <alignment horizontal="center"/>
      <protection locked="0"/>
    </xf>
    <xf numFmtId="0" fontId="46" fillId="0" borderId="2" xfId="0" applyFont="1" applyBorder="1" applyAlignment="1" applyProtection="1">
      <alignment horizontal="left" vertical="center"/>
      <protection locked="0"/>
    </xf>
    <xf numFmtId="0" fontId="46" fillId="0" borderId="13" xfId="0" applyFont="1" applyBorder="1" applyAlignment="1" applyProtection="1">
      <alignment horizontal="right" vertical="center"/>
      <protection locked="0"/>
    </xf>
    <xf numFmtId="0" fontId="46" fillId="0" borderId="0" xfId="0" applyFont="1" applyBorder="1" applyAlignment="1" applyProtection="1">
      <alignment horizontal="right" vertical="center"/>
      <protection locked="0"/>
    </xf>
    <xf numFmtId="164" fontId="46" fillId="0" borderId="0" xfId="14" applyFont="1" applyBorder="1" applyAlignment="1" applyProtection="1">
      <alignment horizontal="left" vertical="center"/>
      <protection locked="0"/>
    </xf>
    <xf numFmtId="164" fontId="46" fillId="0" borderId="12" xfId="14" applyFont="1" applyBorder="1" applyAlignment="1" applyProtection="1">
      <alignment horizontal="left" vertical="center"/>
      <protection locked="0"/>
    </xf>
    <xf numFmtId="17" fontId="46" fillId="0" borderId="58" xfId="0" applyNumberFormat="1" applyFont="1" applyBorder="1" applyAlignment="1" applyProtection="1">
      <alignment horizontal="center" vertical="center"/>
      <protection locked="0"/>
    </xf>
    <xf numFmtId="17" fontId="46" fillId="0" borderId="59" xfId="0" applyNumberFormat="1" applyFont="1" applyBorder="1" applyAlignment="1" applyProtection="1">
      <alignment horizontal="center" vertical="center"/>
      <protection locked="0"/>
    </xf>
    <xf numFmtId="0" fontId="34" fillId="0" borderId="3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34" fillId="0" borderId="19" xfId="0" applyFont="1" applyBorder="1" applyAlignment="1">
      <alignment horizontal="center" vertical="center" wrapText="1"/>
    </xf>
    <xf numFmtId="0" fontId="4" fillId="0" borderId="73" xfId="0" applyFon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66" xfId="0" applyBorder="1" applyAlignment="1">
      <alignment horizontal="center"/>
    </xf>
    <xf numFmtId="0" fontId="34" fillId="0" borderId="80" xfId="0" applyFont="1" applyBorder="1" applyAlignment="1">
      <alignment vertical="center" wrapText="1"/>
    </xf>
    <xf numFmtId="0" fontId="34" fillId="0" borderId="81" xfId="0" applyFont="1" applyBorder="1" applyAlignment="1">
      <alignment vertical="center" wrapText="1"/>
    </xf>
    <xf numFmtId="0" fontId="34" fillId="0" borderId="82" xfId="0" applyFont="1" applyBorder="1" applyAlignment="1">
      <alignment vertical="center" wrapText="1"/>
    </xf>
    <xf numFmtId="0" fontId="34" fillId="0" borderId="80" xfId="0" applyFont="1" applyBorder="1" applyAlignment="1">
      <alignment horizontal="center" vertical="center" wrapText="1"/>
    </xf>
    <xf numFmtId="0" fontId="34" fillId="0" borderId="81" xfId="0" applyFont="1" applyBorder="1" applyAlignment="1">
      <alignment horizontal="center" vertical="center" wrapText="1"/>
    </xf>
    <xf numFmtId="0" fontId="34" fillId="0" borderId="82" xfId="0" applyFont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0" fillId="1" borderId="2" xfId="0" applyNumberFormat="1" applyFill="1" applyBorder="1" applyAlignment="1">
      <alignment horizontal="center" vertical="center"/>
    </xf>
    <xf numFmtId="4" fontId="4" fillId="0" borderId="7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0" borderId="66" xfId="0" applyNumberFormat="1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center" vertical="center"/>
    </xf>
    <xf numFmtId="4" fontId="5" fillId="0" borderId="58" xfId="0" applyNumberFormat="1" applyFont="1" applyFill="1" applyBorder="1" applyAlignment="1">
      <alignment horizontal="center" vertical="center" wrapText="1"/>
    </xf>
    <xf numFmtId="4" fontId="5" fillId="0" borderId="59" xfId="0" applyNumberFormat="1" applyFont="1" applyFill="1" applyBorder="1" applyAlignment="1">
      <alignment horizontal="center" vertical="center" wrapText="1"/>
    </xf>
    <xf numFmtId="4" fontId="5" fillId="0" borderId="6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6" xfId="0" applyBorder="1" applyAlignment="1">
      <alignment horizontal="center"/>
    </xf>
    <xf numFmtId="0" fontId="12" fillId="0" borderId="18" xfId="0" applyFont="1" applyBorder="1" applyAlignment="1">
      <alignment horizontal="left"/>
    </xf>
    <xf numFmtId="0" fontId="12" fillId="0" borderId="17" xfId="0" applyFont="1" applyBorder="1" applyAlignment="1">
      <alignment horizontal="left"/>
    </xf>
    <xf numFmtId="0" fontId="12" fillId="0" borderId="16" xfId="0" applyFont="1" applyBorder="1" applyAlignment="1">
      <alignment horizontal="left"/>
    </xf>
    <xf numFmtId="0" fontId="13" fillId="0" borderId="77" xfId="0" quotePrefix="1" applyFont="1" applyBorder="1" applyAlignment="1" applyProtection="1">
      <alignment horizontal="center" vertical="center"/>
      <protection locked="0"/>
    </xf>
    <xf numFmtId="0" fontId="0" fillId="0" borderId="21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13" fillId="0" borderId="77" xfId="0" applyFont="1" applyBorder="1" applyAlignment="1" applyProtection="1">
      <alignment horizontal="right" vertical="center"/>
      <protection locked="0"/>
    </xf>
    <xf numFmtId="0" fontId="0" fillId="0" borderId="21" xfId="0" applyBorder="1" applyAlignment="1">
      <alignment horizontal="right" vertical="center"/>
    </xf>
    <xf numFmtId="0" fontId="0" fillId="0" borderId="15" xfId="0" applyBorder="1" applyAlignment="1">
      <alignment horizontal="center"/>
    </xf>
    <xf numFmtId="0" fontId="0" fillId="0" borderId="18" xfId="0" applyBorder="1" applyAlignment="1">
      <alignment horizontal="center"/>
    </xf>
    <xf numFmtId="0" fontId="4" fillId="0" borderId="0" xfId="0" applyFont="1" applyAlignment="1">
      <alignment horizontal="justify"/>
    </xf>
    <xf numFmtId="0" fontId="0" fillId="0" borderId="0" xfId="0" applyBorder="1" applyAlignment="1"/>
    <xf numFmtId="0" fontId="16" fillId="0" borderId="7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4" fillId="0" borderId="0" xfId="0" applyFont="1" applyBorder="1" applyAlignment="1">
      <alignment horizontal="justify"/>
    </xf>
    <xf numFmtId="0" fontId="3" fillId="0" borderId="13" xfId="0" applyFont="1" applyBorder="1" applyAlignment="1">
      <alignment horizontal="center"/>
    </xf>
  </cellXfs>
  <cellStyles count="15">
    <cellStyle name="Indefinido" xfId="1"/>
    <cellStyle name="Moeda 2" xfId="14"/>
    <cellStyle name="Neutra" xfId="11" builtinId="28"/>
    <cellStyle name="Normal" xfId="0" builtinId="0"/>
    <cellStyle name="Normal 2" xfId="2"/>
    <cellStyle name="Normal 3" xfId="12"/>
    <cellStyle name="Normal_Baixio-Etapa1A-Complementar-Det" xfId="3"/>
    <cellStyle name="Normal_Estrutura_de_preços_-_CODEVASF_versão10" xfId="4"/>
    <cellStyle name="Normal_Planilha final -Taquaruçu de Minas" xfId="10"/>
    <cellStyle name="Porcentagem" xfId="5" builtinId="5"/>
    <cellStyle name="Porcentagem 2" xfId="13"/>
    <cellStyle name="Porcentagem_Orçamento - Doresópolis - 21.08" xfId="6"/>
    <cellStyle name="Separador de milhares_Orçamento - Doresópolis - 21.08" xfId="7"/>
    <cellStyle name="Título 1 1" xfId="8"/>
    <cellStyle name="Vírgula" xfId="9" builtinId="3"/>
  </cellStyles>
  <dxfs count="1">
    <dxf>
      <font>
        <b/>
        <i val="0"/>
        <condense val="0"/>
        <extend val="0"/>
        <color indexed="10"/>
      </font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1</xdr:row>
          <xdr:rowOff>19050</xdr:rowOff>
        </xdr:from>
        <xdr:to>
          <xdr:col>3</xdr:col>
          <xdr:colOff>1590675</xdr:colOff>
          <xdr:row>5</xdr:row>
          <xdr:rowOff>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1</xdr:row>
          <xdr:rowOff>19050</xdr:rowOff>
        </xdr:from>
        <xdr:to>
          <xdr:col>3</xdr:col>
          <xdr:colOff>1590675</xdr:colOff>
          <xdr:row>5</xdr:row>
          <xdr:rowOff>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409575</xdr:colOff>
          <xdr:row>0</xdr:row>
          <xdr:rowOff>85725</xdr:rowOff>
        </xdr:from>
        <xdr:to>
          <xdr:col>4</xdr:col>
          <xdr:colOff>666750</xdr:colOff>
          <xdr:row>2</xdr:row>
          <xdr:rowOff>190500</xdr:rowOff>
        </xdr:to>
        <xdr:sp macro="" textlink="">
          <xdr:nvSpPr>
            <xdr:cNvPr id="25602" name="Object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438150</xdr:colOff>
          <xdr:row>0</xdr:row>
          <xdr:rowOff>123825</xdr:rowOff>
        </xdr:from>
        <xdr:to>
          <xdr:col>1</xdr:col>
          <xdr:colOff>171450</xdr:colOff>
          <xdr:row>4</xdr:row>
          <xdr:rowOff>9525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42</xdr:col>
          <xdr:colOff>171450</xdr:colOff>
          <xdr:row>0</xdr:row>
          <xdr:rowOff>190500</xdr:rowOff>
        </xdr:from>
        <xdr:to>
          <xdr:col>46</xdr:col>
          <xdr:colOff>38100</xdr:colOff>
          <xdr:row>2</xdr:row>
          <xdr:rowOff>76200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9525</xdr:rowOff>
    </xdr:from>
    <xdr:to>
      <xdr:col>2</xdr:col>
      <xdr:colOff>276225</xdr:colOff>
      <xdr:row>5</xdr:row>
      <xdr:rowOff>0</xdr:rowOff>
    </xdr:to>
    <xdr:sp macro="" textlink="" fLocksText="0">
      <xdr:nvSpPr>
        <xdr:cNvPr id="3073" name="Texto 239"/>
        <xdr:cNvSpPr>
          <a:spLocks noChangeArrowheads="1"/>
        </xdr:cNvSpPr>
      </xdr:nvSpPr>
      <xdr:spPr bwMode="auto">
        <a:xfrm>
          <a:off x="47625" y="123825"/>
          <a:ext cx="885825" cy="723900"/>
        </a:xfrm>
        <a:prstGeom prst="roundRect">
          <a:avLst>
            <a:gd name="adj" fmla="val 16667"/>
          </a:avLst>
        </a:prstGeom>
        <a:noFill/>
        <a:ln w="1714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300" b="1" i="0" strike="noStrike">
              <a:solidFill>
                <a:srgbClr val="000000"/>
              </a:solidFill>
              <a:latin typeface="Arial"/>
              <a:cs typeface="Arial"/>
            </a:rPr>
            <a:t>SAAE</a:t>
          </a:r>
        </a:p>
        <a:p>
          <a:pPr algn="ctr" rtl="0">
            <a:defRPr sz="1000"/>
          </a:pPr>
          <a:r>
            <a:rPr lang="pt-BR" sz="1300" b="1" i="0" strike="noStrike">
              <a:solidFill>
                <a:srgbClr val="000000"/>
              </a:solidFill>
              <a:latin typeface="Arial"/>
              <a:cs typeface="Arial"/>
            </a:rPr>
            <a:t>CAETÉ</a:t>
          </a:r>
        </a:p>
        <a:p>
          <a:pPr algn="ctr" rtl="0">
            <a:defRPr sz="1000"/>
          </a:pPr>
          <a:r>
            <a:rPr lang="pt-BR" sz="1300" b="1" i="0" strike="noStrike">
              <a:solidFill>
                <a:srgbClr val="000000"/>
              </a:solidFill>
              <a:latin typeface="Arial"/>
              <a:cs typeface="Arial"/>
            </a:rPr>
            <a:t>FNS/MS</a:t>
          </a:r>
        </a:p>
      </xdr:txBody>
    </xdr:sp>
    <xdr:clientData fLocksWithSheet="0"/>
  </xdr:twoCellAnchor>
  <xdr:twoCellAnchor editAs="oneCell">
    <xdr:from>
      <xdr:col>2</xdr:col>
      <xdr:colOff>381000</xdr:colOff>
      <xdr:row>1</xdr:row>
      <xdr:rowOff>0</xdr:rowOff>
    </xdr:from>
    <xdr:to>
      <xdr:col>3</xdr:col>
      <xdr:colOff>809625</xdr:colOff>
      <xdr:row>5</xdr:row>
      <xdr:rowOff>9525</xdr:rowOff>
    </xdr:to>
    <xdr:sp macro="" textlink="">
      <xdr:nvSpPr>
        <xdr:cNvPr id="3074" name="Texto 240"/>
        <xdr:cNvSpPr>
          <a:spLocks noChangeArrowheads="1"/>
        </xdr:cNvSpPr>
      </xdr:nvSpPr>
      <xdr:spPr bwMode="auto">
        <a:xfrm>
          <a:off x="1038225" y="114300"/>
          <a:ext cx="2590800" cy="742950"/>
        </a:xfrm>
        <a:prstGeom prst="roundRect">
          <a:avLst>
            <a:gd name="adj" fmla="val 16667"/>
          </a:avLst>
        </a:prstGeom>
        <a:noFill/>
        <a:ln w="1714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400" b="1" i="0" strike="noStrike">
              <a:solidFill>
                <a:srgbClr val="000000"/>
              </a:solidFill>
              <a:latin typeface="Arial"/>
              <a:cs typeface="Arial"/>
            </a:rPr>
            <a:t>ORÇAMENTO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</xdr:col>
      <xdr:colOff>276225</xdr:colOff>
      <xdr:row>3</xdr:row>
      <xdr:rowOff>304800</xdr:rowOff>
    </xdr:to>
    <xdr:sp macro="" textlink="">
      <xdr:nvSpPr>
        <xdr:cNvPr id="4497" name="AutoShape 1"/>
        <xdr:cNvSpPr>
          <a:spLocks noChangeArrowheads="1"/>
        </xdr:cNvSpPr>
      </xdr:nvSpPr>
      <xdr:spPr bwMode="auto">
        <a:xfrm>
          <a:off x="28575" y="28575"/>
          <a:ext cx="857250" cy="685800"/>
        </a:xfrm>
        <a:prstGeom prst="roundRect">
          <a:avLst>
            <a:gd name="adj" fmla="val 16667"/>
          </a:avLst>
        </a:prstGeom>
        <a:solidFill>
          <a:srgbClr val="FFFFFF"/>
        </a:solidFill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428625</xdr:colOff>
      <xdr:row>0</xdr:row>
      <xdr:rowOff>28575</xdr:rowOff>
    </xdr:from>
    <xdr:to>
      <xdr:col>5</xdr:col>
      <xdr:colOff>409575</xdr:colOff>
      <xdr:row>3</xdr:row>
      <xdr:rowOff>285750</xdr:rowOff>
    </xdr:to>
    <xdr:sp macro="" textlink="">
      <xdr:nvSpPr>
        <xdr:cNvPr id="4498" name="AutoShape 2"/>
        <xdr:cNvSpPr>
          <a:spLocks noChangeArrowheads="1"/>
        </xdr:cNvSpPr>
      </xdr:nvSpPr>
      <xdr:spPr bwMode="auto">
        <a:xfrm>
          <a:off x="1038225" y="28575"/>
          <a:ext cx="2419350" cy="685800"/>
        </a:xfrm>
        <a:prstGeom prst="roundRect">
          <a:avLst>
            <a:gd name="adj" fmla="val 16667"/>
          </a:avLst>
        </a:prstGeom>
        <a:solidFill>
          <a:srgbClr val="FFFFFF"/>
        </a:solidFill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114300</xdr:colOff>
      <xdr:row>0</xdr:row>
      <xdr:rowOff>114300</xdr:rowOff>
    </xdr:from>
    <xdr:to>
      <xdr:col>1</xdr:col>
      <xdr:colOff>180975</xdr:colOff>
      <xdr:row>3</xdr:row>
      <xdr:rowOff>142875</xdr:rowOff>
    </xdr:to>
    <xdr:sp macro="" textlink="">
      <xdr:nvSpPr>
        <xdr:cNvPr id="4099" name="Text Box 3"/>
        <xdr:cNvSpPr txBox="1">
          <a:spLocks noChangeArrowheads="1"/>
        </xdr:cNvSpPr>
      </xdr:nvSpPr>
      <xdr:spPr bwMode="auto">
        <a:xfrm>
          <a:off x="114300" y="114300"/>
          <a:ext cx="676275" cy="542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SAAE</a:t>
          </a:r>
        </a:p>
        <a:p>
          <a:pPr algn="ctr" rtl="0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CAETÉ</a:t>
          </a:r>
        </a:p>
        <a:p>
          <a:pPr algn="ctr" rtl="0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FNS / MS</a:t>
          </a:r>
        </a:p>
      </xdr:txBody>
    </xdr:sp>
    <xdr:clientData/>
  </xdr:twoCellAnchor>
  <xdr:twoCellAnchor>
    <xdr:from>
      <xdr:col>1</xdr:col>
      <xdr:colOff>533400</xdr:colOff>
      <xdr:row>0</xdr:row>
      <xdr:rowOff>123825</xdr:rowOff>
    </xdr:from>
    <xdr:to>
      <xdr:col>5</xdr:col>
      <xdr:colOff>285750</xdr:colOff>
      <xdr:row>3</xdr:row>
      <xdr:rowOff>114300</xdr:rowOff>
    </xdr:to>
    <xdr:sp macro="" textlink="">
      <xdr:nvSpPr>
        <xdr:cNvPr id="4100" name="Text Box 4"/>
        <xdr:cNvSpPr txBox="1">
          <a:spLocks noChangeArrowheads="1"/>
        </xdr:cNvSpPr>
      </xdr:nvSpPr>
      <xdr:spPr bwMode="auto">
        <a:xfrm>
          <a:off x="1143000" y="123825"/>
          <a:ext cx="2190750" cy="504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Arial"/>
              <a:cs typeface="Arial"/>
            </a:rPr>
            <a:t>ORÇAMENTO</a:t>
          </a:r>
        </a:p>
        <a:p>
          <a:pPr algn="ctr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mão-de-obra e equipamentos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</xdr:col>
      <xdr:colOff>276225</xdr:colOff>
      <xdr:row>3</xdr:row>
      <xdr:rowOff>304800</xdr:rowOff>
    </xdr:to>
    <xdr:sp macro="" textlink="">
      <xdr:nvSpPr>
        <xdr:cNvPr id="5521" name="AutoShape 1"/>
        <xdr:cNvSpPr>
          <a:spLocks noChangeArrowheads="1"/>
        </xdr:cNvSpPr>
      </xdr:nvSpPr>
      <xdr:spPr bwMode="auto">
        <a:xfrm>
          <a:off x="28575" y="28575"/>
          <a:ext cx="857250" cy="685800"/>
        </a:xfrm>
        <a:prstGeom prst="roundRect">
          <a:avLst>
            <a:gd name="adj" fmla="val 16667"/>
          </a:avLst>
        </a:prstGeom>
        <a:solidFill>
          <a:srgbClr val="FFFFFF"/>
        </a:solidFill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428625</xdr:colOff>
      <xdr:row>0</xdr:row>
      <xdr:rowOff>28575</xdr:rowOff>
    </xdr:from>
    <xdr:to>
      <xdr:col>5</xdr:col>
      <xdr:colOff>409575</xdr:colOff>
      <xdr:row>3</xdr:row>
      <xdr:rowOff>285750</xdr:rowOff>
    </xdr:to>
    <xdr:sp macro="" textlink="">
      <xdr:nvSpPr>
        <xdr:cNvPr id="5522" name="AutoShape 2"/>
        <xdr:cNvSpPr>
          <a:spLocks noChangeArrowheads="1"/>
        </xdr:cNvSpPr>
      </xdr:nvSpPr>
      <xdr:spPr bwMode="auto">
        <a:xfrm>
          <a:off x="1038225" y="28575"/>
          <a:ext cx="2419350" cy="685800"/>
        </a:xfrm>
        <a:prstGeom prst="roundRect">
          <a:avLst>
            <a:gd name="adj" fmla="val 16667"/>
          </a:avLst>
        </a:prstGeom>
        <a:solidFill>
          <a:srgbClr val="FFFFFF"/>
        </a:solidFill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114300</xdr:colOff>
      <xdr:row>0</xdr:row>
      <xdr:rowOff>114300</xdr:rowOff>
    </xdr:from>
    <xdr:to>
      <xdr:col>1</xdr:col>
      <xdr:colOff>180975</xdr:colOff>
      <xdr:row>3</xdr:row>
      <xdr:rowOff>142875</xdr:rowOff>
    </xdr:to>
    <xdr:sp macro="" textlink="">
      <xdr:nvSpPr>
        <xdr:cNvPr id="5123" name="Text Box 3"/>
        <xdr:cNvSpPr txBox="1">
          <a:spLocks noChangeArrowheads="1"/>
        </xdr:cNvSpPr>
      </xdr:nvSpPr>
      <xdr:spPr bwMode="auto">
        <a:xfrm>
          <a:off x="114300" y="114300"/>
          <a:ext cx="676275" cy="542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SAAE</a:t>
          </a:r>
        </a:p>
        <a:p>
          <a:pPr algn="ctr" rtl="0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CAETÉ</a:t>
          </a:r>
        </a:p>
        <a:p>
          <a:pPr algn="ctr" rtl="0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FNS / MS</a:t>
          </a:r>
        </a:p>
      </xdr:txBody>
    </xdr:sp>
    <xdr:clientData/>
  </xdr:twoCellAnchor>
  <xdr:twoCellAnchor>
    <xdr:from>
      <xdr:col>1</xdr:col>
      <xdr:colOff>533400</xdr:colOff>
      <xdr:row>0</xdr:row>
      <xdr:rowOff>123825</xdr:rowOff>
    </xdr:from>
    <xdr:to>
      <xdr:col>5</xdr:col>
      <xdr:colOff>285750</xdr:colOff>
      <xdr:row>3</xdr:row>
      <xdr:rowOff>114300</xdr:rowOff>
    </xdr:to>
    <xdr:sp macro="" textlink="">
      <xdr:nvSpPr>
        <xdr:cNvPr id="5124" name="Text Box 4"/>
        <xdr:cNvSpPr txBox="1">
          <a:spLocks noChangeArrowheads="1"/>
        </xdr:cNvSpPr>
      </xdr:nvSpPr>
      <xdr:spPr bwMode="auto">
        <a:xfrm>
          <a:off x="1143000" y="123825"/>
          <a:ext cx="2190750" cy="504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Arial"/>
              <a:cs typeface="Arial"/>
            </a:rPr>
            <a:t>ORÇAMENTO</a:t>
          </a:r>
        </a:p>
        <a:p>
          <a:pPr algn="ctr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Arial"/>
              <a:cs typeface="Arial"/>
            </a:rPr>
            <a:t>materiais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107733\publico\ALESSANDRO\Alessandro's%20Personal\Alessandro's%20Composings\Construction%20Assemblies%20A-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107733\publico\ALESSANDRO\Alessandro's%20Personal\Alessandro's%20Composings\Construction%20Assemblies%20L-Q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107733\publico\ALESSANDRO\Alessandro's%20Personal\Alessandro's%20Composings\Construction%20Assemblies%20R-Z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107733\publico\ALESSANDRO\Alessandro's%20Personal\Alessandro's%20Composings\Construction%20Assemblies%20F-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emblies A _ E"/>
      <sheetName val="assemblies A - 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emblies L _ Q"/>
      <sheetName val="assemblies L - Q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emblies R _ Z"/>
      <sheetName val="assemblies R - Z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emblies F _ K"/>
      <sheetName val="assemblies F - K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image" Target="../media/image3.w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6" Type="http://schemas.openxmlformats.org/officeDocument/2006/relationships/oleObject" Target="../embeddings/oleObject5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workbookViewId="0">
      <selection activeCell="E20" sqref="E20"/>
    </sheetView>
  </sheetViews>
  <sheetFormatPr defaultRowHeight="12.75"/>
  <cols>
    <col min="1" max="1" width="36.85546875" customWidth="1"/>
    <col min="2" max="2" width="14.28515625" customWidth="1"/>
  </cols>
  <sheetData>
    <row r="1" spans="1:2">
      <c r="A1" s="695" t="s">
        <v>724</v>
      </c>
      <c r="B1" s="695"/>
    </row>
    <row r="2" spans="1:2" ht="13.5" thickBot="1">
      <c r="A2" s="243"/>
      <c r="B2" s="244"/>
    </row>
    <row r="3" spans="1:2" ht="26.25" thickBot="1">
      <c r="A3" s="245" t="s">
        <v>725</v>
      </c>
      <c r="B3" s="246" t="s">
        <v>726</v>
      </c>
    </row>
    <row r="4" spans="1:2">
      <c r="A4" s="247" t="s">
        <v>727</v>
      </c>
      <c r="B4" s="248" t="e">
        <f>'Planilha Boa Vista'!I252</f>
        <v>#REF!</v>
      </c>
    </row>
    <row r="5" spans="1:2">
      <c r="A5" s="249" t="s">
        <v>728</v>
      </c>
      <c r="B5" s="250" t="e">
        <f>'Planilha Boa Vista'!J252</f>
        <v>#REF!</v>
      </c>
    </row>
    <row r="6" spans="1:2">
      <c r="A6" s="249" t="s">
        <v>729</v>
      </c>
      <c r="B6" s="250" t="e">
        <f>'Planilha Boa Vista'!K252</f>
        <v>#REF!</v>
      </c>
    </row>
    <row r="7" spans="1:2">
      <c r="A7" s="249" t="s">
        <v>730</v>
      </c>
      <c r="B7" s="250" t="e">
        <f>'Planilha Boa Vista'!L252</f>
        <v>#REF!</v>
      </c>
    </row>
    <row r="8" spans="1:2">
      <c r="A8" s="249" t="s">
        <v>731</v>
      </c>
      <c r="B8" s="250" t="e">
        <f>'Planilha Boa Vista'!M252</f>
        <v>#REF!</v>
      </c>
    </row>
    <row r="9" spans="1:2">
      <c r="A9" s="251" t="s">
        <v>732</v>
      </c>
      <c r="B9" s="265" t="e">
        <f>'Planilha Boa Vista'!N252</f>
        <v>#REF!</v>
      </c>
    </row>
    <row r="10" spans="1:2" ht="13.5" thickBot="1">
      <c r="A10" s="251" t="s">
        <v>733</v>
      </c>
      <c r="B10" s="252" t="e">
        <f>'Planilha Boa Vista'!O252</f>
        <v>#REF!</v>
      </c>
    </row>
    <row r="11" spans="1:2" ht="13.5" thickBot="1">
      <c r="A11" s="253" t="s">
        <v>14</v>
      </c>
      <c r="B11" s="254" t="e">
        <f>SUM(B4:B10)</f>
        <v>#REF!</v>
      </c>
    </row>
    <row r="12" spans="1:2">
      <c r="A12" s="243"/>
      <c r="B12" s="244"/>
    </row>
    <row r="13" spans="1:2">
      <c r="A13" s="243"/>
      <c r="B13" s="244"/>
    </row>
    <row r="14" spans="1:2" ht="48">
      <c r="A14" s="255" t="s">
        <v>306</v>
      </c>
      <c r="B14" s="244"/>
    </row>
    <row r="15" spans="1:2">
      <c r="A15" s="243"/>
      <c r="B15" s="244"/>
    </row>
    <row r="16" spans="1:2">
      <c r="A16" s="256" t="s">
        <v>734</v>
      </c>
      <c r="B16" s="257"/>
    </row>
    <row r="17" spans="1:2">
      <c r="A17" s="256" t="s">
        <v>633</v>
      </c>
      <c r="B17" s="258"/>
    </row>
    <row r="18" spans="1:2">
      <c r="A18" s="243"/>
      <c r="B18" s="244"/>
    </row>
    <row r="19" spans="1:2" ht="51">
      <c r="A19" s="259" t="s">
        <v>634</v>
      </c>
      <c r="B19" s="260"/>
    </row>
    <row r="20" spans="1:2" ht="51">
      <c r="A20" s="259" t="s">
        <v>635</v>
      </c>
      <c r="B20" s="260"/>
    </row>
    <row r="21" spans="1:2">
      <c r="A21" s="261"/>
      <c r="B21" s="260"/>
    </row>
    <row r="22" spans="1:2" ht="51">
      <c r="A22" s="259" t="s">
        <v>804</v>
      </c>
      <c r="B22" s="260"/>
    </row>
    <row r="23" spans="1:2" ht="51">
      <c r="A23" s="259" t="s">
        <v>805</v>
      </c>
      <c r="B23" s="260"/>
    </row>
    <row r="24" spans="1:2">
      <c r="A24" s="261"/>
      <c r="B24" s="260"/>
    </row>
    <row r="25" spans="1:2" ht="51">
      <c r="A25" s="259" t="s">
        <v>735</v>
      </c>
      <c r="B25" s="260"/>
    </row>
    <row r="26" spans="1:2" ht="51">
      <c r="A26" s="259" t="s">
        <v>822</v>
      </c>
      <c r="B26" s="260"/>
    </row>
    <row r="27" spans="1:2">
      <c r="A27" s="262"/>
      <c r="B27" s="263"/>
    </row>
    <row r="28" spans="1:2" ht="51">
      <c r="A28" s="259" t="s">
        <v>861</v>
      </c>
      <c r="B28" s="260"/>
    </row>
    <row r="29" spans="1:2" ht="51">
      <c r="A29" s="259" t="s">
        <v>862</v>
      </c>
      <c r="B29" s="260"/>
    </row>
    <row r="30" spans="1:2">
      <c r="A30" s="261"/>
      <c r="B30" s="260"/>
    </row>
    <row r="31" spans="1:2" ht="51">
      <c r="A31" s="259" t="s">
        <v>863</v>
      </c>
      <c r="B31" s="260"/>
    </row>
    <row r="32" spans="1:2" ht="51">
      <c r="A32" s="259" t="s">
        <v>864</v>
      </c>
      <c r="B32" s="260"/>
    </row>
    <row r="33" spans="1:2">
      <c r="A33" s="261"/>
      <c r="B33" s="260"/>
    </row>
    <row r="34" spans="1:2" ht="51">
      <c r="A34" s="259" t="s">
        <v>302</v>
      </c>
      <c r="B34" s="260"/>
    </row>
    <row r="35" spans="1:2" ht="51">
      <c r="A35" s="259" t="s">
        <v>303</v>
      </c>
      <c r="B35" s="260"/>
    </row>
    <row r="36" spans="1:2">
      <c r="A36" s="259"/>
      <c r="B36" s="260"/>
    </row>
    <row r="37" spans="1:2" ht="51">
      <c r="A37" s="264" t="s">
        <v>304</v>
      </c>
      <c r="B37" s="260"/>
    </row>
    <row r="38" spans="1:2" ht="64.5" customHeight="1">
      <c r="A38" s="264" t="s">
        <v>305</v>
      </c>
      <c r="B38" s="244"/>
    </row>
  </sheetData>
  <mergeCells count="1">
    <mergeCell ref="A1:B1"/>
  </mergeCells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38"/>
  <sheetViews>
    <sheetView workbookViewId="0">
      <selection activeCell="B47" sqref="B47"/>
    </sheetView>
  </sheetViews>
  <sheetFormatPr defaultRowHeight="12.75"/>
  <cols>
    <col min="3" max="3" width="13.28515625" customWidth="1"/>
    <col min="4" max="4" width="34" customWidth="1"/>
    <col min="5" max="5" width="10.140625" customWidth="1"/>
    <col min="6" max="6" width="17.42578125" customWidth="1"/>
  </cols>
  <sheetData>
    <row r="3" spans="3:6" ht="38.25" customHeight="1">
      <c r="C3" s="797" t="s">
        <v>940</v>
      </c>
      <c r="D3" s="797"/>
      <c r="E3" s="797"/>
      <c r="F3" s="797"/>
    </row>
    <row r="4" spans="3:6">
      <c r="C4" s="497"/>
      <c r="D4" s="498"/>
      <c r="E4" s="499"/>
      <c r="F4" s="499"/>
    </row>
    <row r="5" spans="3:6" ht="13.5" thickBot="1">
      <c r="C5" s="499"/>
      <c r="D5" s="499"/>
      <c r="E5" s="499"/>
      <c r="F5" s="499"/>
    </row>
    <row r="6" spans="3:6">
      <c r="C6" s="798" t="s">
        <v>213</v>
      </c>
      <c r="D6" s="800" t="s">
        <v>214</v>
      </c>
      <c r="E6" s="500" t="s">
        <v>67</v>
      </c>
      <c r="F6" s="526" t="s">
        <v>67</v>
      </c>
    </row>
    <row r="7" spans="3:6" ht="13.5" thickBot="1">
      <c r="C7" s="799"/>
      <c r="D7" s="801"/>
      <c r="E7" s="501" t="s">
        <v>216</v>
      </c>
      <c r="F7" s="527" t="s">
        <v>217</v>
      </c>
    </row>
    <row r="8" spans="3:6">
      <c r="C8" s="502"/>
      <c r="D8" s="503"/>
      <c r="E8" s="504"/>
      <c r="F8" s="528"/>
    </row>
    <row r="9" spans="3:6">
      <c r="C9" s="502">
        <v>1</v>
      </c>
      <c r="D9" s="505" t="s">
        <v>219</v>
      </c>
      <c r="E9" s="506" t="s">
        <v>211</v>
      </c>
      <c r="F9" s="529">
        <v>7.5</v>
      </c>
    </row>
    <row r="10" spans="3:6">
      <c r="C10" s="507" t="s">
        <v>246</v>
      </c>
      <c r="D10" s="508" t="s">
        <v>941</v>
      </c>
      <c r="E10" s="509" t="s">
        <v>211</v>
      </c>
      <c r="F10" s="530" t="s">
        <v>211</v>
      </c>
    </row>
    <row r="11" spans="3:6">
      <c r="C11" s="507" t="s">
        <v>855</v>
      </c>
      <c r="D11" s="508" t="s">
        <v>942</v>
      </c>
      <c r="E11" s="509" t="s">
        <v>211</v>
      </c>
      <c r="F11" s="530" t="s">
        <v>211</v>
      </c>
    </row>
    <row r="12" spans="3:6">
      <c r="C12" s="507" t="s">
        <v>913</v>
      </c>
      <c r="D12" s="508" t="s">
        <v>943</v>
      </c>
      <c r="E12" s="509" t="s">
        <v>211</v>
      </c>
      <c r="F12" s="530" t="s">
        <v>211</v>
      </c>
    </row>
    <row r="13" spans="3:6">
      <c r="C13" s="510" t="s">
        <v>211</v>
      </c>
      <c r="D13" s="508" t="s">
        <v>211</v>
      </c>
      <c r="E13" s="509" t="s">
        <v>211</v>
      </c>
      <c r="F13" s="530" t="s">
        <v>211</v>
      </c>
    </row>
    <row r="14" spans="3:6">
      <c r="C14" s="502">
        <v>2</v>
      </c>
      <c r="D14" s="505" t="s">
        <v>222</v>
      </c>
      <c r="E14" s="511">
        <f>SUM(E15:E18)</f>
        <v>6.65</v>
      </c>
      <c r="F14" s="531">
        <f>SUM(F15:F18)</f>
        <v>6.65</v>
      </c>
    </row>
    <row r="15" spans="3:6">
      <c r="C15" s="512" t="s">
        <v>764</v>
      </c>
      <c r="D15" s="513" t="s">
        <v>226</v>
      </c>
      <c r="E15" s="525">
        <v>3</v>
      </c>
      <c r="F15" s="530">
        <f>ROUND(E15*($D$33/100+1),2)</f>
        <v>3</v>
      </c>
    </row>
    <row r="16" spans="3:6">
      <c r="C16" s="512" t="s">
        <v>765</v>
      </c>
      <c r="D16" s="508" t="s">
        <v>228</v>
      </c>
      <c r="E16" s="525">
        <v>0.65</v>
      </c>
      <c r="F16" s="530">
        <f>ROUND(E16*($D$33/100+1),2)</f>
        <v>0.65</v>
      </c>
    </row>
    <row r="17" spans="3:6">
      <c r="C17" s="512" t="s">
        <v>766</v>
      </c>
      <c r="D17" s="508" t="s">
        <v>230</v>
      </c>
      <c r="E17" s="525">
        <v>3</v>
      </c>
      <c r="F17" s="530">
        <f>ROUND(E17*($D$33/100+1),2)</f>
        <v>3</v>
      </c>
    </row>
    <row r="18" spans="3:6">
      <c r="C18" s="512" t="s">
        <v>767</v>
      </c>
      <c r="D18" s="514"/>
      <c r="E18" s="525"/>
      <c r="F18" s="530">
        <f>ROUND(E18*($D$33/100+1),2)</f>
        <v>0</v>
      </c>
    </row>
    <row r="19" spans="3:6">
      <c r="C19" s="510"/>
      <c r="D19" s="508"/>
      <c r="E19" s="509"/>
      <c r="F19" s="530"/>
    </row>
    <row r="20" spans="3:6">
      <c r="C20" s="502">
        <v>3</v>
      </c>
      <c r="D20" s="505" t="s">
        <v>233</v>
      </c>
      <c r="E20" s="509" t="s">
        <v>211</v>
      </c>
      <c r="F20" s="531">
        <f>SUM(F21:F24)</f>
        <v>0.89999999999999991</v>
      </c>
    </row>
    <row r="21" spans="3:6">
      <c r="C21" s="512" t="s">
        <v>225</v>
      </c>
      <c r="D21" s="508" t="s">
        <v>944</v>
      </c>
      <c r="E21" s="509"/>
      <c r="F21" s="530">
        <v>0.3</v>
      </c>
    </row>
    <row r="22" spans="3:6">
      <c r="C22" s="512" t="s">
        <v>227</v>
      </c>
      <c r="D22" s="508" t="s">
        <v>945</v>
      </c>
      <c r="E22" s="509"/>
      <c r="F22" s="530">
        <v>0.3</v>
      </c>
    </row>
    <row r="23" spans="3:6">
      <c r="C23" s="512" t="s">
        <v>229</v>
      </c>
      <c r="D23" s="508" t="s">
        <v>946</v>
      </c>
      <c r="E23" s="509"/>
      <c r="F23" s="530">
        <v>0.3</v>
      </c>
    </row>
    <row r="24" spans="3:6">
      <c r="C24" s="510"/>
      <c r="D24" s="515"/>
      <c r="E24" s="509"/>
      <c r="F24" s="530"/>
    </row>
    <row r="25" spans="3:6">
      <c r="C25" s="502">
        <v>4</v>
      </c>
      <c r="D25" s="505" t="s">
        <v>636</v>
      </c>
      <c r="E25" s="509" t="s">
        <v>211</v>
      </c>
      <c r="F25" s="531">
        <v>0.97</v>
      </c>
    </row>
    <row r="26" spans="3:6">
      <c r="C26" s="510"/>
      <c r="D26" s="508"/>
      <c r="E26" s="509"/>
      <c r="F26" s="530"/>
    </row>
    <row r="27" spans="3:6">
      <c r="C27" s="502">
        <v>5</v>
      </c>
      <c r="D27" s="505" t="s">
        <v>639</v>
      </c>
      <c r="E27" s="516"/>
      <c r="F27" s="531">
        <v>7</v>
      </c>
    </row>
    <row r="28" spans="3:6" ht="13.5" thickBot="1">
      <c r="C28" s="510"/>
      <c r="D28" s="508"/>
      <c r="E28" s="517"/>
      <c r="F28" s="532"/>
    </row>
    <row r="29" spans="3:6" ht="13.5" thickBot="1">
      <c r="C29" s="518" t="s">
        <v>211</v>
      </c>
      <c r="D29" s="519" t="s">
        <v>947</v>
      </c>
      <c r="E29" s="520" t="s">
        <v>211</v>
      </c>
      <c r="F29" s="533">
        <f>ROUND((((1+(F9+F20)/100)*(1+F25/100)*(1+F27/100)/(1-E14/100)-1)*100),2)</f>
        <v>25.46</v>
      </c>
    </row>
    <row r="30" spans="3:6">
      <c r="C30" s="499"/>
      <c r="D30" s="499"/>
      <c r="E30" s="499"/>
      <c r="F30" s="499"/>
    </row>
    <row r="31" spans="3:6">
      <c r="C31" s="499"/>
      <c r="D31" s="499"/>
      <c r="E31" s="499"/>
      <c r="F31" s="499"/>
    </row>
    <row r="32" spans="3:6">
      <c r="C32" s="521" t="s">
        <v>948</v>
      </c>
      <c r="D32" s="521"/>
      <c r="E32" s="521"/>
      <c r="F32" s="521"/>
    </row>
    <row r="33" spans="3:6">
      <c r="C33" s="521"/>
      <c r="D33" s="521"/>
      <c r="E33" s="521"/>
      <c r="F33" s="521"/>
    </row>
    <row r="34" spans="3:6">
      <c r="C34" s="802" t="s">
        <v>949</v>
      </c>
      <c r="D34" s="802"/>
      <c r="E34" s="522">
        <f>ROUND((((1+((F9+F20)/100))*(1+F25/100)*(1+F27/100))/(1-E14/100)-1)*100,2)</f>
        <v>25.46</v>
      </c>
      <c r="F34" s="523"/>
    </row>
    <row r="35" spans="3:6">
      <c r="C35" s="803" t="s">
        <v>211</v>
      </c>
      <c r="D35" s="803"/>
      <c r="E35" s="523"/>
      <c r="F35" s="523"/>
    </row>
    <row r="36" spans="3:6">
      <c r="C36" s="796" t="s">
        <v>950</v>
      </c>
      <c r="D36" s="796"/>
      <c r="E36" s="796"/>
      <c r="F36" s="796"/>
    </row>
    <row r="37" spans="3:6">
      <c r="C37" s="523"/>
      <c r="D37" s="523"/>
      <c r="E37" s="523"/>
      <c r="F37" s="523"/>
    </row>
    <row r="38" spans="3:6">
      <c r="C38" s="524" t="s">
        <v>951</v>
      </c>
      <c r="D38" s="523"/>
      <c r="E38" s="523"/>
      <c r="F38" s="523"/>
    </row>
  </sheetData>
  <mergeCells count="6">
    <mergeCell ref="C36:F36"/>
    <mergeCell ref="C3:F3"/>
    <mergeCell ref="C6:C7"/>
    <mergeCell ref="D6:D7"/>
    <mergeCell ref="C34:D34"/>
    <mergeCell ref="C35:D35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8"/>
  <sheetViews>
    <sheetView topLeftCell="C1" zoomScale="115" zoomScaleNormal="115" workbookViewId="0">
      <selection activeCell="K23" sqref="K23"/>
    </sheetView>
  </sheetViews>
  <sheetFormatPr defaultRowHeight="12.75"/>
  <cols>
    <col min="1" max="1" width="6.85546875" customWidth="1"/>
    <col min="2" max="2" width="60.85546875" customWidth="1"/>
    <col min="3" max="3" width="15.42578125" customWidth="1"/>
    <col min="4" max="9" width="14.5703125" bestFit="1" customWidth="1"/>
    <col min="11" max="11" width="17.140625" customWidth="1"/>
  </cols>
  <sheetData>
    <row r="1" spans="1:11" ht="26.25">
      <c r="A1" s="829" t="s">
        <v>1220</v>
      </c>
      <c r="B1" s="829"/>
      <c r="C1" s="829"/>
      <c r="D1" s="829"/>
      <c r="E1" s="829"/>
      <c r="F1" s="829"/>
      <c r="G1" s="829"/>
      <c r="H1" s="829"/>
      <c r="I1" s="829"/>
    </row>
    <row r="2" spans="1:11">
      <c r="A2" s="830"/>
      <c r="B2" s="830"/>
      <c r="C2" s="831" t="s">
        <v>1221</v>
      </c>
      <c r="D2" s="832"/>
      <c r="E2" s="833">
        <f>'PLANILHA RESUMO'!K80</f>
        <v>1280169.92</v>
      </c>
      <c r="F2" s="833"/>
      <c r="G2" s="834"/>
      <c r="H2" s="835"/>
      <c r="I2" s="836"/>
    </row>
    <row r="3" spans="1:11">
      <c r="A3" s="825" t="s">
        <v>1223</v>
      </c>
      <c r="B3" s="826"/>
      <c r="C3" s="820"/>
      <c r="D3" s="820"/>
      <c r="E3" s="820"/>
      <c r="F3" s="820"/>
      <c r="G3" s="820"/>
      <c r="H3" s="820" t="s">
        <v>1205</v>
      </c>
      <c r="I3" s="820"/>
    </row>
    <row r="4" spans="1:11">
      <c r="A4" s="827"/>
      <c r="B4" s="828"/>
      <c r="C4" s="820"/>
      <c r="D4" s="820"/>
      <c r="E4" s="820"/>
      <c r="F4" s="820"/>
      <c r="G4" s="820"/>
      <c r="H4" s="820"/>
      <c r="I4" s="820"/>
    </row>
    <row r="5" spans="1:11" ht="25.5">
      <c r="A5" s="664" t="s">
        <v>912</v>
      </c>
      <c r="B5" s="664" t="s">
        <v>1206</v>
      </c>
      <c r="C5" s="664" t="s">
        <v>1207</v>
      </c>
      <c r="D5" s="664" t="s">
        <v>1208</v>
      </c>
      <c r="E5" s="664" t="s">
        <v>1209</v>
      </c>
      <c r="F5" s="664" t="s">
        <v>1210</v>
      </c>
      <c r="G5" s="664" t="s">
        <v>1211</v>
      </c>
      <c r="H5" s="664" t="s">
        <v>1212</v>
      </c>
      <c r="I5" s="664" t="s">
        <v>1213</v>
      </c>
    </row>
    <row r="6" spans="1:11" ht="20.100000000000001" customHeight="1">
      <c r="A6" s="820">
        <v>1</v>
      </c>
      <c r="B6" s="824" t="s">
        <v>1082</v>
      </c>
      <c r="C6" s="665" t="s">
        <v>1214</v>
      </c>
      <c r="D6" s="657">
        <f>D7/E2</f>
        <v>0.13968459749468259</v>
      </c>
      <c r="E6" s="658">
        <v>0.25</v>
      </c>
      <c r="F6" s="658">
        <v>0.25</v>
      </c>
      <c r="G6" s="658">
        <v>0</v>
      </c>
      <c r="H6" s="658">
        <v>0</v>
      </c>
      <c r="I6" s="658">
        <v>0.5</v>
      </c>
      <c r="K6" s="687">
        <f t="shared" ref="K6:K17" si="0">SUM(E6:I6)</f>
        <v>1</v>
      </c>
    </row>
    <row r="7" spans="1:11">
      <c r="A7" s="820"/>
      <c r="B7" s="821"/>
      <c r="C7" s="665" t="s">
        <v>935</v>
      </c>
      <c r="D7" s="659">
        <f>'PLANILHA RESUMO'!K10</f>
        <v>178820.02</v>
      </c>
      <c r="E7" s="660">
        <f>D7*E6</f>
        <v>44705.004999999997</v>
      </c>
      <c r="F7" s="660">
        <f>D7*F6</f>
        <v>44705.004999999997</v>
      </c>
      <c r="G7" s="660">
        <f>D7*G6</f>
        <v>0</v>
      </c>
      <c r="H7" s="660">
        <f>D7*H6</f>
        <v>0</v>
      </c>
      <c r="I7" s="660">
        <f>D7*I6</f>
        <v>89410.01</v>
      </c>
      <c r="K7" s="688">
        <f t="shared" si="0"/>
        <v>178820.02</v>
      </c>
    </row>
    <row r="8" spans="1:11" ht="20.100000000000001" customHeight="1">
      <c r="A8" s="820">
        <v>2</v>
      </c>
      <c r="B8" s="821" t="s">
        <v>993</v>
      </c>
      <c r="C8" s="665" t="s">
        <v>1214</v>
      </c>
      <c r="D8" s="657">
        <f>D9/E2</f>
        <v>0.27498194927123426</v>
      </c>
      <c r="E8" s="658">
        <v>0.25</v>
      </c>
      <c r="F8" s="658">
        <v>0.25</v>
      </c>
      <c r="G8" s="658">
        <v>0.25</v>
      </c>
      <c r="H8" s="658">
        <v>0.25</v>
      </c>
      <c r="I8" s="658"/>
      <c r="K8" s="689">
        <f t="shared" si="0"/>
        <v>1</v>
      </c>
    </row>
    <row r="9" spans="1:11" ht="20.100000000000001" customHeight="1">
      <c r="A9" s="820"/>
      <c r="B9" s="821"/>
      <c r="C9" s="665" t="s">
        <v>935</v>
      </c>
      <c r="D9" s="659">
        <f>'PLANILHA RESUMO'!K15</f>
        <v>352023.62</v>
      </c>
      <c r="E9" s="660">
        <f>D9*E8</f>
        <v>88005.904999999999</v>
      </c>
      <c r="F9" s="660">
        <f>D9*F8</f>
        <v>88005.904999999999</v>
      </c>
      <c r="G9" s="660">
        <f>D9*G8</f>
        <v>88005.904999999999</v>
      </c>
      <c r="H9" s="660">
        <f>D9*H8</f>
        <v>88005.904999999999</v>
      </c>
      <c r="I9" s="660">
        <f>D9*I8</f>
        <v>0</v>
      </c>
      <c r="K9" s="688">
        <f t="shared" si="0"/>
        <v>352023.62</v>
      </c>
    </row>
    <row r="10" spans="1:11" ht="20.100000000000001" customHeight="1">
      <c r="A10" s="820">
        <v>3</v>
      </c>
      <c r="B10" s="822" t="s">
        <v>994</v>
      </c>
      <c r="C10" s="665" t="s">
        <v>1214</v>
      </c>
      <c r="D10" s="657">
        <f>D11/E2</f>
        <v>0.25569493149784367</v>
      </c>
      <c r="E10" s="658">
        <v>0.25</v>
      </c>
      <c r="F10" s="658">
        <v>0.25</v>
      </c>
      <c r="G10" s="658">
        <v>0.25</v>
      </c>
      <c r="H10" s="658">
        <v>0.25</v>
      </c>
      <c r="I10" s="658"/>
      <c r="K10" s="689">
        <f t="shared" si="0"/>
        <v>1</v>
      </c>
    </row>
    <row r="11" spans="1:11" ht="20.100000000000001" customHeight="1">
      <c r="A11" s="820"/>
      <c r="B11" s="823"/>
      <c r="C11" s="665" t="s">
        <v>935</v>
      </c>
      <c r="D11" s="659">
        <f>'PLANILHA RESUMO'!K32</f>
        <v>327332.96000000002</v>
      </c>
      <c r="E11" s="660">
        <f>D11*E10</f>
        <v>81833.240000000005</v>
      </c>
      <c r="F11" s="660">
        <f>D11*F10</f>
        <v>81833.240000000005</v>
      </c>
      <c r="G11" s="660">
        <f>D11*G10</f>
        <v>81833.240000000005</v>
      </c>
      <c r="H11" s="660">
        <f>D11*H10</f>
        <v>81833.240000000005</v>
      </c>
      <c r="I11" s="660">
        <f>D11*I10</f>
        <v>0</v>
      </c>
      <c r="K11" s="688">
        <f t="shared" si="0"/>
        <v>327332.96000000002</v>
      </c>
    </row>
    <row r="12" spans="1:11" ht="20.100000000000001" customHeight="1">
      <c r="A12" s="820">
        <v>4</v>
      </c>
      <c r="B12" s="821" t="s">
        <v>963</v>
      </c>
      <c r="C12" s="665" t="s">
        <v>1214</v>
      </c>
      <c r="D12" s="657">
        <f>D13/E2</f>
        <v>1.850105960933686E-3</v>
      </c>
      <c r="E12" s="658">
        <v>0.25</v>
      </c>
      <c r="F12" s="658">
        <v>0.25</v>
      </c>
      <c r="G12" s="658">
        <v>0.5</v>
      </c>
      <c r="H12" s="658"/>
      <c r="I12" s="658"/>
      <c r="K12" s="689">
        <f t="shared" si="0"/>
        <v>1</v>
      </c>
    </row>
    <row r="13" spans="1:11" ht="20.100000000000001" customHeight="1">
      <c r="A13" s="820"/>
      <c r="B13" s="821"/>
      <c r="C13" s="665" t="s">
        <v>935</v>
      </c>
      <c r="D13" s="659">
        <f>'PLANILHA RESUMO'!K58</f>
        <v>2368.4499999999998</v>
      </c>
      <c r="E13" s="660">
        <f>D13*E12</f>
        <v>592.11249999999995</v>
      </c>
      <c r="F13" s="660">
        <f>D13*F12</f>
        <v>592.11249999999995</v>
      </c>
      <c r="G13" s="660">
        <f>D13*G12</f>
        <v>1184.2249999999999</v>
      </c>
      <c r="H13" s="660">
        <f>D13*H12</f>
        <v>0</v>
      </c>
      <c r="I13" s="660">
        <f>D13*I12</f>
        <v>0</v>
      </c>
      <c r="K13" s="688">
        <f t="shared" si="0"/>
        <v>2368.4499999999998</v>
      </c>
    </row>
    <row r="14" spans="1:11" ht="20.100000000000001" customHeight="1">
      <c r="A14" s="820">
        <v>5</v>
      </c>
      <c r="B14" s="822" t="s">
        <v>1118</v>
      </c>
      <c r="C14" s="665" t="s">
        <v>1214</v>
      </c>
      <c r="D14" s="657">
        <f>D15/E2</f>
        <v>0.32778841577530582</v>
      </c>
      <c r="E14" s="658"/>
      <c r="F14" s="658">
        <v>0.25</v>
      </c>
      <c r="G14" s="658">
        <v>0.25</v>
      </c>
      <c r="H14" s="658">
        <v>0.25</v>
      </c>
      <c r="I14" s="658">
        <v>0.25</v>
      </c>
      <c r="K14" s="689">
        <f t="shared" si="0"/>
        <v>1</v>
      </c>
    </row>
    <row r="15" spans="1:11" ht="20.100000000000001" customHeight="1">
      <c r="A15" s="820"/>
      <c r="B15" s="823"/>
      <c r="C15" s="665" t="s">
        <v>935</v>
      </c>
      <c r="D15" s="659">
        <f>'PLANILHA RESUMO'!K64</f>
        <v>419624.87</v>
      </c>
      <c r="E15" s="660">
        <f>D15*E14</f>
        <v>0</v>
      </c>
      <c r="F15" s="660">
        <f>D15*F14</f>
        <v>104906.2175</v>
      </c>
      <c r="G15" s="660">
        <f>D15*G14</f>
        <v>104906.2175</v>
      </c>
      <c r="H15" s="660">
        <f>D15*H14</f>
        <v>104906.2175</v>
      </c>
      <c r="I15" s="660">
        <f>D15*I14</f>
        <v>104906.2175</v>
      </c>
      <c r="K15" s="688">
        <f t="shared" si="0"/>
        <v>419624.87</v>
      </c>
    </row>
    <row r="16" spans="1:11">
      <c r="A16" s="806" t="s">
        <v>14</v>
      </c>
      <c r="B16" s="807"/>
      <c r="C16" s="666" t="s">
        <v>1214</v>
      </c>
      <c r="D16" s="662">
        <f>D12+D10+D8+D6+D14</f>
        <v>1</v>
      </c>
      <c r="E16" s="662">
        <f>(E13+E11+E9+E7)/E2</f>
        <v>0.16805289605617357</v>
      </c>
      <c r="F16" s="662">
        <f>(F13+F11+F9+F7)/E2</f>
        <v>0.16805289605617357</v>
      </c>
      <c r="G16" s="662">
        <f>(G13+G11+G9+G7+G15)/E2</f>
        <v>0.21554137711656279</v>
      </c>
      <c r="H16" s="662">
        <f>(H13+H11+H9+H7+H15)/E2</f>
        <v>0.21461632413609599</v>
      </c>
      <c r="I16" s="662">
        <f>(I13+I11+I9+I7+I15)/E2</f>
        <v>0.15178940269116775</v>
      </c>
      <c r="K16" s="689">
        <f t="shared" si="0"/>
        <v>0.9180528960561738</v>
      </c>
    </row>
    <row r="17" spans="1:12">
      <c r="A17" s="808"/>
      <c r="B17" s="809"/>
      <c r="C17" s="665" t="s">
        <v>935</v>
      </c>
      <c r="D17" s="661">
        <f>D11+D13+D9+D7+D15</f>
        <v>1280169.92</v>
      </c>
      <c r="E17" s="660">
        <f>E13+E11+E9+E7</f>
        <v>215136.26250000001</v>
      </c>
      <c r="F17" s="660">
        <f>F13+F11+F9+F7</f>
        <v>215136.26250000001</v>
      </c>
      <c r="G17" s="660">
        <f>G13+G11+G9+G7+G15</f>
        <v>275929.58750000002</v>
      </c>
      <c r="H17" s="660">
        <f>H13+H11+H9+H7+H15</f>
        <v>274745.36250000005</v>
      </c>
      <c r="I17" s="660">
        <f>I13+I11+I9+I7+I15</f>
        <v>194316.22749999998</v>
      </c>
      <c r="K17" s="688">
        <f t="shared" si="0"/>
        <v>1175263.7025000001</v>
      </c>
    </row>
    <row r="18" spans="1:12">
      <c r="A18" s="667"/>
      <c r="B18" s="667"/>
      <c r="C18" s="667"/>
      <c r="D18" s="667"/>
      <c r="E18" s="667"/>
      <c r="F18" s="668"/>
      <c r="G18" s="669"/>
      <c r="H18" s="670"/>
      <c r="I18" s="670"/>
    </row>
    <row r="19" spans="1:12">
      <c r="A19" s="671"/>
      <c r="B19" s="672"/>
      <c r="C19" s="672"/>
      <c r="D19" s="663"/>
      <c r="E19" s="673"/>
      <c r="F19" s="674"/>
      <c r="G19" s="675"/>
      <c r="H19" s="810" t="s">
        <v>1215</v>
      </c>
      <c r="I19" s="810"/>
    </row>
    <row r="20" spans="1:12">
      <c r="A20" s="676"/>
      <c r="B20" s="811"/>
      <c r="C20" s="812"/>
      <c r="D20" s="667"/>
      <c r="E20" s="813"/>
      <c r="F20" s="812"/>
      <c r="G20" s="686" t="s">
        <v>1222</v>
      </c>
      <c r="H20" s="810"/>
      <c r="I20" s="810"/>
    </row>
    <row r="21" spans="1:12">
      <c r="A21" s="676"/>
      <c r="B21" s="814"/>
      <c r="C21" s="815"/>
      <c r="D21" s="677"/>
      <c r="E21" s="816"/>
      <c r="F21" s="817"/>
      <c r="G21" s="675"/>
      <c r="H21" s="810"/>
      <c r="I21" s="810"/>
    </row>
    <row r="22" spans="1:12">
      <c r="A22" s="676"/>
      <c r="B22" s="678"/>
      <c r="C22" s="679"/>
      <c r="D22" s="680"/>
      <c r="E22" s="679"/>
      <c r="F22" s="681"/>
      <c r="G22" s="675"/>
      <c r="H22" s="810"/>
      <c r="I22" s="810"/>
    </row>
    <row r="23" spans="1:12">
      <c r="A23" s="676"/>
      <c r="B23" s="811"/>
      <c r="C23" s="812"/>
      <c r="D23" s="812"/>
      <c r="E23" s="679"/>
      <c r="F23" s="681"/>
      <c r="G23" s="675"/>
      <c r="H23" s="810"/>
      <c r="I23" s="810"/>
      <c r="L23">
        <f>16.66*2</f>
        <v>33.32</v>
      </c>
    </row>
    <row r="24" spans="1:12">
      <c r="A24" s="682"/>
      <c r="B24" s="818"/>
      <c r="C24" s="819"/>
      <c r="D24" s="819"/>
      <c r="E24" s="683"/>
      <c r="F24" s="684"/>
      <c r="G24" s="685"/>
      <c r="H24" s="810"/>
      <c r="I24" s="810"/>
    </row>
    <row r="25" spans="1:12">
      <c r="A25" s="804" t="s">
        <v>1216</v>
      </c>
      <c r="B25" s="804"/>
      <c r="C25" s="804"/>
      <c r="D25" s="804"/>
      <c r="E25" s="804"/>
      <c r="F25" s="804"/>
      <c r="G25" s="804"/>
      <c r="H25" s="804"/>
      <c r="I25" s="804"/>
    </row>
    <row r="26" spans="1:12">
      <c r="A26" s="805"/>
      <c r="B26" s="805"/>
      <c r="C26" s="805"/>
      <c r="D26" s="805"/>
      <c r="E26" s="805"/>
      <c r="F26" s="805"/>
      <c r="G26" s="805"/>
      <c r="H26" s="805"/>
      <c r="I26" s="805"/>
    </row>
    <row r="27" spans="1:12">
      <c r="A27" s="805"/>
      <c r="B27" s="805"/>
      <c r="C27" s="805"/>
      <c r="D27" s="805"/>
      <c r="E27" s="805"/>
      <c r="F27" s="805"/>
      <c r="G27" s="805"/>
      <c r="H27" s="805"/>
      <c r="I27" s="805"/>
    </row>
    <row r="28" spans="1:12">
      <c r="A28" s="805"/>
      <c r="B28" s="805"/>
      <c r="C28" s="805"/>
      <c r="D28" s="805"/>
      <c r="E28" s="805"/>
      <c r="F28" s="805"/>
      <c r="G28" s="805"/>
      <c r="H28" s="805"/>
      <c r="I28" s="805"/>
    </row>
  </sheetData>
  <mergeCells count="27">
    <mergeCell ref="A3:B4"/>
    <mergeCell ref="C3:G4"/>
    <mergeCell ref="H3:I4"/>
    <mergeCell ref="A1:I1"/>
    <mergeCell ref="A2:B2"/>
    <mergeCell ref="C2:D2"/>
    <mergeCell ref="E2:G2"/>
    <mergeCell ref="H2:I2"/>
    <mergeCell ref="A12:A13"/>
    <mergeCell ref="B12:B13"/>
    <mergeCell ref="A14:A15"/>
    <mergeCell ref="B14:B15"/>
    <mergeCell ref="A6:A7"/>
    <mergeCell ref="B6:B7"/>
    <mergeCell ref="A8:A9"/>
    <mergeCell ref="B8:B9"/>
    <mergeCell ref="A10:A11"/>
    <mergeCell ref="B10:B11"/>
    <mergeCell ref="A25:I28"/>
    <mergeCell ref="A16:B17"/>
    <mergeCell ref="H19:I24"/>
    <mergeCell ref="B20:C20"/>
    <mergeCell ref="E20:F20"/>
    <mergeCell ref="B21:C21"/>
    <mergeCell ref="E21:F21"/>
    <mergeCell ref="B23:D23"/>
    <mergeCell ref="B24:D24"/>
  </mergeCells>
  <printOptions horizontalCentered="1"/>
  <pageMargins left="0.11811023622047245" right="0.11811023622047245" top="0.98425196850393704" bottom="0.78740157480314965" header="0.31496062992125984" footer="0.31496062992125984"/>
  <pageSetup paperSize="9" scale="70" orientation="landscape" verticalDpi="0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3"/>
  <sheetViews>
    <sheetView workbookViewId="0">
      <selection activeCell="E68" sqref="E68"/>
    </sheetView>
  </sheetViews>
  <sheetFormatPr defaultRowHeight="12.75"/>
  <cols>
    <col min="2" max="2" width="71.85546875" customWidth="1"/>
    <col min="11" max="11" width="11.28515625" bestFit="1" customWidth="1"/>
    <col min="12" max="15" width="11.28515625" customWidth="1"/>
    <col min="16" max="16" width="10.28515625" bestFit="1" customWidth="1"/>
    <col min="17" max="17" width="11" customWidth="1"/>
    <col min="18" max="18" width="11.28515625" bestFit="1" customWidth="1"/>
  </cols>
  <sheetData>
    <row r="2" spans="1:17" ht="13.5" thickBot="1"/>
    <row r="3" spans="1:17" ht="13.5" thickBot="1">
      <c r="A3" s="843" t="s">
        <v>939</v>
      </c>
      <c r="B3" s="844"/>
      <c r="C3" s="844"/>
      <c r="D3" s="844"/>
      <c r="E3" s="844"/>
      <c r="F3" s="844"/>
      <c r="G3" s="844"/>
      <c r="H3" s="844"/>
      <c r="I3" s="844"/>
      <c r="J3" s="844"/>
      <c r="K3" s="844"/>
      <c r="L3" s="844"/>
      <c r="M3" s="844"/>
      <c r="N3" s="844"/>
      <c r="O3" s="844"/>
      <c r="P3" s="844"/>
      <c r="Q3" s="845"/>
    </row>
    <row r="4" spans="1:17" ht="12.75" customHeight="1">
      <c r="A4" s="846" t="s">
        <v>912</v>
      </c>
      <c r="B4" s="849" t="s">
        <v>929</v>
      </c>
      <c r="C4" s="849" t="s">
        <v>930</v>
      </c>
      <c r="D4" s="849" t="s">
        <v>931</v>
      </c>
      <c r="E4" s="487" t="s">
        <v>932</v>
      </c>
      <c r="F4" s="837" t="s">
        <v>936</v>
      </c>
      <c r="G4" s="838"/>
      <c r="H4" s="838"/>
      <c r="I4" s="838"/>
      <c r="J4" s="839"/>
      <c r="K4" s="837" t="s">
        <v>935</v>
      </c>
      <c r="L4" s="838"/>
      <c r="M4" s="838"/>
      <c r="N4" s="838"/>
      <c r="O4" s="838"/>
      <c r="P4" s="838"/>
      <c r="Q4" s="839"/>
    </row>
    <row r="5" spans="1:17" ht="13.5" thickBot="1">
      <c r="A5" s="847"/>
      <c r="B5" s="850"/>
      <c r="C5" s="850"/>
      <c r="D5" s="850"/>
      <c r="E5" s="488" t="s">
        <v>933</v>
      </c>
      <c r="F5" s="840"/>
      <c r="G5" s="841"/>
      <c r="H5" s="841"/>
      <c r="I5" s="841"/>
      <c r="J5" s="842"/>
      <c r="K5" s="840"/>
      <c r="L5" s="841"/>
      <c r="M5" s="841"/>
      <c r="N5" s="841"/>
      <c r="O5" s="841"/>
      <c r="P5" s="841"/>
      <c r="Q5" s="842"/>
    </row>
    <row r="6" spans="1:17" ht="13.5" thickBot="1">
      <c r="A6" s="848"/>
      <c r="B6" s="851"/>
      <c r="C6" s="851"/>
      <c r="D6" s="851"/>
      <c r="E6" s="489" t="s">
        <v>934</v>
      </c>
      <c r="F6" s="489">
        <v>1</v>
      </c>
      <c r="G6" s="537">
        <v>2</v>
      </c>
      <c r="H6" s="537">
        <v>3</v>
      </c>
      <c r="I6" s="537">
        <v>4</v>
      </c>
      <c r="J6" s="537">
        <v>5</v>
      </c>
      <c r="K6" s="489" t="s">
        <v>937</v>
      </c>
      <c r="L6" s="537">
        <v>1</v>
      </c>
      <c r="M6" s="537">
        <v>2</v>
      </c>
      <c r="N6" s="537">
        <v>3</v>
      </c>
      <c r="O6" s="537">
        <v>4</v>
      </c>
      <c r="P6" s="537">
        <v>5</v>
      </c>
      <c r="Q6" s="569" t="s">
        <v>938</v>
      </c>
    </row>
    <row r="7" spans="1:17" s="536" customFormat="1" ht="13.5" thickBot="1">
      <c r="A7" s="579"/>
      <c r="B7" s="581" t="s">
        <v>857</v>
      </c>
      <c r="C7" s="573">
        <v>1</v>
      </c>
      <c r="D7" s="573">
        <v>10</v>
      </c>
      <c r="E7" s="573">
        <v>10</v>
      </c>
      <c r="F7" s="573" t="s">
        <v>1059</v>
      </c>
      <c r="G7" s="573"/>
      <c r="H7" s="573"/>
      <c r="I7" s="573"/>
      <c r="J7" s="573"/>
      <c r="K7" s="494"/>
      <c r="L7" s="494"/>
      <c r="M7" s="494"/>
      <c r="N7" s="494"/>
      <c r="O7" s="494"/>
      <c r="P7" s="494"/>
      <c r="Q7" s="494">
        <f>L7+M7+N7+O7+P7</f>
        <v>0</v>
      </c>
    </row>
    <row r="8" spans="1:17" s="536" customFormat="1" ht="13.5" thickBot="1">
      <c r="A8" s="579"/>
      <c r="B8" s="581" t="s">
        <v>58</v>
      </c>
      <c r="C8" s="573">
        <v>1</v>
      </c>
      <c r="D8" s="573">
        <v>150</v>
      </c>
      <c r="E8" s="573">
        <v>150</v>
      </c>
      <c r="F8" s="573" t="s">
        <v>1059</v>
      </c>
      <c r="G8" s="573" t="s">
        <v>1059</v>
      </c>
      <c r="H8" s="573" t="s">
        <v>1059</v>
      </c>
      <c r="I8" s="573" t="s">
        <v>1059</v>
      </c>
      <c r="J8" s="573" t="s">
        <v>1059</v>
      </c>
      <c r="K8" s="494"/>
      <c r="L8" s="494"/>
      <c r="M8" s="494"/>
      <c r="N8" s="494"/>
      <c r="O8" s="494"/>
      <c r="P8" s="494"/>
      <c r="Q8" s="494">
        <f t="shared" ref="Q8:Q71" si="0">L8+M8+N8+O8+P8</f>
        <v>0</v>
      </c>
    </row>
    <row r="9" spans="1:17" s="536" customFormat="1" ht="13.5" thickBot="1">
      <c r="A9" s="579"/>
      <c r="B9" s="581" t="s">
        <v>1029</v>
      </c>
      <c r="C9" s="573">
        <v>1</v>
      </c>
      <c r="D9" s="573">
        <v>30</v>
      </c>
      <c r="E9" s="573">
        <v>30</v>
      </c>
      <c r="F9" s="573" t="s">
        <v>1059</v>
      </c>
      <c r="G9" s="573"/>
      <c r="H9" s="573"/>
      <c r="I9" s="573"/>
      <c r="J9" s="573"/>
      <c r="K9" s="494"/>
      <c r="L9" s="494"/>
      <c r="M9" s="494"/>
      <c r="N9" s="494"/>
      <c r="O9" s="494"/>
      <c r="P9" s="494"/>
      <c r="Q9" s="494">
        <f t="shared" si="0"/>
        <v>0</v>
      </c>
    </row>
    <row r="10" spans="1:17" s="536" customFormat="1" ht="13.5" thickBot="1">
      <c r="A10" s="579"/>
      <c r="B10" s="581" t="s">
        <v>858</v>
      </c>
      <c r="C10" s="573">
        <v>140</v>
      </c>
      <c r="D10" s="573">
        <v>150</v>
      </c>
      <c r="E10" s="573">
        <v>10</v>
      </c>
      <c r="F10" s="573"/>
      <c r="G10" s="573"/>
      <c r="H10" s="573"/>
      <c r="I10" s="573"/>
      <c r="J10" s="573" t="s">
        <v>1059</v>
      </c>
      <c r="K10" s="494"/>
      <c r="L10" s="494"/>
      <c r="M10" s="494"/>
      <c r="N10" s="494"/>
      <c r="O10" s="494"/>
      <c r="P10" s="494"/>
      <c r="Q10" s="494">
        <f t="shared" si="0"/>
        <v>0</v>
      </c>
    </row>
    <row r="11" spans="1:17" ht="13.5" thickBot="1">
      <c r="A11" s="579"/>
      <c r="B11" s="582" t="s">
        <v>992</v>
      </c>
      <c r="C11" s="573">
        <v>1</v>
      </c>
      <c r="D11" s="573">
        <v>30</v>
      </c>
      <c r="E11" s="573">
        <v>30</v>
      </c>
      <c r="F11" s="573" t="s">
        <v>1059</v>
      </c>
      <c r="G11" s="573"/>
      <c r="H11" s="573"/>
      <c r="I11" s="573"/>
      <c r="J11" s="573"/>
      <c r="K11" s="494"/>
      <c r="L11" s="494"/>
      <c r="M11" s="494"/>
      <c r="N11" s="494"/>
      <c r="O11" s="494"/>
      <c r="P11" s="494"/>
      <c r="Q11" s="494">
        <f t="shared" si="0"/>
        <v>0</v>
      </c>
    </row>
    <row r="12" spans="1:17" ht="13.5" thickBot="1">
      <c r="A12" s="579"/>
      <c r="B12" s="581" t="s">
        <v>965</v>
      </c>
      <c r="C12" s="573">
        <v>31</v>
      </c>
      <c r="D12" s="573">
        <v>40</v>
      </c>
      <c r="E12" s="573">
        <v>10</v>
      </c>
      <c r="F12" s="573"/>
      <c r="G12" s="573" t="s">
        <v>1059</v>
      </c>
      <c r="H12" s="573"/>
      <c r="I12" s="573"/>
      <c r="J12" s="573"/>
      <c r="K12" s="494"/>
      <c r="L12" s="494"/>
      <c r="M12" s="494"/>
      <c r="N12" s="494"/>
      <c r="O12" s="494"/>
      <c r="P12" s="494"/>
      <c r="Q12" s="494">
        <f t="shared" si="0"/>
        <v>0</v>
      </c>
    </row>
    <row r="13" spans="1:17" ht="13.5" thickBot="1">
      <c r="A13" s="579"/>
      <c r="B13" s="581" t="s">
        <v>995</v>
      </c>
      <c r="C13" s="573">
        <v>31</v>
      </c>
      <c r="D13" s="573">
        <v>60</v>
      </c>
      <c r="E13" s="573">
        <v>30</v>
      </c>
      <c r="F13" s="573"/>
      <c r="G13" s="573" t="s">
        <v>1059</v>
      </c>
      <c r="H13" s="573"/>
      <c r="I13" s="573"/>
      <c r="J13" s="573"/>
      <c r="K13" s="494"/>
      <c r="L13" s="494"/>
      <c r="M13" s="494"/>
      <c r="N13" s="494"/>
      <c r="O13" s="494"/>
      <c r="P13" s="494"/>
      <c r="Q13" s="494">
        <f t="shared" si="0"/>
        <v>0</v>
      </c>
    </row>
    <row r="14" spans="1:17" ht="13.5" thickBot="1">
      <c r="A14" s="579"/>
      <c r="B14" s="581" t="s">
        <v>1028</v>
      </c>
      <c r="C14" s="573">
        <v>61</v>
      </c>
      <c r="D14" s="573">
        <v>90</v>
      </c>
      <c r="E14" s="573">
        <v>30</v>
      </c>
      <c r="F14" s="573"/>
      <c r="G14" s="573"/>
      <c r="H14" s="573" t="s">
        <v>1059</v>
      </c>
      <c r="I14" s="573"/>
      <c r="J14" s="573"/>
      <c r="K14" s="494"/>
      <c r="L14" s="494"/>
      <c r="M14" s="494"/>
      <c r="N14" s="494"/>
      <c r="O14" s="494"/>
      <c r="P14" s="494"/>
      <c r="Q14" s="494">
        <f t="shared" si="0"/>
        <v>0</v>
      </c>
    </row>
    <row r="15" spans="1:17" ht="13.5" thickBot="1">
      <c r="A15" s="579"/>
      <c r="B15" s="581" t="s">
        <v>1006</v>
      </c>
      <c r="C15" s="573">
        <v>61</v>
      </c>
      <c r="D15" s="573">
        <v>90</v>
      </c>
      <c r="E15" s="573">
        <v>30</v>
      </c>
      <c r="F15" s="573"/>
      <c r="G15" s="573"/>
      <c r="H15" s="573" t="s">
        <v>1059</v>
      </c>
      <c r="I15" s="573"/>
      <c r="J15" s="573"/>
      <c r="K15" s="494"/>
      <c r="L15" s="494"/>
      <c r="M15" s="494"/>
      <c r="N15" s="494"/>
      <c r="O15" s="494"/>
      <c r="P15" s="494"/>
      <c r="Q15" s="494">
        <f t="shared" si="0"/>
        <v>0</v>
      </c>
    </row>
    <row r="16" spans="1:17" ht="13.5" thickBot="1">
      <c r="A16" s="579"/>
      <c r="B16" s="581" t="s">
        <v>1008</v>
      </c>
      <c r="C16" s="573">
        <v>61</v>
      </c>
      <c r="D16" s="573">
        <v>90</v>
      </c>
      <c r="E16" s="573">
        <v>30</v>
      </c>
      <c r="F16" s="573"/>
      <c r="G16" s="573"/>
      <c r="H16" s="573" t="s">
        <v>1059</v>
      </c>
      <c r="I16" s="573"/>
      <c r="J16" s="573"/>
      <c r="K16" s="494"/>
      <c r="L16" s="494"/>
      <c r="M16" s="494"/>
      <c r="N16" s="494"/>
      <c r="O16" s="494"/>
      <c r="P16" s="494"/>
      <c r="Q16" s="494">
        <f t="shared" si="0"/>
        <v>0</v>
      </c>
    </row>
    <row r="17" spans="1:18" ht="13.5" thickBot="1">
      <c r="A17" s="579"/>
      <c r="B17" s="581" t="s">
        <v>1009</v>
      </c>
      <c r="C17" s="573">
        <v>61</v>
      </c>
      <c r="D17" s="573">
        <v>90</v>
      </c>
      <c r="E17" s="573">
        <v>30</v>
      </c>
      <c r="F17" s="573"/>
      <c r="G17" s="573"/>
      <c r="H17" s="573" t="s">
        <v>1059</v>
      </c>
      <c r="I17" s="573"/>
      <c r="J17" s="573"/>
      <c r="K17" s="494"/>
      <c r="L17" s="494"/>
      <c r="M17" s="494"/>
      <c r="N17" s="494"/>
      <c r="O17" s="494"/>
      <c r="P17" s="494"/>
      <c r="Q17" s="494">
        <f t="shared" si="0"/>
        <v>0</v>
      </c>
    </row>
    <row r="18" spans="1:18" ht="13.5" thickBot="1">
      <c r="A18" s="579"/>
      <c r="B18" s="581" t="s">
        <v>1007</v>
      </c>
      <c r="C18" s="573">
        <v>61</v>
      </c>
      <c r="D18" s="573">
        <v>90</v>
      </c>
      <c r="E18" s="573">
        <v>30</v>
      </c>
      <c r="F18" s="573"/>
      <c r="G18" s="573"/>
      <c r="H18" s="573" t="s">
        <v>1059</v>
      </c>
      <c r="I18" s="573"/>
      <c r="J18" s="573"/>
      <c r="K18" s="494"/>
      <c r="L18" s="494"/>
      <c r="M18" s="494"/>
      <c r="N18" s="494"/>
      <c r="O18" s="494"/>
      <c r="P18" s="494"/>
      <c r="Q18" s="494">
        <f t="shared" si="0"/>
        <v>0</v>
      </c>
    </row>
    <row r="19" spans="1:18" ht="13.5" thickBot="1">
      <c r="A19" s="579"/>
      <c r="B19" s="581" t="s">
        <v>1010</v>
      </c>
      <c r="C19" s="573">
        <v>61</v>
      </c>
      <c r="D19" s="573">
        <v>90</v>
      </c>
      <c r="E19" s="573">
        <v>30</v>
      </c>
      <c r="F19" s="573"/>
      <c r="G19" s="492"/>
      <c r="H19" s="573" t="s">
        <v>1059</v>
      </c>
      <c r="I19" s="492"/>
      <c r="J19" s="492"/>
      <c r="K19" s="494"/>
      <c r="L19" s="494"/>
      <c r="M19" s="494"/>
      <c r="N19" s="494"/>
      <c r="O19" s="494"/>
      <c r="P19" s="494"/>
      <c r="Q19" s="494">
        <f t="shared" si="0"/>
        <v>0</v>
      </c>
    </row>
    <row r="20" spans="1:18" ht="13.5" thickBot="1">
      <c r="A20" s="579"/>
      <c r="B20" s="581" t="s">
        <v>1020</v>
      </c>
      <c r="C20" s="573">
        <v>61</v>
      </c>
      <c r="D20" s="573">
        <v>90</v>
      </c>
      <c r="E20" s="573">
        <v>30</v>
      </c>
      <c r="F20" s="573"/>
      <c r="G20" s="490"/>
      <c r="H20" s="573" t="s">
        <v>1059</v>
      </c>
      <c r="I20" s="490"/>
      <c r="J20" s="490"/>
      <c r="K20" s="494"/>
      <c r="L20" s="494"/>
      <c r="M20" s="494"/>
      <c r="N20" s="494"/>
      <c r="O20" s="494"/>
      <c r="P20" s="494"/>
      <c r="Q20" s="494">
        <f t="shared" si="0"/>
        <v>0</v>
      </c>
    </row>
    <row r="21" spans="1:18" ht="13.5" thickBot="1">
      <c r="A21" s="579"/>
      <c r="B21" s="581" t="s">
        <v>1021</v>
      </c>
      <c r="C21" s="573">
        <v>61</v>
      </c>
      <c r="D21" s="573">
        <v>90</v>
      </c>
      <c r="E21" s="573">
        <v>30</v>
      </c>
      <c r="F21" s="573"/>
      <c r="G21" s="490"/>
      <c r="H21" s="573" t="s">
        <v>1059</v>
      </c>
      <c r="I21" s="490"/>
      <c r="J21" s="490"/>
      <c r="K21" s="494"/>
      <c r="L21" s="494"/>
      <c r="M21" s="494"/>
      <c r="N21" s="494"/>
      <c r="O21" s="494"/>
      <c r="P21" s="494"/>
      <c r="Q21" s="494">
        <f t="shared" si="0"/>
        <v>0</v>
      </c>
    </row>
    <row r="22" spans="1:18" ht="13.5" thickBot="1">
      <c r="A22" s="579"/>
      <c r="B22" s="581" t="s">
        <v>1022</v>
      </c>
      <c r="C22" s="573">
        <v>61</v>
      </c>
      <c r="D22" s="573">
        <v>90</v>
      </c>
      <c r="E22" s="573">
        <v>30</v>
      </c>
      <c r="F22" s="573"/>
      <c r="G22" s="490"/>
      <c r="H22" s="573" t="s">
        <v>1059</v>
      </c>
      <c r="I22" s="490"/>
      <c r="J22" s="490"/>
      <c r="K22" s="494"/>
      <c r="L22" s="494"/>
      <c r="M22" s="494"/>
      <c r="N22" s="494"/>
      <c r="O22" s="494"/>
      <c r="P22" s="494"/>
      <c r="Q22" s="494">
        <f t="shared" si="0"/>
        <v>0</v>
      </c>
    </row>
    <row r="23" spans="1:18" ht="13.5" thickBot="1">
      <c r="A23" s="579"/>
      <c r="B23" s="581" t="s">
        <v>1023</v>
      </c>
      <c r="C23" s="573">
        <v>61</v>
      </c>
      <c r="D23" s="573">
        <v>90</v>
      </c>
      <c r="E23" s="573">
        <v>30</v>
      </c>
      <c r="F23" s="573"/>
      <c r="G23" s="490"/>
      <c r="H23" s="573" t="s">
        <v>1059</v>
      </c>
      <c r="I23" s="490"/>
      <c r="J23" s="490"/>
      <c r="K23" s="494"/>
      <c r="L23" s="494"/>
      <c r="M23" s="494"/>
      <c r="N23" s="494"/>
      <c r="O23" s="494"/>
      <c r="P23" s="494"/>
      <c r="Q23" s="494">
        <f t="shared" si="0"/>
        <v>0</v>
      </c>
    </row>
    <row r="24" spans="1:18" ht="13.5" thickBot="1">
      <c r="A24" s="579"/>
      <c r="B24" s="581" t="s">
        <v>1024</v>
      </c>
      <c r="C24" s="573">
        <v>61</v>
      </c>
      <c r="D24" s="573">
        <v>90</v>
      </c>
      <c r="E24" s="573">
        <v>30</v>
      </c>
      <c r="F24" s="573"/>
      <c r="G24" s="490"/>
      <c r="H24" s="573" t="s">
        <v>1059</v>
      </c>
      <c r="I24" s="490"/>
      <c r="J24" s="490"/>
      <c r="K24" s="494"/>
      <c r="L24" s="494"/>
      <c r="M24" s="494"/>
      <c r="N24" s="494"/>
      <c r="O24" s="494"/>
      <c r="P24" s="494"/>
      <c r="Q24" s="494">
        <f t="shared" si="0"/>
        <v>0</v>
      </c>
    </row>
    <row r="25" spans="1:18" ht="13.5" thickBot="1">
      <c r="A25" s="579"/>
      <c r="B25" s="581" t="s">
        <v>1026</v>
      </c>
      <c r="C25" s="573">
        <v>61</v>
      </c>
      <c r="D25" s="573">
        <v>90</v>
      </c>
      <c r="E25" s="573">
        <v>30</v>
      </c>
      <c r="F25" s="573"/>
      <c r="G25" s="490"/>
      <c r="H25" s="573" t="s">
        <v>1059</v>
      </c>
      <c r="I25" s="490"/>
      <c r="J25" s="490"/>
      <c r="K25" s="494"/>
      <c r="L25" s="494"/>
      <c r="M25" s="494"/>
      <c r="N25" s="494"/>
      <c r="O25" s="494"/>
      <c r="P25" s="494"/>
      <c r="Q25" s="494">
        <f t="shared" si="0"/>
        <v>0</v>
      </c>
    </row>
    <row r="26" spans="1:18" ht="13.5" thickBot="1">
      <c r="A26" s="583"/>
      <c r="B26" s="581" t="s">
        <v>1025</v>
      </c>
      <c r="C26" s="573">
        <v>61</v>
      </c>
      <c r="D26" s="573">
        <v>90</v>
      </c>
      <c r="E26" s="573">
        <v>30</v>
      </c>
      <c r="F26" s="573"/>
      <c r="G26" s="490"/>
      <c r="H26" s="573" t="s">
        <v>1059</v>
      </c>
      <c r="I26" s="490"/>
      <c r="J26" s="490"/>
      <c r="K26" s="494"/>
      <c r="L26" s="494"/>
      <c r="M26" s="494"/>
      <c r="N26" s="494"/>
      <c r="O26" s="494"/>
      <c r="P26" s="494"/>
      <c r="Q26" s="494">
        <f t="shared" si="0"/>
        <v>0</v>
      </c>
      <c r="R26" s="495"/>
    </row>
    <row r="27" spans="1:18" ht="13.5" thickBot="1">
      <c r="A27" s="583"/>
      <c r="B27" s="581" t="s">
        <v>1042</v>
      </c>
      <c r="C27" s="573">
        <v>61</v>
      </c>
      <c r="D27" s="573">
        <v>90</v>
      </c>
      <c r="E27" s="573">
        <v>30</v>
      </c>
      <c r="F27" s="573"/>
      <c r="G27" s="573" t="s">
        <v>1059</v>
      </c>
      <c r="H27" s="490"/>
      <c r="I27" s="490"/>
      <c r="J27" s="490"/>
      <c r="K27" s="494"/>
      <c r="L27" s="494"/>
      <c r="M27" s="494"/>
      <c r="N27" s="494"/>
      <c r="O27" s="494"/>
      <c r="P27" s="494"/>
      <c r="Q27" s="494">
        <f t="shared" si="0"/>
        <v>0</v>
      </c>
    </row>
    <row r="28" spans="1:18" ht="13.5" thickBot="1">
      <c r="A28" s="583"/>
      <c r="B28" s="581" t="s">
        <v>1027</v>
      </c>
      <c r="C28" s="573">
        <v>61</v>
      </c>
      <c r="D28" s="573">
        <v>90</v>
      </c>
      <c r="E28" s="573">
        <v>30</v>
      </c>
      <c r="F28" s="573"/>
      <c r="G28" s="490"/>
      <c r="H28" s="573" t="s">
        <v>1059</v>
      </c>
      <c r="I28" s="490"/>
      <c r="J28" s="490"/>
      <c r="K28" s="494"/>
      <c r="L28" s="494"/>
      <c r="M28" s="494"/>
      <c r="N28" s="494"/>
      <c r="O28" s="494"/>
      <c r="P28" s="494"/>
      <c r="Q28" s="494">
        <f t="shared" si="0"/>
        <v>0</v>
      </c>
    </row>
    <row r="29" spans="1:18" ht="13.5" thickBot="1">
      <c r="A29" s="583"/>
      <c r="B29" s="581" t="s">
        <v>1019</v>
      </c>
      <c r="C29" s="573">
        <v>1</v>
      </c>
      <c r="D29" s="573">
        <v>60</v>
      </c>
      <c r="E29" s="573">
        <v>60</v>
      </c>
      <c r="F29" s="573"/>
      <c r="G29" s="490"/>
      <c r="H29" s="573" t="s">
        <v>1059</v>
      </c>
      <c r="I29" s="490"/>
      <c r="J29" s="490"/>
      <c r="K29" s="494"/>
      <c r="L29" s="494"/>
      <c r="M29" s="494"/>
      <c r="N29" s="494"/>
      <c r="O29" s="494"/>
      <c r="P29" s="494"/>
      <c r="Q29" s="494">
        <f t="shared" si="0"/>
        <v>0</v>
      </c>
    </row>
    <row r="30" spans="1:18" ht="13.5" thickBot="1">
      <c r="A30" s="583"/>
      <c r="B30" s="584" t="s">
        <v>1046</v>
      </c>
      <c r="C30" s="573">
        <v>1</v>
      </c>
      <c r="D30" s="573">
        <v>60</v>
      </c>
      <c r="E30" s="573">
        <v>60</v>
      </c>
      <c r="F30" s="573"/>
      <c r="G30" s="573" t="s">
        <v>1059</v>
      </c>
      <c r="H30" s="490"/>
      <c r="I30" s="490"/>
      <c r="J30" s="490"/>
      <c r="K30" s="494"/>
      <c r="L30" s="494"/>
      <c r="M30" s="494"/>
      <c r="N30" s="494"/>
      <c r="O30" s="494"/>
      <c r="P30" s="494"/>
      <c r="Q30" s="494">
        <f t="shared" si="0"/>
        <v>0</v>
      </c>
    </row>
    <row r="31" spans="1:18" ht="13.5" thickBot="1">
      <c r="A31" s="583"/>
      <c r="B31" s="584" t="s">
        <v>996</v>
      </c>
      <c r="C31" s="573">
        <v>1</v>
      </c>
      <c r="D31" s="573">
        <v>60</v>
      </c>
      <c r="E31" s="573">
        <v>60</v>
      </c>
      <c r="F31" s="573"/>
      <c r="G31" s="573" t="s">
        <v>1059</v>
      </c>
      <c r="H31" s="490"/>
      <c r="I31" s="490"/>
      <c r="J31" s="490"/>
      <c r="K31" s="494"/>
      <c r="L31" s="494"/>
      <c r="M31" s="494"/>
      <c r="N31" s="494"/>
      <c r="O31" s="494"/>
      <c r="P31" s="494"/>
      <c r="Q31" s="494">
        <f t="shared" si="0"/>
        <v>0</v>
      </c>
    </row>
    <row r="32" spans="1:18" ht="13.5" thickBot="1">
      <c r="A32" s="583"/>
      <c r="B32" s="584" t="s">
        <v>1017</v>
      </c>
      <c r="C32" s="573">
        <v>1</v>
      </c>
      <c r="D32" s="573">
        <v>60</v>
      </c>
      <c r="E32" s="573">
        <v>60</v>
      </c>
      <c r="F32" s="573"/>
      <c r="G32" s="573" t="s">
        <v>1059</v>
      </c>
      <c r="H32" s="490"/>
      <c r="I32" s="490"/>
      <c r="J32" s="490"/>
      <c r="K32" s="494"/>
      <c r="L32" s="494"/>
      <c r="M32" s="494"/>
      <c r="N32" s="494"/>
      <c r="O32" s="494"/>
      <c r="P32" s="494"/>
      <c r="Q32" s="494">
        <f t="shared" si="0"/>
        <v>0</v>
      </c>
    </row>
    <row r="33" spans="1:17" ht="13.5" thickBot="1">
      <c r="A33" s="583"/>
      <c r="B33" s="584" t="s">
        <v>1018</v>
      </c>
      <c r="C33" s="573">
        <v>1</v>
      </c>
      <c r="D33" s="573">
        <v>60</v>
      </c>
      <c r="E33" s="573">
        <v>60</v>
      </c>
      <c r="F33" s="573"/>
      <c r="G33" s="573" t="s">
        <v>1059</v>
      </c>
      <c r="H33" s="490"/>
      <c r="I33" s="490"/>
      <c r="J33" s="490"/>
      <c r="K33" s="494"/>
      <c r="L33" s="494"/>
      <c r="M33" s="494"/>
      <c r="N33" s="494"/>
      <c r="O33" s="494"/>
      <c r="P33" s="494"/>
      <c r="Q33" s="494">
        <f t="shared" si="0"/>
        <v>0</v>
      </c>
    </row>
    <row r="34" spans="1:17" ht="13.5" thickBot="1">
      <c r="A34" s="583"/>
      <c r="B34" s="584" t="s">
        <v>1004</v>
      </c>
      <c r="C34" s="573">
        <v>1</v>
      </c>
      <c r="D34" s="573">
        <v>60</v>
      </c>
      <c r="E34" s="573">
        <v>60</v>
      </c>
      <c r="F34" s="573"/>
      <c r="G34" s="573" t="s">
        <v>1059</v>
      </c>
      <c r="H34" s="490"/>
      <c r="I34" s="490"/>
      <c r="J34" s="490"/>
      <c r="K34" s="494"/>
      <c r="L34" s="494"/>
      <c r="M34" s="494"/>
      <c r="N34" s="494"/>
      <c r="O34" s="494"/>
      <c r="P34" s="494"/>
      <c r="Q34" s="494">
        <f t="shared" si="0"/>
        <v>0</v>
      </c>
    </row>
    <row r="35" spans="1:17" ht="13.5" thickBot="1">
      <c r="A35" s="583"/>
      <c r="B35" s="584" t="s">
        <v>1005</v>
      </c>
      <c r="C35" s="573">
        <v>1</v>
      </c>
      <c r="D35" s="573">
        <v>60</v>
      </c>
      <c r="E35" s="573">
        <v>60</v>
      </c>
      <c r="F35" s="573"/>
      <c r="G35" s="573" t="s">
        <v>1059</v>
      </c>
      <c r="H35" s="490"/>
      <c r="I35" s="490"/>
      <c r="J35" s="490"/>
      <c r="K35" s="494"/>
      <c r="L35" s="494"/>
      <c r="M35" s="494"/>
      <c r="N35" s="494"/>
      <c r="O35" s="494"/>
      <c r="P35" s="494"/>
      <c r="Q35" s="494">
        <f t="shared" si="0"/>
        <v>0</v>
      </c>
    </row>
    <row r="36" spans="1:17" ht="13.5" thickBot="1">
      <c r="A36" s="583"/>
      <c r="B36" s="584" t="s">
        <v>1002</v>
      </c>
      <c r="C36" s="573">
        <v>1</v>
      </c>
      <c r="D36" s="573">
        <v>60</v>
      </c>
      <c r="E36" s="573">
        <v>60</v>
      </c>
      <c r="F36" s="573"/>
      <c r="G36" s="573" t="s">
        <v>1059</v>
      </c>
      <c r="H36" s="490"/>
      <c r="I36" s="490"/>
      <c r="J36" s="490"/>
      <c r="K36" s="494"/>
      <c r="L36" s="494"/>
      <c r="M36" s="494"/>
      <c r="N36" s="494"/>
      <c r="O36" s="494"/>
      <c r="P36" s="494"/>
      <c r="Q36" s="494">
        <f t="shared" si="0"/>
        <v>0</v>
      </c>
    </row>
    <row r="37" spans="1:17" ht="13.5" thickBot="1">
      <c r="A37" s="583"/>
      <c r="B37" s="584" t="s">
        <v>1003</v>
      </c>
      <c r="C37" s="573">
        <v>1</v>
      </c>
      <c r="D37" s="573">
        <v>60</v>
      </c>
      <c r="E37" s="573">
        <v>60</v>
      </c>
      <c r="F37" s="573"/>
      <c r="G37" s="573" t="s">
        <v>1059</v>
      </c>
      <c r="H37" s="490"/>
      <c r="I37" s="490"/>
      <c r="J37" s="490"/>
      <c r="K37" s="494"/>
      <c r="L37" s="494"/>
      <c r="M37" s="494"/>
      <c r="N37" s="494"/>
      <c r="O37" s="494"/>
      <c r="P37" s="494"/>
      <c r="Q37" s="494">
        <f t="shared" si="0"/>
        <v>0</v>
      </c>
    </row>
    <row r="38" spans="1:17" ht="13.5" thickBot="1">
      <c r="A38" s="583"/>
      <c r="B38" s="584" t="s">
        <v>1043</v>
      </c>
      <c r="C38" s="573">
        <v>1</v>
      </c>
      <c r="D38" s="573">
        <v>60</v>
      </c>
      <c r="E38" s="573">
        <v>60</v>
      </c>
      <c r="F38" s="573"/>
      <c r="G38" s="573" t="s">
        <v>1059</v>
      </c>
      <c r="H38" s="490"/>
      <c r="I38" s="490"/>
      <c r="J38" s="490"/>
      <c r="K38" s="494"/>
      <c r="L38" s="494"/>
      <c r="M38" s="494"/>
      <c r="N38" s="494"/>
      <c r="O38" s="494"/>
      <c r="P38" s="494"/>
      <c r="Q38" s="494">
        <f t="shared" si="0"/>
        <v>0</v>
      </c>
    </row>
    <row r="39" spans="1:17" ht="13.5" thickBot="1">
      <c r="A39" s="583"/>
      <c r="B39" s="584" t="s">
        <v>1044</v>
      </c>
      <c r="C39" s="573">
        <v>1</v>
      </c>
      <c r="D39" s="573">
        <v>60</v>
      </c>
      <c r="E39" s="573">
        <v>60</v>
      </c>
      <c r="F39" s="573"/>
      <c r="G39" s="573" t="s">
        <v>1059</v>
      </c>
      <c r="H39" s="490"/>
      <c r="I39" s="490"/>
      <c r="J39" s="490"/>
      <c r="K39" s="494"/>
      <c r="L39" s="494"/>
      <c r="M39" s="494"/>
      <c r="N39" s="494"/>
      <c r="O39" s="494"/>
      <c r="P39" s="494"/>
      <c r="Q39" s="494">
        <f t="shared" si="0"/>
        <v>0</v>
      </c>
    </row>
    <row r="40" spans="1:17" ht="13.5" thickBot="1">
      <c r="A40" s="583"/>
      <c r="B40" s="584" t="s">
        <v>1045</v>
      </c>
      <c r="C40" s="573">
        <v>1</v>
      </c>
      <c r="D40" s="573">
        <v>60</v>
      </c>
      <c r="E40" s="573">
        <v>60</v>
      </c>
      <c r="F40" s="573"/>
      <c r="G40" s="573" t="s">
        <v>1059</v>
      </c>
      <c r="H40" s="490"/>
      <c r="I40" s="490"/>
      <c r="J40" s="490"/>
      <c r="K40" s="494"/>
      <c r="L40" s="494"/>
      <c r="M40" s="494"/>
      <c r="N40" s="494"/>
      <c r="O40" s="494"/>
      <c r="P40" s="494"/>
      <c r="Q40" s="494">
        <f t="shared" si="0"/>
        <v>0</v>
      </c>
    </row>
    <row r="41" spans="1:17" ht="13.5" thickBot="1">
      <c r="A41" s="583"/>
      <c r="B41" s="581" t="s">
        <v>1015</v>
      </c>
      <c r="C41" s="573">
        <v>1</v>
      </c>
      <c r="D41" s="573">
        <v>60</v>
      </c>
      <c r="E41" s="573">
        <v>60</v>
      </c>
      <c r="F41" s="573"/>
      <c r="G41" s="573" t="s">
        <v>1059</v>
      </c>
      <c r="H41" s="490"/>
      <c r="I41" s="490"/>
      <c r="J41" s="490"/>
      <c r="K41" s="494"/>
      <c r="L41" s="494"/>
      <c r="M41" s="494"/>
      <c r="N41" s="494"/>
      <c r="O41" s="494"/>
      <c r="P41" s="494"/>
      <c r="Q41" s="494">
        <f t="shared" si="0"/>
        <v>0</v>
      </c>
    </row>
    <row r="42" spans="1:17" ht="13.5" thickBot="1">
      <c r="A42" s="583"/>
      <c r="B42" s="581" t="s">
        <v>1016</v>
      </c>
      <c r="C42" s="573">
        <v>1</v>
      </c>
      <c r="D42" s="573">
        <v>60</v>
      </c>
      <c r="E42" s="573">
        <v>60</v>
      </c>
      <c r="F42" s="573"/>
      <c r="G42" s="573" t="s">
        <v>1059</v>
      </c>
      <c r="H42" s="490"/>
      <c r="I42" s="490"/>
      <c r="J42" s="490"/>
      <c r="K42" s="494"/>
      <c r="L42" s="494"/>
      <c r="M42" s="494"/>
      <c r="N42" s="494"/>
      <c r="O42" s="494"/>
      <c r="P42" s="494"/>
      <c r="Q42" s="494">
        <f t="shared" si="0"/>
        <v>0</v>
      </c>
    </row>
    <row r="43" spans="1:17" ht="13.5" thickBot="1">
      <c r="A43" s="583"/>
      <c r="B43" s="581" t="s">
        <v>1011</v>
      </c>
      <c r="C43" s="573">
        <v>1</v>
      </c>
      <c r="D43" s="573">
        <v>60</v>
      </c>
      <c r="E43" s="573">
        <v>60</v>
      </c>
      <c r="F43" s="573"/>
      <c r="G43" s="573" t="s">
        <v>1059</v>
      </c>
      <c r="H43" s="490"/>
      <c r="I43" s="490"/>
      <c r="J43" s="490"/>
      <c r="K43" s="494"/>
      <c r="L43" s="494"/>
      <c r="M43" s="494"/>
      <c r="N43" s="494"/>
      <c r="O43" s="494"/>
      <c r="P43" s="494"/>
      <c r="Q43" s="494">
        <f t="shared" si="0"/>
        <v>0</v>
      </c>
    </row>
    <row r="44" spans="1:17" ht="13.5" thickBot="1">
      <c r="A44" s="583"/>
      <c r="B44" s="581" t="s">
        <v>1012</v>
      </c>
      <c r="C44" s="573">
        <v>1</v>
      </c>
      <c r="D44" s="573">
        <v>60</v>
      </c>
      <c r="E44" s="573">
        <v>60</v>
      </c>
      <c r="F44" s="573"/>
      <c r="G44" s="573" t="s">
        <v>1059</v>
      </c>
      <c r="H44" s="490"/>
      <c r="I44" s="490"/>
      <c r="J44" s="490"/>
      <c r="K44" s="494"/>
      <c r="L44" s="494"/>
      <c r="M44" s="494"/>
      <c r="N44" s="494"/>
      <c r="O44" s="494"/>
      <c r="P44" s="494"/>
      <c r="Q44" s="494">
        <f t="shared" si="0"/>
        <v>0</v>
      </c>
    </row>
    <row r="45" spans="1:17" ht="13.5" thickBot="1">
      <c r="A45" s="583"/>
      <c r="B45" s="581" t="s">
        <v>967</v>
      </c>
      <c r="C45" s="573">
        <v>1</v>
      </c>
      <c r="D45" s="573">
        <v>60</v>
      </c>
      <c r="E45" s="573">
        <v>60</v>
      </c>
      <c r="F45" s="573"/>
      <c r="G45" s="573" t="s">
        <v>1059</v>
      </c>
      <c r="H45" s="490"/>
      <c r="I45" s="490"/>
      <c r="J45" s="490"/>
      <c r="K45" s="494"/>
      <c r="L45" s="494"/>
      <c r="M45" s="494"/>
      <c r="N45" s="494"/>
      <c r="O45" s="494"/>
      <c r="P45" s="494"/>
      <c r="Q45" s="494">
        <f t="shared" si="0"/>
        <v>0</v>
      </c>
    </row>
    <row r="46" spans="1:17" ht="13.5" thickBot="1">
      <c r="A46" s="583"/>
      <c r="B46" s="581" t="s">
        <v>1013</v>
      </c>
      <c r="C46" s="573">
        <v>1</v>
      </c>
      <c r="D46" s="573">
        <v>60</v>
      </c>
      <c r="E46" s="573">
        <v>60</v>
      </c>
      <c r="F46" s="573"/>
      <c r="G46" s="573" t="s">
        <v>1059</v>
      </c>
      <c r="H46" s="490"/>
      <c r="I46" s="490"/>
      <c r="J46" s="490"/>
      <c r="K46" s="494"/>
      <c r="L46" s="494"/>
      <c r="M46" s="494"/>
      <c r="N46" s="494"/>
      <c r="O46" s="494"/>
      <c r="P46" s="494"/>
      <c r="Q46" s="494">
        <f t="shared" si="0"/>
        <v>0</v>
      </c>
    </row>
    <row r="47" spans="1:17" ht="13.5" thickBot="1">
      <c r="A47" s="583"/>
      <c r="B47" s="581" t="s">
        <v>1014</v>
      </c>
      <c r="C47" s="573">
        <v>1</v>
      </c>
      <c r="D47" s="573">
        <v>60</v>
      </c>
      <c r="E47" s="573">
        <v>60</v>
      </c>
      <c r="F47" s="573"/>
      <c r="G47" s="573" t="s">
        <v>1059</v>
      </c>
      <c r="H47" s="490"/>
      <c r="I47" s="490"/>
      <c r="J47" s="490"/>
      <c r="K47" s="494"/>
      <c r="L47" s="494"/>
      <c r="M47" s="494"/>
      <c r="N47" s="494"/>
      <c r="O47" s="494"/>
      <c r="P47" s="494"/>
      <c r="Q47" s="494">
        <f t="shared" si="0"/>
        <v>0</v>
      </c>
    </row>
    <row r="48" spans="1:17" ht="13.5" thickBot="1">
      <c r="A48" s="583"/>
      <c r="B48" s="581" t="s">
        <v>999</v>
      </c>
      <c r="C48" s="573">
        <v>1</v>
      </c>
      <c r="D48" s="573">
        <v>60</v>
      </c>
      <c r="E48" s="573">
        <v>60</v>
      </c>
      <c r="F48" s="573"/>
      <c r="G48" s="573" t="s">
        <v>1059</v>
      </c>
      <c r="H48" s="490"/>
      <c r="I48" s="490"/>
      <c r="J48" s="490"/>
      <c r="K48" s="494"/>
      <c r="L48" s="494"/>
      <c r="M48" s="494"/>
      <c r="N48" s="494"/>
      <c r="O48" s="494"/>
      <c r="P48" s="494"/>
      <c r="Q48" s="494">
        <f t="shared" si="0"/>
        <v>0</v>
      </c>
    </row>
    <row r="49" spans="1:17" ht="13.5" thickBot="1">
      <c r="A49" s="583"/>
      <c r="B49" s="581" t="s">
        <v>1000</v>
      </c>
      <c r="C49" s="573">
        <v>1</v>
      </c>
      <c r="D49" s="573">
        <v>60</v>
      </c>
      <c r="E49" s="573">
        <v>60</v>
      </c>
      <c r="F49" s="573"/>
      <c r="G49" s="573" t="s">
        <v>1059</v>
      </c>
      <c r="H49" s="490"/>
      <c r="I49" s="490"/>
      <c r="J49" s="490"/>
      <c r="K49" s="494"/>
      <c r="L49" s="494"/>
      <c r="M49" s="494"/>
      <c r="N49" s="494"/>
      <c r="O49" s="494"/>
      <c r="P49" s="494"/>
      <c r="Q49" s="494">
        <f t="shared" si="0"/>
        <v>0</v>
      </c>
    </row>
    <row r="50" spans="1:17" ht="13.5" thickBot="1">
      <c r="A50" s="583"/>
      <c r="B50" s="581" t="s">
        <v>1001</v>
      </c>
      <c r="C50" s="573">
        <v>1</v>
      </c>
      <c r="D50" s="573">
        <v>60</v>
      </c>
      <c r="E50" s="573">
        <v>60</v>
      </c>
      <c r="F50" s="573"/>
      <c r="G50" s="573" t="s">
        <v>1059</v>
      </c>
      <c r="H50" s="490"/>
      <c r="I50" s="490"/>
      <c r="J50" s="490"/>
      <c r="K50" s="494"/>
      <c r="L50" s="494"/>
      <c r="M50" s="494"/>
      <c r="N50" s="494"/>
      <c r="O50" s="494"/>
      <c r="P50" s="494"/>
      <c r="Q50" s="494">
        <f t="shared" si="0"/>
        <v>0</v>
      </c>
    </row>
    <row r="51" spans="1:17" ht="13.5" thickBot="1">
      <c r="A51" s="583"/>
      <c r="B51" s="581" t="s">
        <v>997</v>
      </c>
      <c r="C51" s="573">
        <v>1</v>
      </c>
      <c r="D51" s="573">
        <v>60</v>
      </c>
      <c r="E51" s="573">
        <v>60</v>
      </c>
      <c r="F51" s="573"/>
      <c r="G51" s="573" t="s">
        <v>1059</v>
      </c>
      <c r="H51" s="490"/>
      <c r="I51" s="490"/>
      <c r="J51" s="490"/>
      <c r="K51" s="494"/>
      <c r="L51" s="494"/>
      <c r="M51" s="494"/>
      <c r="N51" s="494"/>
      <c r="O51" s="494"/>
      <c r="P51" s="494"/>
      <c r="Q51" s="494">
        <f t="shared" si="0"/>
        <v>0</v>
      </c>
    </row>
    <row r="52" spans="1:17" ht="13.5" thickBot="1">
      <c r="A52" s="583"/>
      <c r="B52" s="581" t="s">
        <v>998</v>
      </c>
      <c r="C52" s="573">
        <v>1</v>
      </c>
      <c r="D52" s="573">
        <v>60</v>
      </c>
      <c r="E52" s="573">
        <v>60</v>
      </c>
      <c r="F52" s="573"/>
      <c r="G52" s="573" t="s">
        <v>1059</v>
      </c>
      <c r="H52" s="490"/>
      <c r="I52" s="490"/>
      <c r="J52" s="490"/>
      <c r="K52" s="494"/>
      <c r="L52" s="494"/>
      <c r="M52" s="494"/>
      <c r="N52" s="494"/>
      <c r="O52" s="494"/>
      <c r="P52" s="494"/>
      <c r="Q52" s="494">
        <f t="shared" si="0"/>
        <v>0</v>
      </c>
    </row>
    <row r="53" spans="1:17" ht="13.5" thickBot="1">
      <c r="A53" s="583"/>
      <c r="B53" s="581" t="s">
        <v>978</v>
      </c>
      <c r="C53" s="573">
        <v>1</v>
      </c>
      <c r="D53" s="573">
        <v>60</v>
      </c>
      <c r="E53" s="573">
        <v>60</v>
      </c>
      <c r="F53" s="573"/>
      <c r="G53" s="573" t="s">
        <v>1059</v>
      </c>
      <c r="H53" s="490"/>
      <c r="I53" s="490"/>
      <c r="J53" s="490"/>
      <c r="K53" s="494"/>
      <c r="L53" s="494"/>
      <c r="M53" s="494"/>
      <c r="N53" s="494"/>
      <c r="O53" s="494"/>
      <c r="P53" s="494"/>
      <c r="Q53" s="494">
        <f t="shared" si="0"/>
        <v>0</v>
      </c>
    </row>
    <row r="54" spans="1:17" ht="13.5" thickBot="1">
      <c r="A54" s="583"/>
      <c r="B54" s="585" t="s">
        <v>59</v>
      </c>
      <c r="C54" s="573">
        <v>61</v>
      </c>
      <c r="D54" s="573">
        <v>90</v>
      </c>
      <c r="E54" s="573">
        <v>30</v>
      </c>
      <c r="F54" s="573"/>
      <c r="G54" s="490"/>
      <c r="H54" s="573"/>
      <c r="I54" s="573" t="s">
        <v>1059</v>
      </c>
      <c r="J54" s="490"/>
      <c r="K54" s="494"/>
      <c r="L54" s="494"/>
      <c r="M54" s="494"/>
      <c r="N54" s="494"/>
      <c r="O54" s="494"/>
      <c r="P54" s="494"/>
      <c r="Q54" s="494">
        <f t="shared" si="0"/>
        <v>0</v>
      </c>
    </row>
    <row r="55" spans="1:17" ht="13.5" thickBot="1">
      <c r="A55" s="583"/>
      <c r="B55" s="586" t="s">
        <v>977</v>
      </c>
      <c r="C55" s="573">
        <v>61</v>
      </c>
      <c r="D55" s="573">
        <v>90</v>
      </c>
      <c r="E55" s="573">
        <v>30</v>
      </c>
      <c r="F55" s="573"/>
      <c r="G55" s="490"/>
      <c r="H55" s="573"/>
      <c r="I55" s="573" t="s">
        <v>1059</v>
      </c>
      <c r="J55" s="490"/>
      <c r="K55" s="494"/>
      <c r="L55" s="494"/>
      <c r="M55" s="494"/>
      <c r="N55" s="494"/>
      <c r="O55" s="494"/>
      <c r="P55" s="494"/>
      <c r="Q55" s="494">
        <f t="shared" si="0"/>
        <v>0</v>
      </c>
    </row>
    <row r="56" spans="1:17" ht="13.5" thickBot="1">
      <c r="A56" s="583"/>
      <c r="B56" s="586" t="s">
        <v>966</v>
      </c>
      <c r="C56" s="573">
        <v>61</v>
      </c>
      <c r="D56" s="573">
        <v>90</v>
      </c>
      <c r="E56" s="573">
        <v>30</v>
      </c>
      <c r="F56" s="573"/>
      <c r="G56" s="490"/>
      <c r="H56" s="573"/>
      <c r="I56" s="573" t="s">
        <v>1059</v>
      </c>
      <c r="J56" s="490"/>
      <c r="K56" s="494"/>
      <c r="L56" s="494"/>
      <c r="M56" s="494"/>
      <c r="N56" s="494"/>
      <c r="O56" s="494"/>
      <c r="P56" s="494"/>
      <c r="Q56" s="494">
        <f t="shared" si="0"/>
        <v>0</v>
      </c>
    </row>
    <row r="57" spans="1:17" ht="13.5" thickBot="1">
      <c r="A57" s="583"/>
      <c r="B57" s="586" t="s">
        <v>971</v>
      </c>
      <c r="C57" s="573">
        <v>61</v>
      </c>
      <c r="D57" s="573">
        <v>90</v>
      </c>
      <c r="E57" s="573">
        <v>30</v>
      </c>
      <c r="F57" s="573"/>
      <c r="G57" s="490"/>
      <c r="H57" s="573"/>
      <c r="I57" s="573" t="s">
        <v>1059</v>
      </c>
      <c r="J57" s="490"/>
      <c r="K57" s="494"/>
      <c r="L57" s="494"/>
      <c r="M57" s="494"/>
      <c r="N57" s="494"/>
      <c r="O57" s="494"/>
      <c r="P57" s="494"/>
      <c r="Q57" s="494">
        <f t="shared" si="0"/>
        <v>0</v>
      </c>
    </row>
    <row r="58" spans="1:17" ht="13.5" thickBot="1">
      <c r="A58" s="583"/>
      <c r="B58" s="581" t="s">
        <v>981</v>
      </c>
      <c r="C58" s="573">
        <v>91</v>
      </c>
      <c r="D58" s="573">
        <v>140</v>
      </c>
      <c r="E58" s="573">
        <v>50</v>
      </c>
      <c r="F58" s="573"/>
      <c r="G58" s="490"/>
      <c r="H58" s="490"/>
      <c r="I58" s="573" t="s">
        <v>1059</v>
      </c>
      <c r="J58" s="573" t="s">
        <v>1059</v>
      </c>
      <c r="K58" s="494"/>
      <c r="L58" s="494"/>
      <c r="M58" s="494"/>
      <c r="N58" s="494"/>
      <c r="O58" s="494"/>
      <c r="P58" s="494"/>
      <c r="Q58" s="494">
        <f t="shared" si="0"/>
        <v>0</v>
      </c>
    </row>
    <row r="59" spans="1:17" ht="13.5" thickBot="1">
      <c r="A59" s="583"/>
      <c r="B59" s="581" t="s">
        <v>982</v>
      </c>
      <c r="C59" s="573">
        <v>91</v>
      </c>
      <c r="D59" s="573">
        <v>140</v>
      </c>
      <c r="E59" s="573">
        <v>50</v>
      </c>
      <c r="F59" s="573"/>
      <c r="G59" s="490"/>
      <c r="H59" s="490"/>
      <c r="I59" s="573" t="s">
        <v>1059</v>
      </c>
      <c r="J59" s="573" t="s">
        <v>1059</v>
      </c>
      <c r="K59" s="494"/>
      <c r="L59" s="494"/>
      <c r="M59" s="494"/>
      <c r="N59" s="494"/>
      <c r="O59" s="494"/>
      <c r="P59" s="494"/>
      <c r="Q59" s="494">
        <f t="shared" si="0"/>
        <v>0</v>
      </c>
    </row>
    <row r="60" spans="1:17" ht="13.5" thickBot="1">
      <c r="A60" s="583"/>
      <c r="B60" s="581" t="s">
        <v>1055</v>
      </c>
      <c r="C60" s="573">
        <v>91</v>
      </c>
      <c r="D60" s="573">
        <v>140</v>
      </c>
      <c r="E60" s="573">
        <v>50</v>
      </c>
      <c r="F60" s="573"/>
      <c r="G60" s="490"/>
      <c r="H60" s="490"/>
      <c r="I60" s="573" t="s">
        <v>1059</v>
      </c>
      <c r="J60" s="573" t="s">
        <v>1059</v>
      </c>
      <c r="K60" s="494"/>
      <c r="L60" s="494"/>
      <c r="M60" s="494"/>
      <c r="N60" s="494"/>
      <c r="O60" s="494"/>
      <c r="P60" s="494"/>
      <c r="Q60" s="494">
        <f t="shared" si="0"/>
        <v>0</v>
      </c>
    </row>
    <row r="61" spans="1:17" ht="13.5" thickBot="1">
      <c r="A61" s="583"/>
      <c r="B61" s="581" t="s">
        <v>983</v>
      </c>
      <c r="C61" s="573">
        <v>91</v>
      </c>
      <c r="D61" s="573">
        <v>140</v>
      </c>
      <c r="E61" s="573">
        <v>50</v>
      </c>
      <c r="F61" s="573"/>
      <c r="G61" s="490"/>
      <c r="H61" s="490"/>
      <c r="I61" s="573" t="s">
        <v>1059</v>
      </c>
      <c r="J61" s="573" t="s">
        <v>1059</v>
      </c>
      <c r="K61" s="494"/>
      <c r="L61" s="494"/>
      <c r="M61" s="494"/>
      <c r="N61" s="494"/>
      <c r="O61" s="494"/>
      <c r="P61" s="494"/>
      <c r="Q61" s="494">
        <f t="shared" si="0"/>
        <v>0</v>
      </c>
    </row>
    <row r="62" spans="1:17" ht="13.5" thickBot="1">
      <c r="A62" s="583"/>
      <c r="B62" s="581" t="s">
        <v>1057</v>
      </c>
      <c r="C62" s="573">
        <v>91</v>
      </c>
      <c r="D62" s="573">
        <v>140</v>
      </c>
      <c r="E62" s="573">
        <v>50</v>
      </c>
      <c r="F62" s="573"/>
      <c r="G62" s="490"/>
      <c r="H62" s="490"/>
      <c r="I62" s="573" t="s">
        <v>1059</v>
      </c>
      <c r="J62" s="573" t="s">
        <v>1059</v>
      </c>
      <c r="K62" s="494"/>
      <c r="L62" s="494"/>
      <c r="M62" s="494"/>
      <c r="N62" s="494"/>
      <c r="O62" s="494"/>
      <c r="P62" s="494"/>
      <c r="Q62" s="494">
        <f t="shared" si="0"/>
        <v>0</v>
      </c>
    </row>
    <row r="63" spans="1:17" ht="23.25" thickBot="1">
      <c r="A63" s="583"/>
      <c r="B63" s="581" t="s">
        <v>985</v>
      </c>
      <c r="C63" s="573">
        <v>91</v>
      </c>
      <c r="D63" s="573">
        <v>140</v>
      </c>
      <c r="E63" s="573">
        <v>50</v>
      </c>
      <c r="F63" s="573"/>
      <c r="G63" s="490"/>
      <c r="H63" s="490"/>
      <c r="I63" s="573" t="s">
        <v>1059</v>
      </c>
      <c r="J63" s="573" t="s">
        <v>1059</v>
      </c>
      <c r="K63" s="494"/>
      <c r="L63" s="494"/>
      <c r="M63" s="494"/>
      <c r="N63" s="494"/>
      <c r="O63" s="494"/>
      <c r="P63" s="494"/>
      <c r="Q63" s="494">
        <f t="shared" si="0"/>
        <v>0</v>
      </c>
    </row>
    <row r="64" spans="1:17" ht="23.25" thickBot="1">
      <c r="A64" s="583"/>
      <c r="B64" s="581" t="s">
        <v>986</v>
      </c>
      <c r="C64" s="573">
        <v>91</v>
      </c>
      <c r="D64" s="573">
        <v>140</v>
      </c>
      <c r="E64" s="573">
        <v>50</v>
      </c>
      <c r="F64" s="573"/>
      <c r="G64" s="490"/>
      <c r="H64" s="490"/>
      <c r="I64" s="573" t="s">
        <v>1059</v>
      </c>
      <c r="J64" s="573" t="s">
        <v>1059</v>
      </c>
      <c r="K64" s="494"/>
      <c r="L64" s="494"/>
      <c r="M64" s="494"/>
      <c r="N64" s="494"/>
      <c r="O64" s="494"/>
      <c r="P64" s="494"/>
      <c r="Q64" s="494">
        <f t="shared" si="0"/>
        <v>0</v>
      </c>
    </row>
    <row r="65" spans="1:17" ht="13.5" thickBot="1">
      <c r="A65" s="583"/>
      <c r="B65" s="581" t="s">
        <v>59</v>
      </c>
      <c r="C65" s="573">
        <v>91</v>
      </c>
      <c r="D65" s="573">
        <v>140</v>
      </c>
      <c r="E65" s="573">
        <v>50</v>
      </c>
      <c r="F65" s="573"/>
      <c r="G65" s="490"/>
      <c r="H65" s="490"/>
      <c r="I65" s="573" t="s">
        <v>1059</v>
      </c>
      <c r="J65" s="573" t="s">
        <v>1059</v>
      </c>
      <c r="K65" s="494"/>
      <c r="L65" s="494"/>
      <c r="M65" s="494"/>
      <c r="N65" s="494"/>
      <c r="O65" s="494"/>
      <c r="P65" s="494"/>
      <c r="Q65" s="494">
        <f t="shared" si="0"/>
        <v>0</v>
      </c>
    </row>
    <row r="66" spans="1:17" ht="23.25" thickBot="1">
      <c r="A66" s="583"/>
      <c r="B66" s="581" t="s">
        <v>987</v>
      </c>
      <c r="C66" s="573">
        <v>91</v>
      </c>
      <c r="D66" s="573">
        <v>140</v>
      </c>
      <c r="E66" s="573">
        <v>50</v>
      </c>
      <c r="F66" s="573"/>
      <c r="G66" s="490"/>
      <c r="H66" s="490"/>
      <c r="I66" s="573" t="s">
        <v>1059</v>
      </c>
      <c r="J66" s="573" t="s">
        <v>1059</v>
      </c>
      <c r="K66" s="494"/>
      <c r="L66" s="494"/>
      <c r="M66" s="494"/>
      <c r="N66" s="494"/>
      <c r="O66" s="494"/>
      <c r="P66" s="494"/>
      <c r="Q66" s="494">
        <f t="shared" si="0"/>
        <v>0</v>
      </c>
    </row>
    <row r="67" spans="1:17" ht="13.5" thickBot="1">
      <c r="A67" s="583"/>
      <c r="B67" s="581" t="s">
        <v>988</v>
      </c>
      <c r="C67" s="573">
        <v>91</v>
      </c>
      <c r="D67" s="573">
        <v>140</v>
      </c>
      <c r="E67" s="573">
        <v>50</v>
      </c>
      <c r="F67" s="573"/>
      <c r="G67" s="490"/>
      <c r="H67" s="490"/>
      <c r="I67" s="573" t="s">
        <v>1059</v>
      </c>
      <c r="J67" s="573" t="s">
        <v>1059</v>
      </c>
      <c r="K67" s="494"/>
      <c r="L67" s="494"/>
      <c r="M67" s="494"/>
      <c r="N67" s="494"/>
      <c r="O67" s="494"/>
      <c r="P67" s="494"/>
      <c r="Q67" s="494">
        <f t="shared" si="0"/>
        <v>0</v>
      </c>
    </row>
    <row r="68" spans="1:17" ht="23.25" thickBot="1">
      <c r="A68" s="583"/>
      <c r="B68" s="581" t="s">
        <v>1056</v>
      </c>
      <c r="C68" s="573">
        <v>91</v>
      </c>
      <c r="D68" s="573">
        <v>140</v>
      </c>
      <c r="E68" s="573">
        <v>50</v>
      </c>
      <c r="F68" s="573"/>
      <c r="G68" s="490"/>
      <c r="H68" s="490"/>
      <c r="I68" s="573" t="s">
        <v>1059</v>
      </c>
      <c r="J68" s="573" t="s">
        <v>1059</v>
      </c>
      <c r="K68" s="494"/>
      <c r="L68" s="494"/>
      <c r="M68" s="494"/>
      <c r="N68" s="494"/>
      <c r="O68" s="494"/>
      <c r="P68" s="494"/>
      <c r="Q68" s="494">
        <f t="shared" si="0"/>
        <v>0</v>
      </c>
    </row>
    <row r="69" spans="1:17" ht="13.5" thickBot="1">
      <c r="A69" s="583"/>
      <c r="B69" s="581" t="s">
        <v>989</v>
      </c>
      <c r="C69" s="573">
        <v>91</v>
      </c>
      <c r="D69" s="573">
        <v>140</v>
      </c>
      <c r="E69" s="573">
        <v>50</v>
      </c>
      <c r="F69" s="573"/>
      <c r="G69" s="490"/>
      <c r="H69" s="490"/>
      <c r="I69" s="573" t="s">
        <v>1059</v>
      </c>
      <c r="J69" s="573" t="s">
        <v>1059</v>
      </c>
      <c r="K69" s="494"/>
      <c r="L69" s="494"/>
      <c r="M69" s="494"/>
      <c r="N69" s="494"/>
      <c r="O69" s="494"/>
      <c r="P69" s="494"/>
      <c r="Q69" s="494">
        <f t="shared" si="0"/>
        <v>0</v>
      </c>
    </row>
    <row r="70" spans="1:17" ht="23.25" thickBot="1">
      <c r="A70" s="583"/>
      <c r="B70" s="581" t="s">
        <v>990</v>
      </c>
      <c r="C70" s="573">
        <v>91</v>
      </c>
      <c r="D70" s="573">
        <v>140</v>
      </c>
      <c r="E70" s="573">
        <v>50</v>
      </c>
      <c r="F70" s="573"/>
      <c r="G70" s="490"/>
      <c r="H70" s="490"/>
      <c r="I70" s="573" t="s">
        <v>1059</v>
      </c>
      <c r="J70" s="573" t="s">
        <v>1059</v>
      </c>
      <c r="K70" s="494"/>
      <c r="L70" s="494"/>
      <c r="M70" s="494"/>
      <c r="N70" s="494"/>
      <c r="O70" s="494"/>
      <c r="P70" s="494"/>
      <c r="Q70" s="494">
        <f t="shared" si="0"/>
        <v>0</v>
      </c>
    </row>
    <row r="71" spans="1:17" ht="23.25" thickBot="1">
      <c r="A71" s="583"/>
      <c r="B71" s="581" t="s">
        <v>991</v>
      </c>
      <c r="C71" s="573">
        <v>91</v>
      </c>
      <c r="D71" s="573">
        <v>140</v>
      </c>
      <c r="E71" s="573">
        <v>50</v>
      </c>
      <c r="F71" s="573"/>
      <c r="G71" s="490"/>
      <c r="H71" s="490"/>
      <c r="I71" s="573" t="s">
        <v>1059</v>
      </c>
      <c r="J71" s="573" t="s">
        <v>1059</v>
      </c>
      <c r="K71" s="494"/>
      <c r="L71" s="494"/>
      <c r="M71" s="494"/>
      <c r="N71" s="494"/>
      <c r="O71" s="494"/>
      <c r="P71" s="494"/>
      <c r="Q71" s="494">
        <f t="shared" si="0"/>
        <v>0</v>
      </c>
    </row>
    <row r="72" spans="1:17" ht="13.5" thickBot="1">
      <c r="A72" s="583"/>
      <c r="B72" s="586" t="s">
        <v>971</v>
      </c>
      <c r="C72" s="573">
        <v>91</v>
      </c>
      <c r="D72" s="573">
        <v>140</v>
      </c>
      <c r="E72" s="573">
        <v>50</v>
      </c>
      <c r="F72" s="573"/>
      <c r="G72" s="490"/>
      <c r="H72" s="490"/>
      <c r="I72" s="573" t="s">
        <v>1059</v>
      </c>
      <c r="J72" s="573" t="s">
        <v>1059</v>
      </c>
      <c r="K72" s="494"/>
      <c r="L72" s="494"/>
      <c r="M72" s="494"/>
      <c r="N72" s="494"/>
      <c r="O72" s="494"/>
      <c r="P72" s="494"/>
      <c r="Q72" s="494">
        <f t="shared" ref="Q72" si="1">L72+M72+N72+O72+P72</f>
        <v>0</v>
      </c>
    </row>
    <row r="73" spans="1:17" ht="16.5" thickBot="1">
      <c r="A73" s="496"/>
      <c r="B73" s="580" t="s">
        <v>14</v>
      </c>
      <c r="C73" s="573"/>
      <c r="D73" s="573"/>
      <c r="E73" s="573"/>
      <c r="F73" s="491"/>
      <c r="G73" s="493"/>
      <c r="H73" s="493"/>
      <c r="I73" s="493"/>
      <c r="J73" s="490"/>
      <c r="K73" s="494">
        <f>SUM(K7:K72)</f>
        <v>0</v>
      </c>
      <c r="L73" s="494">
        <f t="shared" ref="L73:P73" si="2">SUM(L7:L72)</f>
        <v>0</v>
      </c>
      <c r="M73" s="494">
        <f t="shared" si="2"/>
        <v>0</v>
      </c>
      <c r="N73" s="494">
        <f t="shared" si="2"/>
        <v>0</v>
      </c>
      <c r="O73" s="494">
        <f t="shared" si="2"/>
        <v>0</v>
      </c>
      <c r="P73" s="494">
        <f t="shared" si="2"/>
        <v>0</v>
      </c>
      <c r="Q73" s="494">
        <f>SUM(Q7:Q72)</f>
        <v>0</v>
      </c>
    </row>
  </sheetData>
  <mergeCells count="7">
    <mergeCell ref="K4:Q5"/>
    <mergeCell ref="A3:Q3"/>
    <mergeCell ref="A4:A6"/>
    <mergeCell ref="B4:B6"/>
    <mergeCell ref="C4:C6"/>
    <mergeCell ref="D4:D6"/>
    <mergeCell ref="F4:J5"/>
  </mergeCells>
  <pageMargins left="0.51181102362204722" right="0.51181102362204722" top="0.78740157480314965" bottom="0.78740157480314965" header="0.31496062992125984" footer="0.31496062992125984"/>
  <pageSetup paperSize="9" scale="9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V72"/>
  <sheetViews>
    <sheetView showGridLines="0" showZeros="0" topLeftCell="A8" zoomScale="80" workbookViewId="0">
      <pane xSplit="1" ySplit="2" topLeftCell="L10" activePane="bottomRight" state="frozen"/>
      <selection activeCell="A8" sqref="A8"/>
      <selection pane="topRight" activeCell="B8" sqref="B8"/>
      <selection pane="bottomLeft" activeCell="A10" sqref="A10"/>
      <selection pane="bottomRight" activeCell="O37" sqref="O37"/>
    </sheetView>
  </sheetViews>
  <sheetFormatPr defaultColWidth="9.140625" defaultRowHeight="12.75"/>
  <cols>
    <col min="1" max="1" width="16.28515625" style="2" customWidth="1"/>
    <col min="2" max="47" width="3.85546875" style="2" customWidth="1"/>
    <col min="48" max="48" width="8.140625" style="2" customWidth="1"/>
    <col min="49" max="16384" width="9.140625" style="2"/>
  </cols>
  <sheetData>
    <row r="1" spans="1:48" ht="23.25" customHeight="1">
      <c r="A1" s="855" t="s">
        <v>776</v>
      </c>
      <c r="B1" s="855"/>
      <c r="C1" s="855"/>
      <c r="D1" s="855"/>
      <c r="E1" s="855"/>
      <c r="F1" s="855"/>
      <c r="G1" s="855"/>
      <c r="H1" s="855"/>
      <c r="I1" s="855"/>
      <c r="J1" s="855"/>
      <c r="K1" s="855"/>
      <c r="L1" s="855"/>
      <c r="M1" s="855"/>
      <c r="N1" s="855"/>
      <c r="O1" s="855"/>
      <c r="P1" s="855"/>
      <c r="Q1" s="855"/>
      <c r="R1" s="855"/>
      <c r="S1" s="855"/>
      <c r="T1" s="855"/>
      <c r="U1" s="855"/>
      <c r="V1" s="855"/>
      <c r="W1" s="855"/>
      <c r="X1" s="855"/>
      <c r="Y1" s="855"/>
      <c r="Z1" s="855"/>
      <c r="AA1" s="855"/>
      <c r="AB1" s="855"/>
      <c r="AC1" s="855"/>
      <c r="AD1" s="855"/>
      <c r="AE1" s="855"/>
      <c r="AF1" s="855"/>
      <c r="AG1" s="855"/>
      <c r="AH1" s="855"/>
      <c r="AI1" s="855"/>
      <c r="AJ1" s="855"/>
      <c r="AK1" s="855"/>
      <c r="AL1" s="855"/>
      <c r="AM1" s="855"/>
      <c r="AN1" s="855"/>
      <c r="AO1" s="855"/>
      <c r="AP1" s="855"/>
      <c r="AQ1" s="855"/>
      <c r="AR1" s="855"/>
      <c r="AS1" s="855"/>
      <c r="AT1" s="855"/>
      <c r="AU1" s="855"/>
    </row>
    <row r="2" spans="1:48" ht="14.25">
      <c r="A2" s="854" t="s">
        <v>717</v>
      </c>
      <c r="B2" s="854"/>
      <c r="C2" s="854"/>
      <c r="D2" s="854"/>
      <c r="E2" s="854"/>
      <c r="F2" s="854"/>
      <c r="G2" s="854"/>
      <c r="H2" s="854"/>
      <c r="I2" s="854"/>
      <c r="J2" s="854"/>
      <c r="K2" s="854"/>
      <c r="L2" s="854"/>
      <c r="M2" s="854"/>
      <c r="N2" s="854"/>
      <c r="O2" s="854"/>
      <c r="P2" s="854"/>
      <c r="Q2" s="854"/>
      <c r="R2" s="854"/>
      <c r="S2" s="854"/>
      <c r="T2" s="854"/>
      <c r="U2" s="854"/>
      <c r="V2" s="854"/>
      <c r="W2" s="854"/>
      <c r="X2" s="854"/>
      <c r="Y2" s="854"/>
      <c r="Z2" s="854"/>
      <c r="AA2" s="854"/>
      <c r="AB2" s="854"/>
      <c r="AC2" s="854"/>
      <c r="AD2" s="854"/>
      <c r="AE2" s="854"/>
      <c r="AF2" s="854"/>
      <c r="AG2" s="854"/>
      <c r="AH2" s="854"/>
      <c r="AI2" s="854"/>
      <c r="AJ2" s="854"/>
      <c r="AK2" s="854"/>
      <c r="AL2" s="854"/>
      <c r="AM2" s="854"/>
      <c r="AN2" s="854"/>
      <c r="AO2" s="854"/>
      <c r="AP2" s="854"/>
      <c r="AQ2" s="854"/>
      <c r="AR2" s="854"/>
      <c r="AS2" s="854"/>
      <c r="AT2" s="854"/>
      <c r="AU2" s="854"/>
    </row>
    <row r="3" spans="1:48" ht="8.25" customHeight="1"/>
    <row r="4" spans="1:48" ht="19.5" customHeight="1">
      <c r="A4" s="861" t="s">
        <v>125</v>
      </c>
      <c r="B4" s="861"/>
      <c r="C4" s="861"/>
      <c r="D4" s="861"/>
      <c r="E4" s="861"/>
      <c r="F4" s="861"/>
      <c r="G4" s="861"/>
      <c r="H4" s="861"/>
      <c r="I4" s="861"/>
      <c r="J4" s="861"/>
      <c r="K4" s="861"/>
      <c r="L4" s="861"/>
      <c r="M4" s="861"/>
      <c r="N4" s="861"/>
      <c r="O4" s="861"/>
      <c r="P4" s="861"/>
      <c r="Q4" s="861"/>
      <c r="R4" s="861"/>
      <c r="S4" s="861"/>
      <c r="T4" s="861"/>
      <c r="U4" s="861"/>
      <c r="V4" s="861"/>
      <c r="W4" s="861"/>
      <c r="X4" s="861"/>
      <c r="Y4" s="861"/>
      <c r="Z4" s="861"/>
      <c r="AA4" s="861"/>
      <c r="AB4" s="861"/>
      <c r="AC4" s="861"/>
      <c r="AD4" s="861"/>
      <c r="AE4" s="861"/>
      <c r="AF4" s="861"/>
      <c r="AG4" s="861"/>
      <c r="AH4" s="861"/>
      <c r="AI4" s="861"/>
      <c r="AJ4" s="861"/>
      <c r="AK4" s="861"/>
      <c r="AL4" s="861"/>
      <c r="AM4" s="861"/>
      <c r="AN4" s="861"/>
      <c r="AO4" s="861"/>
      <c r="AP4" s="861"/>
      <c r="AQ4" s="861"/>
      <c r="AR4" s="861"/>
      <c r="AS4" s="861"/>
      <c r="AT4" s="861"/>
      <c r="AU4" s="861"/>
    </row>
    <row r="5" spans="1:48" ht="28.5" customHeight="1" thickBot="1">
      <c r="A5" s="860" t="s">
        <v>625</v>
      </c>
      <c r="B5" s="860"/>
      <c r="C5" s="860"/>
      <c r="D5" s="860"/>
      <c r="E5" s="860"/>
      <c r="F5" s="860"/>
      <c r="G5" s="860"/>
      <c r="H5" s="860"/>
      <c r="I5" s="860"/>
      <c r="J5" s="860"/>
      <c r="K5" s="860"/>
      <c r="L5" s="860"/>
      <c r="M5" s="860"/>
      <c r="N5" s="860"/>
      <c r="O5" s="860"/>
      <c r="P5" s="860"/>
      <c r="Q5" s="860"/>
      <c r="R5" s="860"/>
      <c r="S5" s="860"/>
      <c r="T5" s="860"/>
      <c r="U5" s="860"/>
      <c r="V5" s="860"/>
      <c r="W5" s="860"/>
      <c r="X5" s="860"/>
      <c r="Y5" s="860"/>
      <c r="Z5" s="860"/>
      <c r="AA5" s="860"/>
      <c r="AB5" s="860"/>
      <c r="AC5" s="860"/>
      <c r="AD5" s="860"/>
      <c r="AE5" s="860"/>
      <c r="AF5" s="860"/>
      <c r="AG5" s="860"/>
      <c r="AH5" s="860"/>
      <c r="AI5" s="860"/>
      <c r="AJ5" s="860"/>
      <c r="AK5" s="860"/>
      <c r="AL5" s="860"/>
      <c r="AM5" s="860"/>
      <c r="AN5" s="860"/>
      <c r="AO5" s="860"/>
      <c r="AP5" s="860"/>
      <c r="AQ5" s="860"/>
      <c r="AR5" s="860"/>
      <c r="AS5" s="860"/>
      <c r="AT5" s="860"/>
      <c r="AU5" s="860"/>
    </row>
    <row r="6" spans="1:48" ht="22.5" customHeight="1" thickBot="1">
      <c r="A6" s="857" t="s">
        <v>126</v>
      </c>
      <c r="B6" s="858"/>
      <c r="C6" s="858"/>
      <c r="D6" s="858"/>
      <c r="E6" s="858"/>
      <c r="F6" s="858"/>
      <c r="G6" s="858"/>
      <c r="H6" s="858"/>
      <c r="I6" s="858"/>
      <c r="J6" s="858"/>
      <c r="K6" s="858"/>
      <c r="L6" s="858"/>
      <c r="M6" s="858"/>
      <c r="N6" s="858"/>
      <c r="O6" s="858"/>
      <c r="P6" s="858"/>
      <c r="Q6" s="858"/>
      <c r="R6" s="858"/>
      <c r="S6" s="858"/>
      <c r="T6" s="858"/>
      <c r="U6" s="858"/>
      <c r="V6" s="858"/>
      <c r="W6" s="858"/>
      <c r="X6" s="858"/>
      <c r="Y6" s="858"/>
      <c r="Z6" s="858"/>
      <c r="AA6" s="858"/>
      <c r="AB6" s="858"/>
      <c r="AC6" s="858"/>
      <c r="AD6" s="858"/>
      <c r="AE6" s="858"/>
      <c r="AF6" s="858"/>
      <c r="AG6" s="858"/>
      <c r="AH6" s="858"/>
      <c r="AI6" s="858"/>
      <c r="AJ6" s="858"/>
      <c r="AK6" s="858"/>
      <c r="AL6" s="858"/>
      <c r="AM6" s="858"/>
      <c r="AN6" s="858"/>
      <c r="AO6" s="858"/>
      <c r="AP6" s="858"/>
      <c r="AQ6" s="858"/>
      <c r="AR6" s="858"/>
      <c r="AS6" s="858"/>
      <c r="AT6" s="858"/>
      <c r="AU6" s="859"/>
    </row>
    <row r="7" spans="1:48" ht="7.5" customHeight="1"/>
    <row r="8" spans="1:48" ht="27.75" customHeight="1">
      <c r="A8" s="7" t="s">
        <v>716</v>
      </c>
      <c r="B8" s="856" t="s">
        <v>127</v>
      </c>
      <c r="C8" s="856"/>
      <c r="D8" s="856" t="s">
        <v>128</v>
      </c>
      <c r="E8" s="856"/>
      <c r="F8" s="856" t="s">
        <v>129</v>
      </c>
      <c r="G8" s="856"/>
      <c r="H8" s="856" t="s">
        <v>130</v>
      </c>
      <c r="I8" s="856"/>
      <c r="J8" s="856" t="s">
        <v>131</v>
      </c>
      <c r="K8" s="856"/>
      <c r="L8" s="856" t="s">
        <v>132</v>
      </c>
      <c r="M8" s="856"/>
      <c r="N8" s="856" t="s">
        <v>133</v>
      </c>
      <c r="O8" s="856"/>
      <c r="P8" s="856" t="s">
        <v>134</v>
      </c>
      <c r="Q8" s="856"/>
      <c r="R8" s="856" t="s">
        <v>135</v>
      </c>
      <c r="S8" s="856"/>
      <c r="T8" s="856" t="s">
        <v>136</v>
      </c>
      <c r="U8" s="856"/>
      <c r="V8" s="856" t="s">
        <v>137</v>
      </c>
      <c r="W8" s="856"/>
      <c r="X8" s="856" t="s">
        <v>138</v>
      </c>
      <c r="Y8" s="856"/>
      <c r="Z8" s="856" t="s">
        <v>139</v>
      </c>
      <c r="AA8" s="856"/>
      <c r="AB8" s="856" t="s">
        <v>140</v>
      </c>
      <c r="AC8" s="856"/>
      <c r="AD8" s="856" t="s">
        <v>141</v>
      </c>
      <c r="AE8" s="856"/>
      <c r="AF8" s="856" t="s">
        <v>142</v>
      </c>
      <c r="AG8" s="856"/>
      <c r="AH8" s="856" t="s">
        <v>742</v>
      </c>
      <c r="AI8" s="856"/>
      <c r="AJ8" s="856" t="s">
        <v>743</v>
      </c>
      <c r="AK8" s="856"/>
      <c r="AL8" s="856" t="s">
        <v>744</v>
      </c>
      <c r="AM8" s="856"/>
      <c r="AN8" s="856" t="s">
        <v>745</v>
      </c>
      <c r="AO8" s="856"/>
      <c r="AP8" s="856" t="s">
        <v>746</v>
      </c>
      <c r="AQ8" s="856"/>
      <c r="AR8" s="856" t="s">
        <v>747</v>
      </c>
      <c r="AS8" s="856"/>
      <c r="AT8" s="856" t="s">
        <v>715</v>
      </c>
      <c r="AU8" s="856"/>
    </row>
    <row r="9" spans="1:48" ht="31.5" customHeight="1">
      <c r="A9" s="208" t="s">
        <v>143</v>
      </c>
      <c r="B9" s="5" t="s">
        <v>144</v>
      </c>
      <c r="C9" s="5" t="s">
        <v>67</v>
      </c>
      <c r="D9" s="5" t="s">
        <v>144</v>
      </c>
      <c r="E9" s="5" t="s">
        <v>67</v>
      </c>
      <c r="F9" s="5" t="s">
        <v>144</v>
      </c>
      <c r="G9" s="5" t="s">
        <v>67</v>
      </c>
      <c r="H9" s="5" t="s">
        <v>144</v>
      </c>
      <c r="I9" s="5" t="s">
        <v>67</v>
      </c>
      <c r="J9" s="5" t="s">
        <v>144</v>
      </c>
      <c r="K9" s="5" t="s">
        <v>67</v>
      </c>
      <c r="L9" s="5" t="s">
        <v>144</v>
      </c>
      <c r="M9" s="5" t="s">
        <v>67</v>
      </c>
      <c r="N9" s="5" t="s">
        <v>144</v>
      </c>
      <c r="O9" s="5" t="s">
        <v>67</v>
      </c>
      <c r="P9" s="5" t="s">
        <v>144</v>
      </c>
      <c r="Q9" s="5" t="s">
        <v>67</v>
      </c>
      <c r="R9" s="5" t="s">
        <v>144</v>
      </c>
      <c r="S9" s="5" t="s">
        <v>67</v>
      </c>
      <c r="T9" s="5" t="s">
        <v>144</v>
      </c>
      <c r="U9" s="5" t="s">
        <v>67</v>
      </c>
      <c r="V9" s="5" t="s">
        <v>144</v>
      </c>
      <c r="W9" s="5" t="s">
        <v>67</v>
      </c>
      <c r="X9" s="5" t="s">
        <v>144</v>
      </c>
      <c r="Y9" s="5" t="s">
        <v>67</v>
      </c>
      <c r="Z9" s="5" t="s">
        <v>144</v>
      </c>
      <c r="AA9" s="5" t="s">
        <v>67</v>
      </c>
      <c r="AB9" s="5" t="s">
        <v>144</v>
      </c>
      <c r="AC9" s="5" t="s">
        <v>67</v>
      </c>
      <c r="AD9" s="5" t="s">
        <v>144</v>
      </c>
      <c r="AE9" s="5" t="s">
        <v>67</v>
      </c>
      <c r="AF9" s="5" t="s">
        <v>144</v>
      </c>
      <c r="AG9" s="5" t="s">
        <v>67</v>
      </c>
      <c r="AH9" s="5" t="s">
        <v>144</v>
      </c>
      <c r="AI9" s="5" t="s">
        <v>67</v>
      </c>
      <c r="AJ9" s="5" t="s">
        <v>144</v>
      </c>
      <c r="AK9" s="5" t="s">
        <v>67</v>
      </c>
      <c r="AL9" s="5" t="s">
        <v>144</v>
      </c>
      <c r="AM9" s="5" t="s">
        <v>67</v>
      </c>
      <c r="AN9" s="5" t="s">
        <v>144</v>
      </c>
      <c r="AO9" s="5" t="s">
        <v>67</v>
      </c>
      <c r="AP9" s="5" t="s">
        <v>144</v>
      </c>
      <c r="AQ9" s="5" t="s">
        <v>67</v>
      </c>
      <c r="AR9" s="5" t="s">
        <v>144</v>
      </c>
      <c r="AS9" s="5" t="s">
        <v>67</v>
      </c>
      <c r="AT9" s="5" t="s">
        <v>144</v>
      </c>
      <c r="AU9" s="5" t="s">
        <v>67</v>
      </c>
    </row>
    <row r="10" spans="1:48" ht="76.5" customHeight="1">
      <c r="A10" s="233" t="s">
        <v>122</v>
      </c>
      <c r="B10" s="852" t="s">
        <v>145</v>
      </c>
      <c r="C10" s="853"/>
      <c r="D10" s="853"/>
      <c r="E10" s="853"/>
      <c r="F10" s="853"/>
      <c r="G10" s="853"/>
      <c r="H10" s="853"/>
      <c r="I10" s="853"/>
      <c r="J10" s="222">
        <f t="shared" ref="J10:J51" si="0">ROUND(K10*$AT10,2)</f>
        <v>0</v>
      </c>
      <c r="K10" s="223"/>
      <c r="L10" s="222">
        <f t="shared" ref="L10:L17" si="1">ROUND(M10*$AT10,2)</f>
        <v>0</v>
      </c>
      <c r="M10" s="223"/>
      <c r="N10" s="222">
        <f t="shared" ref="N10:N17" si="2">ROUND(O10*$AT10,2)</f>
        <v>0</v>
      </c>
      <c r="O10" s="223"/>
      <c r="P10" s="222">
        <f t="shared" ref="P10:P51" si="3">ROUND(Q10*$AT10,2)</f>
        <v>0</v>
      </c>
      <c r="Q10" s="223"/>
      <c r="R10" s="222">
        <f t="shared" ref="R10:R51" si="4">ROUND(S10*$AT10,2)</f>
        <v>0</v>
      </c>
      <c r="S10" s="223"/>
      <c r="T10" s="222">
        <f t="shared" ref="T10:T20" si="5">ROUND(U10*$AT10,2)</f>
        <v>20457.48</v>
      </c>
      <c r="U10" s="223">
        <v>0.5</v>
      </c>
      <c r="V10" s="222">
        <f>ROUND(W10*$AT10,2)-0.01</f>
        <v>20457.47</v>
      </c>
      <c r="W10" s="223">
        <v>0.5</v>
      </c>
      <c r="X10" s="222">
        <f t="shared" ref="X10:X29" si="6">ROUND(Y10*$AT10,2)</f>
        <v>0</v>
      </c>
      <c r="Y10" s="223"/>
      <c r="Z10" s="222">
        <f t="shared" ref="Z10:Z51" si="7">ROUND(AA10*$AT10,2)</f>
        <v>0</v>
      </c>
      <c r="AA10" s="223"/>
      <c r="AB10" s="222">
        <f>ROUND(AC10*$AT10,2)</f>
        <v>0</v>
      </c>
      <c r="AC10" s="223"/>
      <c r="AD10" s="222">
        <f t="shared" ref="AD10:AD51" si="8">ROUND(AE10*$AT10,2)</f>
        <v>0</v>
      </c>
      <c r="AE10" s="223"/>
      <c r="AF10" s="222">
        <f t="shared" ref="AF10:AF34" si="9">ROUND(AG10*$AT10,2)</f>
        <v>0</v>
      </c>
      <c r="AG10" s="223"/>
      <c r="AH10" s="222">
        <f t="shared" ref="AH10:AH51" si="10">ROUND(AI10*$AT10,2)</f>
        <v>0</v>
      </c>
      <c r="AI10" s="223"/>
      <c r="AJ10" s="222">
        <f t="shared" ref="AJ10:AJ51" si="11">ROUND(AK10*$AT10,2)</f>
        <v>0</v>
      </c>
      <c r="AK10" s="223"/>
      <c r="AL10" s="222">
        <f t="shared" ref="AL10:AL44" si="12">ROUND(AM10*$AT10,2)</f>
        <v>0</v>
      </c>
      <c r="AM10" s="223"/>
      <c r="AN10" s="222">
        <f t="shared" ref="AN10:AN51" si="13">ROUND(AO10*$AT10,2)</f>
        <v>0</v>
      </c>
      <c r="AO10" s="223"/>
      <c r="AP10" s="222">
        <f t="shared" ref="AP10:AP47" si="14">ROUND(AQ10*$AT10,2)</f>
        <v>0</v>
      </c>
      <c r="AQ10" s="223"/>
      <c r="AR10" s="222">
        <f t="shared" ref="AR10:AR50" si="15">ROUND(AS10*$AT10,2)</f>
        <v>0</v>
      </c>
      <c r="AS10" s="223"/>
      <c r="AT10" s="222">
        <f>ROUND(SUM('Interceptor(mão-de-obra)'!L14:L22)+SUM('Interceptor (materiais)'!L16:L17),2)</f>
        <v>40914.949999999997</v>
      </c>
      <c r="AU10" s="223">
        <f t="shared" ref="AU10:AU41" si="16">SUMIF($J$9:$AS$9,AU$9,J10:AS10)</f>
        <v>1</v>
      </c>
      <c r="AV10" s="2">
        <f>SUMIF($J$9:$AS$9,AT$9,J10:AS10)-AT10</f>
        <v>0</v>
      </c>
    </row>
    <row r="11" spans="1:48" ht="76.5" customHeight="1">
      <c r="A11" s="234" t="s">
        <v>626</v>
      </c>
      <c r="B11" s="852" t="s">
        <v>145</v>
      </c>
      <c r="C11" s="853"/>
      <c r="D11" s="853"/>
      <c r="E11" s="853"/>
      <c r="F11" s="853"/>
      <c r="G11" s="853"/>
      <c r="H11" s="853"/>
      <c r="I11" s="853"/>
      <c r="J11" s="222">
        <f t="shared" si="0"/>
        <v>0</v>
      </c>
      <c r="K11" s="223"/>
      <c r="L11" s="222">
        <f t="shared" si="1"/>
        <v>0</v>
      </c>
      <c r="M11" s="223"/>
      <c r="N11" s="222">
        <f t="shared" si="2"/>
        <v>0</v>
      </c>
      <c r="O11" s="223"/>
      <c r="P11" s="222">
        <f t="shared" si="3"/>
        <v>0</v>
      </c>
      <c r="Q11" s="223"/>
      <c r="R11" s="222">
        <f t="shared" si="4"/>
        <v>0</v>
      </c>
      <c r="S11" s="223"/>
      <c r="T11" s="222">
        <f t="shared" si="5"/>
        <v>0</v>
      </c>
      <c r="U11" s="223"/>
      <c r="V11" s="222">
        <f t="shared" ref="V11:V22" si="17">ROUND(W11*$AT11,2)</f>
        <v>13738.13</v>
      </c>
      <c r="W11" s="223">
        <v>0.5</v>
      </c>
      <c r="X11" s="222">
        <f t="shared" si="6"/>
        <v>13738.13</v>
      </c>
      <c r="Y11" s="223">
        <v>0.5</v>
      </c>
      <c r="Z11" s="222">
        <f t="shared" si="7"/>
        <v>0</v>
      </c>
      <c r="AA11" s="223"/>
      <c r="AB11" s="222">
        <f>ROUND(AC11*$AT11,2)</f>
        <v>0</v>
      </c>
      <c r="AC11" s="223"/>
      <c r="AD11" s="222">
        <f t="shared" si="8"/>
        <v>0</v>
      </c>
      <c r="AE11" s="223"/>
      <c r="AF11" s="222">
        <f t="shared" si="9"/>
        <v>0</v>
      </c>
      <c r="AG11" s="223"/>
      <c r="AH11" s="222">
        <f t="shared" si="10"/>
        <v>0</v>
      </c>
      <c r="AI11" s="223"/>
      <c r="AJ11" s="222">
        <f t="shared" si="11"/>
        <v>0</v>
      </c>
      <c r="AK11" s="223"/>
      <c r="AL11" s="222">
        <f t="shared" si="12"/>
        <v>0</v>
      </c>
      <c r="AM11" s="223"/>
      <c r="AN11" s="222">
        <f t="shared" si="13"/>
        <v>0</v>
      </c>
      <c r="AO11" s="223"/>
      <c r="AP11" s="222">
        <f t="shared" si="14"/>
        <v>0</v>
      </c>
      <c r="AQ11" s="223"/>
      <c r="AR11" s="222">
        <f t="shared" si="15"/>
        <v>0</v>
      </c>
      <c r="AS11" s="223"/>
      <c r="AT11" s="222">
        <f>ROUND(SUM('Interceptor(mão-de-obra)'!L28:L70),2)</f>
        <v>27476.26</v>
      </c>
      <c r="AU11" s="223">
        <f t="shared" si="16"/>
        <v>1</v>
      </c>
      <c r="AV11" s="2">
        <f>SUMIF($J$9:$AS$9,AT$9,J11:AS11)-AT11</f>
        <v>0</v>
      </c>
    </row>
    <row r="12" spans="1:48" ht="76.5" customHeight="1">
      <c r="A12" s="234" t="s">
        <v>627</v>
      </c>
      <c r="B12" s="852" t="s">
        <v>145</v>
      </c>
      <c r="C12" s="853"/>
      <c r="D12" s="853"/>
      <c r="E12" s="853"/>
      <c r="F12" s="853"/>
      <c r="G12" s="853"/>
      <c r="H12" s="853"/>
      <c r="I12" s="853"/>
      <c r="J12" s="222">
        <f t="shared" si="0"/>
        <v>0</v>
      </c>
      <c r="K12" s="223"/>
      <c r="L12" s="222">
        <f t="shared" si="1"/>
        <v>0</v>
      </c>
      <c r="M12" s="223"/>
      <c r="N12" s="222">
        <f t="shared" si="2"/>
        <v>0</v>
      </c>
      <c r="O12" s="223"/>
      <c r="P12" s="222">
        <f t="shared" si="3"/>
        <v>0</v>
      </c>
      <c r="Q12" s="223"/>
      <c r="R12" s="222">
        <f t="shared" si="4"/>
        <v>0</v>
      </c>
      <c r="S12" s="223"/>
      <c r="T12" s="222">
        <f t="shared" si="5"/>
        <v>0</v>
      </c>
      <c r="U12" s="223"/>
      <c r="V12" s="222">
        <f t="shared" si="17"/>
        <v>0</v>
      </c>
      <c r="W12" s="223"/>
      <c r="X12" s="222">
        <f t="shared" si="6"/>
        <v>67422.880000000005</v>
      </c>
      <c r="Y12" s="223">
        <v>0.33329999999999999</v>
      </c>
      <c r="Z12" s="222">
        <f t="shared" si="7"/>
        <v>67422.880000000005</v>
      </c>
      <c r="AA12" s="223">
        <v>0.33329999999999999</v>
      </c>
      <c r="AB12" s="222">
        <f>ROUND(AC12*$AT12,2)+0.01</f>
        <v>67443.12</v>
      </c>
      <c r="AC12" s="223">
        <v>0.33339999999999997</v>
      </c>
      <c r="AD12" s="222">
        <f t="shared" si="8"/>
        <v>0</v>
      </c>
      <c r="AE12" s="223"/>
      <c r="AF12" s="222">
        <f t="shared" si="9"/>
        <v>0</v>
      </c>
      <c r="AG12" s="223"/>
      <c r="AH12" s="222">
        <f t="shared" si="10"/>
        <v>0</v>
      </c>
      <c r="AI12" s="223"/>
      <c r="AJ12" s="222">
        <f t="shared" si="11"/>
        <v>0</v>
      </c>
      <c r="AK12" s="223"/>
      <c r="AL12" s="222">
        <f t="shared" si="12"/>
        <v>0</v>
      </c>
      <c r="AM12" s="223"/>
      <c r="AN12" s="222">
        <f t="shared" si="13"/>
        <v>0</v>
      </c>
      <c r="AO12" s="223"/>
      <c r="AP12" s="222">
        <f t="shared" si="14"/>
        <v>0</v>
      </c>
      <c r="AQ12" s="223"/>
      <c r="AR12" s="222">
        <f t="shared" si="15"/>
        <v>0</v>
      </c>
      <c r="AS12" s="223"/>
      <c r="AT12" s="222">
        <f>ROUND(SUM('Interceptor(mão-de-obra)'!L83:L133)+SUM('Interceptor (materiais)'!L47:L121),2)</f>
        <v>202288.88</v>
      </c>
      <c r="AU12" s="223">
        <f t="shared" si="16"/>
        <v>1</v>
      </c>
      <c r="AV12" s="2">
        <f>SUMIF($J$9:$AS$9,AT$9,J12:AS12)-AT12</f>
        <v>0</v>
      </c>
    </row>
    <row r="13" spans="1:48" ht="76.5" customHeight="1">
      <c r="A13" s="234" t="s">
        <v>628</v>
      </c>
      <c r="B13" s="852" t="s">
        <v>145</v>
      </c>
      <c r="C13" s="853"/>
      <c r="D13" s="853"/>
      <c r="E13" s="853"/>
      <c r="F13" s="853"/>
      <c r="G13" s="853"/>
      <c r="H13" s="853"/>
      <c r="I13" s="853"/>
      <c r="J13" s="222">
        <f t="shared" si="0"/>
        <v>0</v>
      </c>
      <c r="K13" s="223"/>
      <c r="L13" s="222">
        <f t="shared" si="1"/>
        <v>0</v>
      </c>
      <c r="M13" s="223"/>
      <c r="N13" s="222">
        <f t="shared" si="2"/>
        <v>0</v>
      </c>
      <c r="O13" s="223"/>
      <c r="P13" s="222">
        <f t="shared" si="3"/>
        <v>0</v>
      </c>
      <c r="Q13" s="223"/>
      <c r="R13" s="222">
        <f t="shared" si="4"/>
        <v>0</v>
      </c>
      <c r="S13" s="223"/>
      <c r="T13" s="222">
        <f t="shared" si="5"/>
        <v>0</v>
      </c>
      <c r="U13" s="223"/>
      <c r="V13" s="222">
        <f t="shared" si="17"/>
        <v>0</v>
      </c>
      <c r="W13" s="223"/>
      <c r="X13" s="222">
        <f t="shared" si="6"/>
        <v>0</v>
      </c>
      <c r="Y13" s="223"/>
      <c r="Z13" s="222">
        <f t="shared" si="7"/>
        <v>0</v>
      </c>
      <c r="AA13" s="223"/>
      <c r="AB13" s="222">
        <f t="shared" ref="AB13:AB30" si="18">ROUND(AC13*$AT13,2)</f>
        <v>41933.82</v>
      </c>
      <c r="AC13" s="223">
        <v>0.33329999999999999</v>
      </c>
      <c r="AD13" s="222">
        <f t="shared" si="8"/>
        <v>41933.82</v>
      </c>
      <c r="AE13" s="223">
        <v>0.33329999999999999</v>
      </c>
      <c r="AF13" s="222">
        <f t="shared" si="9"/>
        <v>41946.400000000001</v>
      </c>
      <c r="AG13" s="223">
        <v>0.33339999999999997</v>
      </c>
      <c r="AH13" s="222">
        <f t="shared" si="10"/>
        <v>0</v>
      </c>
      <c r="AI13" s="223"/>
      <c r="AJ13" s="222">
        <f t="shared" si="11"/>
        <v>0</v>
      </c>
      <c r="AK13" s="223"/>
      <c r="AL13" s="222">
        <f t="shared" si="12"/>
        <v>0</v>
      </c>
      <c r="AM13" s="223"/>
      <c r="AN13" s="222">
        <f t="shared" si="13"/>
        <v>0</v>
      </c>
      <c r="AO13" s="223"/>
      <c r="AP13" s="222">
        <f t="shared" si="14"/>
        <v>0</v>
      </c>
      <c r="AQ13" s="223"/>
      <c r="AR13" s="222">
        <f t="shared" si="15"/>
        <v>0</v>
      </c>
      <c r="AS13" s="223"/>
      <c r="AT13" s="222">
        <f>ROUND(SUM('Interceptor(mão-de-obra)'!L141:L163)+SUM('Interceptor (materiais)'!L125:L154),2)</f>
        <v>125814.04</v>
      </c>
      <c r="AU13" s="223">
        <f t="shared" si="16"/>
        <v>1</v>
      </c>
      <c r="AV13" s="2">
        <f>SUMIF($J$9:$AS$9,AT$9,J13:AS13)-AT13</f>
        <v>0</v>
      </c>
    </row>
    <row r="14" spans="1:48" ht="76.5" customHeight="1">
      <c r="A14" s="233" t="s">
        <v>719</v>
      </c>
      <c r="B14" s="852" t="s">
        <v>145</v>
      </c>
      <c r="C14" s="853"/>
      <c r="D14" s="853"/>
      <c r="E14" s="853"/>
      <c r="F14" s="853"/>
      <c r="G14" s="853"/>
      <c r="H14" s="853"/>
      <c r="I14" s="853"/>
      <c r="J14" s="222" t="e">
        <f t="shared" si="0"/>
        <v>#REF!</v>
      </c>
      <c r="K14" s="223">
        <v>1</v>
      </c>
      <c r="L14" s="222" t="e">
        <f t="shared" si="1"/>
        <v>#REF!</v>
      </c>
      <c r="M14" s="223"/>
      <c r="N14" s="222" t="e">
        <f t="shared" si="2"/>
        <v>#REF!</v>
      </c>
      <c r="O14" s="223"/>
      <c r="P14" s="222" t="e">
        <f t="shared" si="3"/>
        <v>#REF!</v>
      </c>
      <c r="Q14" s="223"/>
      <c r="R14" s="222" t="e">
        <f t="shared" si="4"/>
        <v>#REF!</v>
      </c>
      <c r="S14" s="223"/>
      <c r="T14" s="222" t="e">
        <f t="shared" si="5"/>
        <v>#REF!</v>
      </c>
      <c r="U14" s="223"/>
      <c r="V14" s="222" t="e">
        <f t="shared" si="17"/>
        <v>#REF!</v>
      </c>
      <c r="W14" s="223"/>
      <c r="X14" s="222" t="e">
        <f t="shared" si="6"/>
        <v>#REF!</v>
      </c>
      <c r="Y14" s="223"/>
      <c r="Z14" s="222" t="e">
        <f t="shared" si="7"/>
        <v>#REF!</v>
      </c>
      <c r="AA14" s="223"/>
      <c r="AB14" s="222" t="e">
        <f t="shared" si="18"/>
        <v>#REF!</v>
      </c>
      <c r="AC14" s="223"/>
      <c r="AD14" s="222" t="e">
        <f t="shared" si="8"/>
        <v>#REF!</v>
      </c>
      <c r="AE14" s="223"/>
      <c r="AF14" s="222" t="e">
        <f t="shared" si="9"/>
        <v>#REF!</v>
      </c>
      <c r="AG14" s="223"/>
      <c r="AH14" s="222" t="e">
        <f t="shared" si="10"/>
        <v>#REF!</v>
      </c>
      <c r="AI14" s="223"/>
      <c r="AJ14" s="222" t="e">
        <f t="shared" si="11"/>
        <v>#REF!</v>
      </c>
      <c r="AK14" s="223"/>
      <c r="AL14" s="222" t="e">
        <f t="shared" si="12"/>
        <v>#REF!</v>
      </c>
      <c r="AM14" s="223"/>
      <c r="AN14" s="222" t="e">
        <f t="shared" si="13"/>
        <v>#REF!</v>
      </c>
      <c r="AO14" s="223"/>
      <c r="AP14" s="222" t="e">
        <f t="shared" si="14"/>
        <v>#REF!</v>
      </c>
      <c r="AQ14" s="223"/>
      <c r="AR14" s="222" t="e">
        <f t="shared" si="15"/>
        <v>#REF!</v>
      </c>
      <c r="AS14" s="223"/>
      <c r="AT14" s="222" t="e">
        <f>#REF!-0.01</f>
        <v>#REF!</v>
      </c>
      <c r="AU14" s="223">
        <f t="shared" si="16"/>
        <v>1</v>
      </c>
      <c r="AV14" s="2" t="e">
        <f>SUMIF($J$9:$AS$9,AT$9,J14:AS14)-AT14</f>
        <v>#REF!</v>
      </c>
    </row>
    <row r="15" spans="1:48" ht="76.5" customHeight="1">
      <c r="A15" s="235" t="s">
        <v>718</v>
      </c>
      <c r="B15" s="852" t="s">
        <v>145</v>
      </c>
      <c r="C15" s="853"/>
      <c r="D15" s="853"/>
      <c r="E15" s="853"/>
      <c r="F15" s="853"/>
      <c r="G15" s="853"/>
      <c r="H15" s="853"/>
      <c r="I15" s="853"/>
      <c r="J15" s="222" t="e">
        <f t="shared" si="0"/>
        <v>#REF!</v>
      </c>
      <c r="K15" s="223">
        <v>1</v>
      </c>
      <c r="L15" s="222" t="e">
        <f t="shared" si="1"/>
        <v>#REF!</v>
      </c>
      <c r="M15" s="223"/>
      <c r="N15" s="222" t="e">
        <f t="shared" si="2"/>
        <v>#REF!</v>
      </c>
      <c r="O15" s="223"/>
      <c r="P15" s="222" t="e">
        <f t="shared" si="3"/>
        <v>#REF!</v>
      </c>
      <c r="Q15" s="223"/>
      <c r="R15" s="222" t="e">
        <f t="shared" si="4"/>
        <v>#REF!</v>
      </c>
      <c r="S15" s="223"/>
      <c r="T15" s="222" t="e">
        <f t="shared" si="5"/>
        <v>#REF!</v>
      </c>
      <c r="U15" s="223"/>
      <c r="V15" s="222" t="e">
        <f t="shared" si="17"/>
        <v>#REF!</v>
      </c>
      <c r="W15" s="223"/>
      <c r="X15" s="222" t="e">
        <f t="shared" si="6"/>
        <v>#REF!</v>
      </c>
      <c r="Y15" s="223"/>
      <c r="Z15" s="222" t="e">
        <f t="shared" si="7"/>
        <v>#REF!</v>
      </c>
      <c r="AA15" s="223"/>
      <c r="AB15" s="222" t="e">
        <f t="shared" si="18"/>
        <v>#REF!</v>
      </c>
      <c r="AC15" s="223"/>
      <c r="AD15" s="222" t="e">
        <f t="shared" si="8"/>
        <v>#REF!</v>
      </c>
      <c r="AE15" s="223"/>
      <c r="AF15" s="222" t="e">
        <f t="shared" si="9"/>
        <v>#REF!</v>
      </c>
      <c r="AG15" s="223"/>
      <c r="AH15" s="222" t="e">
        <f t="shared" si="10"/>
        <v>#REF!</v>
      </c>
      <c r="AI15" s="223"/>
      <c r="AJ15" s="222" t="e">
        <f t="shared" si="11"/>
        <v>#REF!</v>
      </c>
      <c r="AK15" s="223"/>
      <c r="AL15" s="222" t="e">
        <f t="shared" si="12"/>
        <v>#REF!</v>
      </c>
      <c r="AM15" s="223"/>
      <c r="AN15" s="222" t="e">
        <f t="shared" si="13"/>
        <v>#REF!</v>
      </c>
      <c r="AO15" s="223"/>
      <c r="AP15" s="222" t="e">
        <f t="shared" si="14"/>
        <v>#REF!</v>
      </c>
      <c r="AQ15" s="223"/>
      <c r="AR15" s="222" t="e">
        <f t="shared" si="15"/>
        <v>#REF!</v>
      </c>
      <c r="AS15" s="223"/>
      <c r="AT15" s="222" t="e">
        <f>ROUND(#REF!,2)</f>
        <v>#REF!</v>
      </c>
      <c r="AU15" s="223">
        <f t="shared" si="16"/>
        <v>1</v>
      </c>
      <c r="AV15" s="2" t="e">
        <f t="shared" ref="AV15:AV51" si="19">SUMIF($J$9:$AS$9,AT$9,J15:AS15)-AT15</f>
        <v>#REF!</v>
      </c>
    </row>
    <row r="16" spans="1:48" ht="76.5" customHeight="1">
      <c r="A16" s="234" t="s">
        <v>631</v>
      </c>
      <c r="B16" s="852" t="s">
        <v>145</v>
      </c>
      <c r="C16" s="853"/>
      <c r="D16" s="853"/>
      <c r="E16" s="853"/>
      <c r="F16" s="853"/>
      <c r="G16" s="853"/>
      <c r="H16" s="853"/>
      <c r="I16" s="853"/>
      <c r="J16" s="222" t="e">
        <f t="shared" si="0"/>
        <v>#REF!</v>
      </c>
      <c r="K16" s="223">
        <v>0.5</v>
      </c>
      <c r="L16" s="222" t="e">
        <f t="shared" si="1"/>
        <v>#REF!</v>
      </c>
      <c r="M16" s="223">
        <v>0.5</v>
      </c>
      <c r="N16" s="222" t="e">
        <f t="shared" si="2"/>
        <v>#REF!</v>
      </c>
      <c r="O16" s="223"/>
      <c r="P16" s="222" t="e">
        <f t="shared" si="3"/>
        <v>#REF!</v>
      </c>
      <c r="Q16" s="223"/>
      <c r="R16" s="222" t="e">
        <f t="shared" si="4"/>
        <v>#REF!</v>
      </c>
      <c r="S16" s="223"/>
      <c r="T16" s="222" t="e">
        <f t="shared" si="5"/>
        <v>#REF!</v>
      </c>
      <c r="U16" s="223"/>
      <c r="V16" s="222" t="e">
        <f t="shared" si="17"/>
        <v>#REF!</v>
      </c>
      <c r="W16" s="223"/>
      <c r="X16" s="222" t="e">
        <f t="shared" si="6"/>
        <v>#REF!</v>
      </c>
      <c r="Y16" s="223"/>
      <c r="Z16" s="222" t="e">
        <f t="shared" si="7"/>
        <v>#REF!</v>
      </c>
      <c r="AA16" s="223"/>
      <c r="AB16" s="222" t="e">
        <f t="shared" si="18"/>
        <v>#REF!</v>
      </c>
      <c r="AC16" s="223"/>
      <c r="AD16" s="222" t="e">
        <f t="shared" si="8"/>
        <v>#REF!</v>
      </c>
      <c r="AE16" s="223"/>
      <c r="AF16" s="222" t="e">
        <f t="shared" si="9"/>
        <v>#REF!</v>
      </c>
      <c r="AG16" s="223"/>
      <c r="AH16" s="222" t="e">
        <f t="shared" si="10"/>
        <v>#REF!</v>
      </c>
      <c r="AI16" s="223"/>
      <c r="AJ16" s="222" t="e">
        <f t="shared" si="11"/>
        <v>#REF!</v>
      </c>
      <c r="AK16" s="223"/>
      <c r="AL16" s="222" t="e">
        <f t="shared" si="12"/>
        <v>#REF!</v>
      </c>
      <c r="AM16" s="223"/>
      <c r="AN16" s="222" t="e">
        <f t="shared" si="13"/>
        <v>#REF!</v>
      </c>
      <c r="AO16" s="223"/>
      <c r="AP16" s="222" t="e">
        <f t="shared" si="14"/>
        <v>#REF!</v>
      </c>
      <c r="AQ16" s="223"/>
      <c r="AR16" s="222" t="e">
        <f t="shared" si="15"/>
        <v>#REF!</v>
      </c>
      <c r="AS16" s="223"/>
      <c r="AT16" s="222" t="e">
        <f>ROUND(#REF!,2)</f>
        <v>#REF!</v>
      </c>
      <c r="AU16" s="223">
        <f t="shared" si="16"/>
        <v>1</v>
      </c>
      <c r="AV16" s="2" t="e">
        <f t="shared" si="19"/>
        <v>#REF!</v>
      </c>
    </row>
    <row r="17" spans="1:48" ht="76.5" customHeight="1">
      <c r="A17" s="234" t="s">
        <v>630</v>
      </c>
      <c r="B17" s="852" t="s">
        <v>145</v>
      </c>
      <c r="C17" s="853"/>
      <c r="D17" s="853"/>
      <c r="E17" s="853"/>
      <c r="F17" s="853"/>
      <c r="G17" s="853"/>
      <c r="H17" s="853"/>
      <c r="I17" s="853"/>
      <c r="J17" s="222" t="e">
        <f t="shared" si="0"/>
        <v>#REF!</v>
      </c>
      <c r="K17" s="223"/>
      <c r="L17" s="222" t="e">
        <f t="shared" si="1"/>
        <v>#REF!</v>
      </c>
      <c r="M17" s="223">
        <v>1</v>
      </c>
      <c r="N17" s="222" t="e">
        <f t="shared" si="2"/>
        <v>#REF!</v>
      </c>
      <c r="O17" s="223"/>
      <c r="P17" s="222" t="e">
        <f t="shared" si="3"/>
        <v>#REF!</v>
      </c>
      <c r="Q17" s="223"/>
      <c r="R17" s="222" t="e">
        <f t="shared" si="4"/>
        <v>#REF!</v>
      </c>
      <c r="S17" s="223"/>
      <c r="T17" s="222" t="e">
        <f t="shared" si="5"/>
        <v>#REF!</v>
      </c>
      <c r="U17" s="223"/>
      <c r="V17" s="222" t="e">
        <f t="shared" si="17"/>
        <v>#REF!</v>
      </c>
      <c r="W17" s="223"/>
      <c r="X17" s="222" t="e">
        <f t="shared" si="6"/>
        <v>#REF!</v>
      </c>
      <c r="Y17" s="223"/>
      <c r="Z17" s="222" t="e">
        <f t="shared" si="7"/>
        <v>#REF!</v>
      </c>
      <c r="AA17" s="223"/>
      <c r="AB17" s="222" t="e">
        <f t="shared" si="18"/>
        <v>#REF!</v>
      </c>
      <c r="AC17" s="223"/>
      <c r="AD17" s="222" t="e">
        <f t="shared" si="8"/>
        <v>#REF!</v>
      </c>
      <c r="AE17" s="223"/>
      <c r="AF17" s="222" t="e">
        <f t="shared" si="9"/>
        <v>#REF!</v>
      </c>
      <c r="AG17" s="223"/>
      <c r="AH17" s="222" t="e">
        <f t="shared" si="10"/>
        <v>#REF!</v>
      </c>
      <c r="AI17" s="223"/>
      <c r="AJ17" s="222" t="e">
        <f t="shared" si="11"/>
        <v>#REF!</v>
      </c>
      <c r="AK17" s="223"/>
      <c r="AL17" s="222" t="e">
        <f t="shared" si="12"/>
        <v>#REF!</v>
      </c>
      <c r="AM17" s="223"/>
      <c r="AN17" s="222" t="e">
        <f t="shared" si="13"/>
        <v>#REF!</v>
      </c>
      <c r="AO17" s="223"/>
      <c r="AP17" s="222" t="e">
        <f t="shared" si="14"/>
        <v>#REF!</v>
      </c>
      <c r="AQ17" s="223"/>
      <c r="AR17" s="222" t="e">
        <f t="shared" si="15"/>
        <v>#REF!</v>
      </c>
      <c r="AS17" s="223"/>
      <c r="AT17" s="222" t="e">
        <f>ROUND(#REF!,2)</f>
        <v>#REF!</v>
      </c>
      <c r="AU17" s="223">
        <f t="shared" si="16"/>
        <v>1</v>
      </c>
      <c r="AV17" s="2" t="e">
        <f t="shared" si="19"/>
        <v>#REF!</v>
      </c>
    </row>
    <row r="18" spans="1:48" ht="76.5" customHeight="1">
      <c r="A18" s="235" t="s">
        <v>720</v>
      </c>
      <c r="B18" s="852" t="s">
        <v>145</v>
      </c>
      <c r="C18" s="853"/>
      <c r="D18" s="853"/>
      <c r="E18" s="853"/>
      <c r="F18" s="853"/>
      <c r="G18" s="853"/>
      <c r="H18" s="853"/>
      <c r="I18" s="853"/>
      <c r="J18" s="222" t="e">
        <f t="shared" si="0"/>
        <v>#REF!</v>
      </c>
      <c r="K18" s="223"/>
      <c r="L18" s="222" t="e">
        <f t="shared" ref="L18:N25" si="20">ROUND(M18*$AT18,2)</f>
        <v>#REF!</v>
      </c>
      <c r="M18" s="223">
        <v>1</v>
      </c>
      <c r="N18" s="222" t="e">
        <f t="shared" si="20"/>
        <v>#REF!</v>
      </c>
      <c r="O18" s="223"/>
      <c r="P18" s="222" t="e">
        <f t="shared" si="3"/>
        <v>#REF!</v>
      </c>
      <c r="Q18" s="223"/>
      <c r="R18" s="222" t="e">
        <f t="shared" si="4"/>
        <v>#REF!</v>
      </c>
      <c r="S18" s="223"/>
      <c r="T18" s="222" t="e">
        <f t="shared" si="5"/>
        <v>#REF!</v>
      </c>
      <c r="U18" s="223"/>
      <c r="V18" s="222" t="e">
        <f t="shared" si="17"/>
        <v>#REF!</v>
      </c>
      <c r="W18" s="223"/>
      <c r="X18" s="222" t="e">
        <f t="shared" si="6"/>
        <v>#REF!</v>
      </c>
      <c r="Y18" s="223"/>
      <c r="Z18" s="222" t="e">
        <f t="shared" si="7"/>
        <v>#REF!</v>
      </c>
      <c r="AA18" s="223"/>
      <c r="AB18" s="222" t="e">
        <f t="shared" si="18"/>
        <v>#REF!</v>
      </c>
      <c r="AC18" s="223"/>
      <c r="AD18" s="222" t="e">
        <f t="shared" si="8"/>
        <v>#REF!</v>
      </c>
      <c r="AE18" s="223"/>
      <c r="AF18" s="222" t="e">
        <f t="shared" si="9"/>
        <v>#REF!</v>
      </c>
      <c r="AG18" s="223"/>
      <c r="AH18" s="222" t="e">
        <f t="shared" si="10"/>
        <v>#REF!</v>
      </c>
      <c r="AI18" s="223"/>
      <c r="AJ18" s="222" t="e">
        <f t="shared" si="11"/>
        <v>#REF!</v>
      </c>
      <c r="AK18" s="223"/>
      <c r="AL18" s="222" t="e">
        <f t="shared" si="12"/>
        <v>#REF!</v>
      </c>
      <c r="AM18" s="223"/>
      <c r="AN18" s="222" t="e">
        <f t="shared" si="13"/>
        <v>#REF!</v>
      </c>
      <c r="AO18" s="223"/>
      <c r="AP18" s="222" t="e">
        <f t="shared" si="14"/>
        <v>#REF!</v>
      </c>
      <c r="AQ18" s="223"/>
      <c r="AR18" s="222" t="e">
        <f t="shared" si="15"/>
        <v>#REF!</v>
      </c>
      <c r="AS18" s="223"/>
      <c r="AT18" s="222" t="e">
        <f>#REF!</f>
        <v>#REF!</v>
      </c>
      <c r="AU18" s="223">
        <f t="shared" si="16"/>
        <v>1</v>
      </c>
      <c r="AV18" s="2" t="e">
        <f t="shared" si="19"/>
        <v>#REF!</v>
      </c>
    </row>
    <row r="19" spans="1:48" ht="76.5" customHeight="1">
      <c r="A19" s="234" t="s">
        <v>632</v>
      </c>
      <c r="B19" s="852" t="s">
        <v>145</v>
      </c>
      <c r="C19" s="853"/>
      <c r="D19" s="853"/>
      <c r="E19" s="853"/>
      <c r="F19" s="853"/>
      <c r="G19" s="853"/>
      <c r="H19" s="853"/>
      <c r="I19" s="853"/>
      <c r="J19" s="222" t="e">
        <f t="shared" si="0"/>
        <v>#REF!</v>
      </c>
      <c r="K19" s="223"/>
      <c r="L19" s="222" t="e">
        <f t="shared" si="20"/>
        <v>#REF!</v>
      </c>
      <c r="M19" s="223">
        <v>0.5</v>
      </c>
      <c r="N19" s="222" t="e">
        <f>ROUND(O19*$AT19,2)-0.01</f>
        <v>#REF!</v>
      </c>
      <c r="O19" s="223">
        <v>0.5</v>
      </c>
      <c r="P19" s="222" t="e">
        <f t="shared" si="3"/>
        <v>#REF!</v>
      </c>
      <c r="Q19" s="223"/>
      <c r="R19" s="222" t="e">
        <f t="shared" si="4"/>
        <v>#REF!</v>
      </c>
      <c r="S19" s="223"/>
      <c r="T19" s="222" t="e">
        <f t="shared" si="5"/>
        <v>#REF!</v>
      </c>
      <c r="U19" s="223"/>
      <c r="V19" s="222" t="e">
        <f t="shared" si="17"/>
        <v>#REF!</v>
      </c>
      <c r="W19" s="223"/>
      <c r="X19" s="222" t="e">
        <f t="shared" si="6"/>
        <v>#REF!</v>
      </c>
      <c r="Y19" s="223"/>
      <c r="Z19" s="222" t="e">
        <f t="shared" si="7"/>
        <v>#REF!</v>
      </c>
      <c r="AA19" s="223"/>
      <c r="AB19" s="222" t="e">
        <f t="shared" si="18"/>
        <v>#REF!</v>
      </c>
      <c r="AC19" s="223"/>
      <c r="AD19" s="222" t="e">
        <f t="shared" si="8"/>
        <v>#REF!</v>
      </c>
      <c r="AE19" s="223"/>
      <c r="AF19" s="222" t="e">
        <f t="shared" si="9"/>
        <v>#REF!</v>
      </c>
      <c r="AG19" s="223"/>
      <c r="AH19" s="222" t="e">
        <f t="shared" si="10"/>
        <v>#REF!</v>
      </c>
      <c r="AI19" s="223"/>
      <c r="AJ19" s="222" t="e">
        <f t="shared" si="11"/>
        <v>#REF!</v>
      </c>
      <c r="AK19" s="223"/>
      <c r="AL19" s="222" t="e">
        <f t="shared" si="12"/>
        <v>#REF!</v>
      </c>
      <c r="AM19" s="223"/>
      <c r="AN19" s="222" t="e">
        <f t="shared" si="13"/>
        <v>#REF!</v>
      </c>
      <c r="AO19" s="223"/>
      <c r="AP19" s="222" t="e">
        <f t="shared" si="14"/>
        <v>#REF!</v>
      </c>
      <c r="AQ19" s="223"/>
      <c r="AR19" s="222" t="e">
        <f t="shared" si="15"/>
        <v>#REF!</v>
      </c>
      <c r="AS19" s="223"/>
      <c r="AT19" s="222" t="e">
        <f>#REF!</f>
        <v>#REF!</v>
      </c>
      <c r="AU19" s="223">
        <f t="shared" si="16"/>
        <v>1</v>
      </c>
      <c r="AV19" s="2" t="e">
        <f t="shared" si="19"/>
        <v>#REF!</v>
      </c>
    </row>
    <row r="20" spans="1:48" ht="76.5" customHeight="1">
      <c r="A20" s="235" t="s">
        <v>722</v>
      </c>
      <c r="B20" s="852" t="s">
        <v>145</v>
      </c>
      <c r="C20" s="853"/>
      <c r="D20" s="853"/>
      <c r="E20" s="853"/>
      <c r="F20" s="853"/>
      <c r="G20" s="853"/>
      <c r="H20" s="853"/>
      <c r="I20" s="853"/>
      <c r="J20" s="222" t="e">
        <f t="shared" si="0"/>
        <v>#REF!</v>
      </c>
      <c r="K20" s="223"/>
      <c r="L20" s="222" t="e">
        <f t="shared" si="20"/>
        <v>#REF!</v>
      </c>
      <c r="M20" s="223"/>
      <c r="N20" s="222" t="e">
        <f t="shared" si="20"/>
        <v>#REF!</v>
      </c>
      <c r="O20" s="223">
        <v>1</v>
      </c>
      <c r="P20" s="222" t="e">
        <f t="shared" si="3"/>
        <v>#REF!</v>
      </c>
      <c r="Q20" s="223"/>
      <c r="R20" s="222" t="e">
        <f t="shared" si="4"/>
        <v>#REF!</v>
      </c>
      <c r="S20" s="223"/>
      <c r="T20" s="222" t="e">
        <f t="shared" si="5"/>
        <v>#REF!</v>
      </c>
      <c r="U20" s="223"/>
      <c r="V20" s="222" t="e">
        <f t="shared" si="17"/>
        <v>#REF!</v>
      </c>
      <c r="W20" s="223"/>
      <c r="X20" s="222" t="e">
        <f t="shared" si="6"/>
        <v>#REF!</v>
      </c>
      <c r="Y20" s="223"/>
      <c r="Z20" s="222" t="e">
        <f t="shared" si="7"/>
        <v>#REF!</v>
      </c>
      <c r="AA20" s="223"/>
      <c r="AB20" s="222" t="e">
        <f t="shared" si="18"/>
        <v>#REF!</v>
      </c>
      <c r="AC20" s="223"/>
      <c r="AD20" s="222" t="e">
        <f t="shared" si="8"/>
        <v>#REF!</v>
      </c>
      <c r="AE20" s="223"/>
      <c r="AF20" s="222" t="e">
        <f t="shared" si="9"/>
        <v>#REF!</v>
      </c>
      <c r="AG20" s="223"/>
      <c r="AH20" s="222" t="e">
        <f t="shared" si="10"/>
        <v>#REF!</v>
      </c>
      <c r="AI20" s="223"/>
      <c r="AJ20" s="222" t="e">
        <f t="shared" si="11"/>
        <v>#REF!</v>
      </c>
      <c r="AK20" s="223"/>
      <c r="AL20" s="222" t="e">
        <f t="shared" si="12"/>
        <v>#REF!</v>
      </c>
      <c r="AM20" s="223"/>
      <c r="AN20" s="222" t="e">
        <f t="shared" si="13"/>
        <v>#REF!</v>
      </c>
      <c r="AO20" s="223"/>
      <c r="AP20" s="222" t="e">
        <f t="shared" si="14"/>
        <v>#REF!</v>
      </c>
      <c r="AQ20" s="223"/>
      <c r="AR20" s="222" t="e">
        <f t="shared" si="15"/>
        <v>#REF!</v>
      </c>
      <c r="AS20" s="223"/>
      <c r="AT20" s="222" t="e">
        <f>#REF!</f>
        <v>#REF!</v>
      </c>
      <c r="AU20" s="223">
        <f t="shared" si="16"/>
        <v>1</v>
      </c>
      <c r="AV20" s="2" t="e">
        <f t="shared" si="19"/>
        <v>#REF!</v>
      </c>
    </row>
    <row r="21" spans="1:48" ht="76.5" customHeight="1">
      <c r="A21" s="234" t="s">
        <v>723</v>
      </c>
      <c r="B21" s="852" t="s">
        <v>145</v>
      </c>
      <c r="C21" s="853"/>
      <c r="D21" s="853"/>
      <c r="E21" s="853"/>
      <c r="F21" s="853"/>
      <c r="G21" s="853"/>
      <c r="H21" s="853"/>
      <c r="I21" s="853"/>
      <c r="J21" s="222" t="e">
        <f t="shared" si="0"/>
        <v>#REF!</v>
      </c>
      <c r="K21" s="223"/>
      <c r="L21" s="222" t="e">
        <f t="shared" si="20"/>
        <v>#REF!</v>
      </c>
      <c r="M21" s="223"/>
      <c r="N21" s="222" t="e">
        <f t="shared" si="20"/>
        <v>#REF!</v>
      </c>
      <c r="O21" s="223">
        <v>0.33</v>
      </c>
      <c r="P21" s="222" t="e">
        <f t="shared" si="3"/>
        <v>#REF!</v>
      </c>
      <c r="Q21" s="223">
        <v>0.33</v>
      </c>
      <c r="R21" s="222" t="e">
        <f t="shared" si="4"/>
        <v>#REF!</v>
      </c>
      <c r="S21" s="223"/>
      <c r="T21" s="222" t="e">
        <f>ROUND(U21*$AT21,2)+0.01</f>
        <v>#REF!</v>
      </c>
      <c r="U21" s="223">
        <v>0.34</v>
      </c>
      <c r="V21" s="222" t="e">
        <f t="shared" si="17"/>
        <v>#REF!</v>
      </c>
      <c r="W21" s="223"/>
      <c r="X21" s="222" t="e">
        <f t="shared" si="6"/>
        <v>#REF!</v>
      </c>
      <c r="Y21" s="223"/>
      <c r="Z21" s="222" t="e">
        <f t="shared" si="7"/>
        <v>#REF!</v>
      </c>
      <c r="AA21" s="223"/>
      <c r="AB21" s="222" t="e">
        <f t="shared" si="18"/>
        <v>#REF!</v>
      </c>
      <c r="AC21" s="223"/>
      <c r="AD21" s="222" t="e">
        <f t="shared" si="8"/>
        <v>#REF!</v>
      </c>
      <c r="AE21" s="223"/>
      <c r="AF21" s="222" t="e">
        <f t="shared" si="9"/>
        <v>#REF!</v>
      </c>
      <c r="AG21" s="223"/>
      <c r="AH21" s="222" t="e">
        <f t="shared" si="10"/>
        <v>#REF!</v>
      </c>
      <c r="AI21" s="223"/>
      <c r="AJ21" s="222" t="e">
        <f t="shared" si="11"/>
        <v>#REF!</v>
      </c>
      <c r="AK21" s="223"/>
      <c r="AL21" s="222" t="e">
        <f t="shared" si="12"/>
        <v>#REF!</v>
      </c>
      <c r="AM21" s="223"/>
      <c r="AN21" s="222" t="e">
        <f t="shared" si="13"/>
        <v>#REF!</v>
      </c>
      <c r="AO21" s="223"/>
      <c r="AP21" s="222" t="e">
        <f t="shared" si="14"/>
        <v>#REF!</v>
      </c>
      <c r="AQ21" s="223"/>
      <c r="AR21" s="222" t="e">
        <f t="shared" si="15"/>
        <v>#REF!</v>
      </c>
      <c r="AS21" s="223"/>
      <c r="AT21" s="222" t="e">
        <f>#REF!</f>
        <v>#REF!</v>
      </c>
      <c r="AU21" s="223">
        <f t="shared" si="16"/>
        <v>1</v>
      </c>
      <c r="AV21" s="2" t="e">
        <f t="shared" si="19"/>
        <v>#REF!</v>
      </c>
    </row>
    <row r="22" spans="1:48" ht="76.5" customHeight="1">
      <c r="A22" s="234" t="s">
        <v>307</v>
      </c>
      <c r="B22" s="852" t="s">
        <v>145</v>
      </c>
      <c r="C22" s="853"/>
      <c r="D22" s="853"/>
      <c r="E22" s="853"/>
      <c r="F22" s="853"/>
      <c r="G22" s="853"/>
      <c r="H22" s="853"/>
      <c r="I22" s="853"/>
      <c r="J22" s="222" t="e">
        <f t="shared" si="0"/>
        <v>#REF!</v>
      </c>
      <c r="K22" s="223"/>
      <c r="L22" s="222" t="e">
        <f t="shared" si="20"/>
        <v>#REF!</v>
      </c>
      <c r="M22" s="223"/>
      <c r="N22" s="222" t="e">
        <f t="shared" si="20"/>
        <v>#REF!</v>
      </c>
      <c r="O22" s="223"/>
      <c r="P22" s="222" t="e">
        <f t="shared" si="3"/>
        <v>#REF!</v>
      </c>
      <c r="Q22" s="223">
        <v>0.33</v>
      </c>
      <c r="R22" s="222" t="e">
        <f t="shared" si="4"/>
        <v>#REF!</v>
      </c>
      <c r="S22" s="223">
        <v>0.33</v>
      </c>
      <c r="T22" s="222" t="e">
        <f>ROUND(U22*$AT22,2)-0.01</f>
        <v>#REF!</v>
      </c>
      <c r="U22" s="223">
        <v>0.34</v>
      </c>
      <c r="V22" s="222" t="e">
        <f t="shared" si="17"/>
        <v>#REF!</v>
      </c>
      <c r="W22" s="223"/>
      <c r="X22" s="222" t="e">
        <f t="shared" si="6"/>
        <v>#REF!</v>
      </c>
      <c r="Y22" s="223"/>
      <c r="Z22" s="222" t="e">
        <f t="shared" si="7"/>
        <v>#REF!</v>
      </c>
      <c r="AA22" s="223"/>
      <c r="AB22" s="222" t="e">
        <f t="shared" si="18"/>
        <v>#REF!</v>
      </c>
      <c r="AC22" s="223"/>
      <c r="AD22" s="222" t="e">
        <f t="shared" si="8"/>
        <v>#REF!</v>
      </c>
      <c r="AE22" s="223"/>
      <c r="AF22" s="222" t="e">
        <f t="shared" si="9"/>
        <v>#REF!</v>
      </c>
      <c r="AG22" s="223"/>
      <c r="AH22" s="222" t="e">
        <f t="shared" si="10"/>
        <v>#REF!</v>
      </c>
      <c r="AI22" s="223"/>
      <c r="AJ22" s="222" t="e">
        <f t="shared" si="11"/>
        <v>#REF!</v>
      </c>
      <c r="AK22" s="223"/>
      <c r="AL22" s="222" t="e">
        <f t="shared" si="12"/>
        <v>#REF!</v>
      </c>
      <c r="AM22" s="223"/>
      <c r="AN22" s="222" t="e">
        <f t="shared" si="13"/>
        <v>#REF!</v>
      </c>
      <c r="AO22" s="223"/>
      <c r="AP22" s="222" t="e">
        <f t="shared" si="14"/>
        <v>#REF!</v>
      </c>
      <c r="AQ22" s="223"/>
      <c r="AR22" s="222" t="e">
        <f t="shared" si="15"/>
        <v>#REF!</v>
      </c>
      <c r="AS22" s="223"/>
      <c r="AT22" s="222" t="e">
        <f>#REF!-0.01</f>
        <v>#REF!</v>
      </c>
      <c r="AU22" s="223">
        <f t="shared" si="16"/>
        <v>1</v>
      </c>
      <c r="AV22" s="2" t="e">
        <f t="shared" si="19"/>
        <v>#REF!</v>
      </c>
    </row>
    <row r="23" spans="1:48" ht="76.5" customHeight="1">
      <c r="A23" s="234" t="s">
        <v>308</v>
      </c>
      <c r="B23" s="852" t="s">
        <v>145</v>
      </c>
      <c r="C23" s="853"/>
      <c r="D23" s="853"/>
      <c r="E23" s="853"/>
      <c r="F23" s="853"/>
      <c r="G23" s="853"/>
      <c r="H23" s="853"/>
      <c r="I23" s="853"/>
      <c r="J23" s="222" t="e">
        <f t="shared" si="0"/>
        <v>#REF!</v>
      </c>
      <c r="K23" s="223"/>
      <c r="L23" s="222" t="e">
        <f t="shared" si="20"/>
        <v>#REF!</v>
      </c>
      <c r="M23" s="223"/>
      <c r="N23" s="222" t="e">
        <f t="shared" si="20"/>
        <v>#REF!</v>
      </c>
      <c r="O23" s="223"/>
      <c r="P23" s="222" t="e">
        <f t="shared" si="3"/>
        <v>#REF!</v>
      </c>
      <c r="Q23" s="223"/>
      <c r="R23" s="222" t="e">
        <f t="shared" si="4"/>
        <v>#REF!</v>
      </c>
      <c r="S23" s="223"/>
      <c r="T23" s="222" t="e">
        <f t="shared" ref="T23:T51" si="21">ROUND(U23*$AT23,2)</f>
        <v>#REF!</v>
      </c>
      <c r="U23" s="223">
        <v>0.5</v>
      </c>
      <c r="V23" s="222" t="e">
        <f>ROUND(W23*$AT23,2)-0.01</f>
        <v>#REF!</v>
      </c>
      <c r="W23" s="223">
        <v>0.5</v>
      </c>
      <c r="X23" s="222" t="e">
        <f t="shared" si="6"/>
        <v>#REF!</v>
      </c>
      <c r="Y23" s="223"/>
      <c r="Z23" s="222" t="e">
        <f t="shared" si="7"/>
        <v>#REF!</v>
      </c>
      <c r="AA23" s="223"/>
      <c r="AB23" s="222" t="e">
        <f t="shared" si="18"/>
        <v>#REF!</v>
      </c>
      <c r="AC23" s="223"/>
      <c r="AD23" s="222" t="e">
        <f t="shared" si="8"/>
        <v>#REF!</v>
      </c>
      <c r="AE23" s="223"/>
      <c r="AF23" s="222" t="e">
        <f t="shared" si="9"/>
        <v>#REF!</v>
      </c>
      <c r="AG23" s="223"/>
      <c r="AH23" s="222" t="e">
        <f t="shared" si="10"/>
        <v>#REF!</v>
      </c>
      <c r="AI23" s="223"/>
      <c r="AJ23" s="222" t="e">
        <f t="shared" si="11"/>
        <v>#REF!</v>
      </c>
      <c r="AK23" s="223"/>
      <c r="AL23" s="222" t="e">
        <f t="shared" si="12"/>
        <v>#REF!</v>
      </c>
      <c r="AM23" s="223"/>
      <c r="AN23" s="222" t="e">
        <f t="shared" si="13"/>
        <v>#REF!</v>
      </c>
      <c r="AO23" s="223"/>
      <c r="AP23" s="222" t="e">
        <f t="shared" si="14"/>
        <v>#REF!</v>
      </c>
      <c r="AQ23" s="223"/>
      <c r="AR23" s="222" t="e">
        <f t="shared" si="15"/>
        <v>#REF!</v>
      </c>
      <c r="AS23" s="223"/>
      <c r="AT23" s="222" t="e">
        <f>#REF!-0.01</f>
        <v>#REF!</v>
      </c>
      <c r="AU23" s="223">
        <f t="shared" si="16"/>
        <v>1</v>
      </c>
      <c r="AV23" s="2" t="e">
        <f t="shared" si="19"/>
        <v>#REF!</v>
      </c>
    </row>
    <row r="24" spans="1:48" ht="76.5" customHeight="1">
      <c r="A24" s="234" t="s">
        <v>309</v>
      </c>
      <c r="B24" s="852" t="s">
        <v>145</v>
      </c>
      <c r="C24" s="853"/>
      <c r="D24" s="853"/>
      <c r="E24" s="853"/>
      <c r="F24" s="853"/>
      <c r="G24" s="853"/>
      <c r="H24" s="853"/>
      <c r="I24" s="853"/>
      <c r="J24" s="222" t="e">
        <f t="shared" si="0"/>
        <v>#REF!</v>
      </c>
      <c r="K24" s="223"/>
      <c r="L24" s="222" t="e">
        <f t="shared" si="20"/>
        <v>#REF!</v>
      </c>
      <c r="M24" s="223"/>
      <c r="N24" s="222" t="e">
        <f t="shared" si="20"/>
        <v>#REF!</v>
      </c>
      <c r="O24" s="223"/>
      <c r="P24" s="222" t="e">
        <f t="shared" si="3"/>
        <v>#REF!</v>
      </c>
      <c r="Q24" s="223"/>
      <c r="R24" s="222" t="e">
        <f t="shared" si="4"/>
        <v>#REF!</v>
      </c>
      <c r="S24" s="223"/>
      <c r="T24" s="222" t="e">
        <f t="shared" si="21"/>
        <v>#REF!</v>
      </c>
      <c r="U24" s="223"/>
      <c r="V24" s="222" t="e">
        <f t="shared" ref="V24:V51" si="22">ROUND(W24*$AT24,2)</f>
        <v>#REF!</v>
      </c>
      <c r="W24" s="223">
        <v>1</v>
      </c>
      <c r="X24" s="222" t="e">
        <f t="shared" si="6"/>
        <v>#REF!</v>
      </c>
      <c r="Y24" s="223"/>
      <c r="Z24" s="222" t="e">
        <f t="shared" si="7"/>
        <v>#REF!</v>
      </c>
      <c r="AA24" s="223"/>
      <c r="AB24" s="222" t="e">
        <f t="shared" si="18"/>
        <v>#REF!</v>
      </c>
      <c r="AC24" s="223"/>
      <c r="AD24" s="222" t="e">
        <f t="shared" si="8"/>
        <v>#REF!</v>
      </c>
      <c r="AE24" s="223"/>
      <c r="AF24" s="222" t="e">
        <f t="shared" si="9"/>
        <v>#REF!</v>
      </c>
      <c r="AG24" s="223"/>
      <c r="AH24" s="222" t="e">
        <f t="shared" si="10"/>
        <v>#REF!</v>
      </c>
      <c r="AI24" s="223"/>
      <c r="AJ24" s="222" t="e">
        <f t="shared" si="11"/>
        <v>#REF!</v>
      </c>
      <c r="AK24" s="223"/>
      <c r="AL24" s="222" t="e">
        <f t="shared" si="12"/>
        <v>#REF!</v>
      </c>
      <c r="AM24" s="223"/>
      <c r="AN24" s="222" t="e">
        <f t="shared" si="13"/>
        <v>#REF!</v>
      </c>
      <c r="AO24" s="223"/>
      <c r="AP24" s="222" t="e">
        <f t="shared" si="14"/>
        <v>#REF!</v>
      </c>
      <c r="AQ24" s="223"/>
      <c r="AR24" s="222" t="e">
        <f t="shared" si="15"/>
        <v>#REF!</v>
      </c>
      <c r="AS24" s="223"/>
      <c r="AT24" s="222" t="e">
        <f>#REF!</f>
        <v>#REF!</v>
      </c>
      <c r="AU24" s="223">
        <f t="shared" si="16"/>
        <v>1</v>
      </c>
      <c r="AV24" s="2" t="e">
        <f t="shared" si="19"/>
        <v>#REF!</v>
      </c>
    </row>
    <row r="25" spans="1:48" ht="76.5" customHeight="1">
      <c r="A25" s="235" t="s">
        <v>312</v>
      </c>
      <c r="B25" s="852" t="s">
        <v>145</v>
      </c>
      <c r="C25" s="853"/>
      <c r="D25" s="853"/>
      <c r="E25" s="853"/>
      <c r="F25" s="853"/>
      <c r="G25" s="853"/>
      <c r="H25" s="853"/>
      <c r="I25" s="853"/>
      <c r="J25" s="222" t="e">
        <f t="shared" si="0"/>
        <v>#REF!</v>
      </c>
      <c r="K25" s="223"/>
      <c r="L25" s="222" t="e">
        <f t="shared" si="20"/>
        <v>#REF!</v>
      </c>
      <c r="M25" s="223"/>
      <c r="N25" s="222" t="e">
        <f t="shared" si="20"/>
        <v>#REF!</v>
      </c>
      <c r="O25" s="223"/>
      <c r="P25" s="222" t="e">
        <f t="shared" si="3"/>
        <v>#REF!</v>
      </c>
      <c r="Q25" s="223"/>
      <c r="R25" s="222" t="e">
        <f t="shared" si="4"/>
        <v>#REF!</v>
      </c>
      <c r="S25" s="223">
        <v>1</v>
      </c>
      <c r="T25" s="222" t="e">
        <f t="shared" si="21"/>
        <v>#REF!</v>
      </c>
      <c r="U25" s="223"/>
      <c r="V25" s="222" t="e">
        <f t="shared" si="22"/>
        <v>#REF!</v>
      </c>
      <c r="W25" s="223"/>
      <c r="X25" s="222" t="e">
        <f t="shared" si="6"/>
        <v>#REF!</v>
      </c>
      <c r="Y25" s="223"/>
      <c r="Z25" s="222" t="e">
        <f t="shared" si="7"/>
        <v>#REF!</v>
      </c>
      <c r="AA25" s="223"/>
      <c r="AB25" s="222" t="e">
        <f t="shared" si="18"/>
        <v>#REF!</v>
      </c>
      <c r="AC25" s="223"/>
      <c r="AD25" s="222" t="e">
        <f t="shared" si="8"/>
        <v>#REF!</v>
      </c>
      <c r="AE25" s="223"/>
      <c r="AF25" s="222" t="e">
        <f t="shared" si="9"/>
        <v>#REF!</v>
      </c>
      <c r="AG25" s="223"/>
      <c r="AH25" s="222" t="e">
        <f t="shared" si="10"/>
        <v>#REF!</v>
      </c>
      <c r="AI25" s="223"/>
      <c r="AJ25" s="222" t="e">
        <f t="shared" si="11"/>
        <v>#REF!</v>
      </c>
      <c r="AK25" s="223"/>
      <c r="AL25" s="222" t="e">
        <f t="shared" si="12"/>
        <v>#REF!</v>
      </c>
      <c r="AM25" s="223"/>
      <c r="AN25" s="222" t="e">
        <f t="shared" si="13"/>
        <v>#REF!</v>
      </c>
      <c r="AO25" s="223"/>
      <c r="AP25" s="222" t="e">
        <f t="shared" si="14"/>
        <v>#REF!</v>
      </c>
      <c r="AQ25" s="223"/>
      <c r="AR25" s="222" t="e">
        <f t="shared" si="15"/>
        <v>#REF!</v>
      </c>
      <c r="AS25" s="223"/>
      <c r="AT25" s="222" t="e">
        <f>#REF!</f>
        <v>#REF!</v>
      </c>
      <c r="AU25" s="223">
        <f t="shared" si="16"/>
        <v>1</v>
      </c>
      <c r="AV25" s="2" t="e">
        <f t="shared" si="19"/>
        <v>#REF!</v>
      </c>
    </row>
    <row r="26" spans="1:48" ht="76.5" customHeight="1">
      <c r="A26" s="234" t="s">
        <v>313</v>
      </c>
      <c r="B26" s="852" t="s">
        <v>145</v>
      </c>
      <c r="C26" s="853"/>
      <c r="D26" s="853"/>
      <c r="E26" s="853"/>
      <c r="F26" s="853"/>
      <c r="G26" s="853"/>
      <c r="H26" s="853"/>
      <c r="I26" s="853"/>
      <c r="J26" s="222" t="e">
        <f t="shared" si="0"/>
        <v>#REF!</v>
      </c>
      <c r="K26" s="223"/>
      <c r="L26" s="222" t="e">
        <f t="shared" ref="L26:L51" si="23">ROUND(M26*$AT26,2)</f>
        <v>#REF!</v>
      </c>
      <c r="M26" s="223"/>
      <c r="N26" s="222" t="e">
        <f t="shared" ref="N26:N51" si="24">ROUND(O26*$AT26,2)</f>
        <v>#REF!</v>
      </c>
      <c r="O26" s="223"/>
      <c r="P26" s="222" t="e">
        <f t="shared" si="3"/>
        <v>#REF!</v>
      </c>
      <c r="Q26" s="223"/>
      <c r="R26" s="222" t="e">
        <f t="shared" si="4"/>
        <v>#REF!</v>
      </c>
      <c r="S26" s="223">
        <v>0.5</v>
      </c>
      <c r="T26" s="222" t="e">
        <f t="shared" si="21"/>
        <v>#REF!</v>
      </c>
      <c r="U26" s="223">
        <v>0.5</v>
      </c>
      <c r="V26" s="222" t="e">
        <f t="shared" si="22"/>
        <v>#REF!</v>
      </c>
      <c r="W26" s="223"/>
      <c r="X26" s="222" t="e">
        <f t="shared" si="6"/>
        <v>#REF!</v>
      </c>
      <c r="Y26" s="223"/>
      <c r="Z26" s="222" t="e">
        <f t="shared" si="7"/>
        <v>#REF!</v>
      </c>
      <c r="AA26" s="223"/>
      <c r="AB26" s="222" t="e">
        <f t="shared" si="18"/>
        <v>#REF!</v>
      </c>
      <c r="AC26" s="223"/>
      <c r="AD26" s="222" t="e">
        <f t="shared" si="8"/>
        <v>#REF!</v>
      </c>
      <c r="AE26" s="223"/>
      <c r="AF26" s="222" t="e">
        <f t="shared" si="9"/>
        <v>#REF!</v>
      </c>
      <c r="AG26" s="223"/>
      <c r="AH26" s="222" t="e">
        <f t="shared" si="10"/>
        <v>#REF!</v>
      </c>
      <c r="AI26" s="223"/>
      <c r="AJ26" s="222" t="e">
        <f t="shared" si="11"/>
        <v>#REF!</v>
      </c>
      <c r="AK26" s="223"/>
      <c r="AL26" s="222" t="e">
        <f t="shared" si="12"/>
        <v>#REF!</v>
      </c>
      <c r="AM26" s="223"/>
      <c r="AN26" s="222" t="e">
        <f t="shared" si="13"/>
        <v>#REF!</v>
      </c>
      <c r="AO26" s="223"/>
      <c r="AP26" s="222" t="e">
        <f t="shared" si="14"/>
        <v>#REF!</v>
      </c>
      <c r="AQ26" s="223"/>
      <c r="AR26" s="222" t="e">
        <f t="shared" si="15"/>
        <v>#REF!</v>
      </c>
      <c r="AS26" s="223"/>
      <c r="AT26" s="222" t="e">
        <f>#REF!</f>
        <v>#REF!</v>
      </c>
      <c r="AU26" s="223">
        <f t="shared" si="16"/>
        <v>1</v>
      </c>
      <c r="AV26" s="2" t="e">
        <f t="shared" si="19"/>
        <v>#REF!</v>
      </c>
    </row>
    <row r="27" spans="1:48" ht="76.5" customHeight="1">
      <c r="A27" s="234" t="s">
        <v>314</v>
      </c>
      <c r="B27" s="852" t="s">
        <v>145</v>
      </c>
      <c r="C27" s="853"/>
      <c r="D27" s="853"/>
      <c r="E27" s="853"/>
      <c r="F27" s="853"/>
      <c r="G27" s="853"/>
      <c r="H27" s="853"/>
      <c r="I27" s="853"/>
      <c r="J27" s="222" t="e">
        <f t="shared" si="0"/>
        <v>#REF!</v>
      </c>
      <c r="K27" s="223"/>
      <c r="L27" s="222" t="e">
        <f t="shared" si="23"/>
        <v>#REF!</v>
      </c>
      <c r="M27" s="223"/>
      <c r="N27" s="222" t="e">
        <f t="shared" si="24"/>
        <v>#REF!</v>
      </c>
      <c r="O27" s="223"/>
      <c r="P27" s="222" t="e">
        <f t="shared" si="3"/>
        <v>#REF!</v>
      </c>
      <c r="Q27" s="223"/>
      <c r="R27" s="222" t="e">
        <f t="shared" si="4"/>
        <v>#REF!</v>
      </c>
      <c r="S27" s="223"/>
      <c r="T27" s="222" t="e">
        <f t="shared" si="21"/>
        <v>#REF!</v>
      </c>
      <c r="U27" s="223">
        <v>0.33</v>
      </c>
      <c r="V27" s="222" t="e">
        <f t="shared" si="22"/>
        <v>#REF!</v>
      </c>
      <c r="W27" s="223">
        <v>0.33</v>
      </c>
      <c r="X27" s="222" t="e">
        <f t="shared" si="6"/>
        <v>#REF!</v>
      </c>
      <c r="Y27" s="223">
        <v>0.34</v>
      </c>
      <c r="Z27" s="222" t="e">
        <f t="shared" si="7"/>
        <v>#REF!</v>
      </c>
      <c r="AA27" s="223"/>
      <c r="AB27" s="222" t="e">
        <f t="shared" si="18"/>
        <v>#REF!</v>
      </c>
      <c r="AC27" s="223"/>
      <c r="AD27" s="222" t="e">
        <f t="shared" si="8"/>
        <v>#REF!</v>
      </c>
      <c r="AE27" s="223"/>
      <c r="AF27" s="222" t="e">
        <f t="shared" si="9"/>
        <v>#REF!</v>
      </c>
      <c r="AG27" s="223"/>
      <c r="AH27" s="222" t="e">
        <f t="shared" si="10"/>
        <v>#REF!</v>
      </c>
      <c r="AI27" s="223"/>
      <c r="AJ27" s="222" t="e">
        <f t="shared" si="11"/>
        <v>#REF!</v>
      </c>
      <c r="AK27" s="223"/>
      <c r="AL27" s="222" t="e">
        <f t="shared" si="12"/>
        <v>#REF!</v>
      </c>
      <c r="AM27" s="223"/>
      <c r="AN27" s="222" t="e">
        <f t="shared" si="13"/>
        <v>#REF!</v>
      </c>
      <c r="AO27" s="223"/>
      <c r="AP27" s="222" t="e">
        <f t="shared" si="14"/>
        <v>#REF!</v>
      </c>
      <c r="AQ27" s="223"/>
      <c r="AR27" s="222" t="e">
        <f t="shared" si="15"/>
        <v>#REF!</v>
      </c>
      <c r="AS27" s="223"/>
      <c r="AT27" s="222" t="e">
        <f>#REF!</f>
        <v>#REF!</v>
      </c>
      <c r="AU27" s="223">
        <f t="shared" si="16"/>
        <v>1</v>
      </c>
      <c r="AV27" s="2" t="e">
        <f t="shared" si="19"/>
        <v>#REF!</v>
      </c>
    </row>
    <row r="28" spans="1:48" ht="76.5" customHeight="1">
      <c r="A28" s="234" t="s">
        <v>15</v>
      </c>
      <c r="B28" s="852" t="s">
        <v>145</v>
      </c>
      <c r="C28" s="853"/>
      <c r="D28" s="853"/>
      <c r="E28" s="853"/>
      <c r="F28" s="853"/>
      <c r="G28" s="853"/>
      <c r="H28" s="853"/>
      <c r="I28" s="853"/>
      <c r="J28" s="222" t="e">
        <f t="shared" si="0"/>
        <v>#REF!</v>
      </c>
      <c r="K28" s="223"/>
      <c r="L28" s="222" t="e">
        <f t="shared" si="23"/>
        <v>#REF!</v>
      </c>
      <c r="M28" s="223"/>
      <c r="N28" s="222" t="e">
        <f t="shared" si="24"/>
        <v>#REF!</v>
      </c>
      <c r="O28" s="223"/>
      <c r="P28" s="222" t="e">
        <f t="shared" si="3"/>
        <v>#REF!</v>
      </c>
      <c r="Q28" s="223"/>
      <c r="R28" s="222" t="e">
        <f t="shared" si="4"/>
        <v>#REF!</v>
      </c>
      <c r="S28" s="223"/>
      <c r="T28" s="222" t="e">
        <f t="shared" si="21"/>
        <v>#REF!</v>
      </c>
      <c r="U28" s="223"/>
      <c r="V28" s="222" t="e">
        <f t="shared" si="22"/>
        <v>#REF!</v>
      </c>
      <c r="W28" s="223"/>
      <c r="X28" s="222" t="e">
        <f t="shared" si="6"/>
        <v>#REF!</v>
      </c>
      <c r="Y28" s="223">
        <v>0.5</v>
      </c>
      <c r="Z28" s="222" t="e">
        <f t="shared" si="7"/>
        <v>#REF!</v>
      </c>
      <c r="AA28" s="223">
        <v>0.5</v>
      </c>
      <c r="AB28" s="222" t="e">
        <f t="shared" si="18"/>
        <v>#REF!</v>
      </c>
      <c r="AC28" s="223"/>
      <c r="AD28" s="222" t="e">
        <f t="shared" si="8"/>
        <v>#REF!</v>
      </c>
      <c r="AE28" s="223"/>
      <c r="AF28" s="222" t="e">
        <f t="shared" si="9"/>
        <v>#REF!</v>
      </c>
      <c r="AG28" s="223"/>
      <c r="AH28" s="222" t="e">
        <f t="shared" si="10"/>
        <v>#REF!</v>
      </c>
      <c r="AI28" s="223"/>
      <c r="AJ28" s="222" t="e">
        <f t="shared" si="11"/>
        <v>#REF!</v>
      </c>
      <c r="AK28" s="223"/>
      <c r="AL28" s="222" t="e">
        <f t="shared" si="12"/>
        <v>#REF!</v>
      </c>
      <c r="AM28" s="223"/>
      <c r="AN28" s="222" t="e">
        <f t="shared" si="13"/>
        <v>#REF!</v>
      </c>
      <c r="AO28" s="223"/>
      <c r="AP28" s="222" t="e">
        <f t="shared" si="14"/>
        <v>#REF!</v>
      </c>
      <c r="AQ28" s="223"/>
      <c r="AR28" s="222" t="e">
        <f t="shared" si="15"/>
        <v>#REF!</v>
      </c>
      <c r="AS28" s="223"/>
      <c r="AT28" s="222" t="e">
        <f>#REF!</f>
        <v>#REF!</v>
      </c>
      <c r="AU28" s="223">
        <f t="shared" si="16"/>
        <v>1</v>
      </c>
      <c r="AV28" s="2" t="e">
        <f t="shared" si="19"/>
        <v>#REF!</v>
      </c>
    </row>
    <row r="29" spans="1:48" ht="76.5" customHeight="1">
      <c r="A29" s="235" t="s">
        <v>748</v>
      </c>
      <c r="B29" s="852" t="s">
        <v>145</v>
      </c>
      <c r="C29" s="853"/>
      <c r="D29" s="853"/>
      <c r="E29" s="853"/>
      <c r="F29" s="853"/>
      <c r="G29" s="853"/>
      <c r="H29" s="853"/>
      <c r="I29" s="853"/>
      <c r="J29" s="222" t="e">
        <f t="shared" si="0"/>
        <v>#REF!</v>
      </c>
      <c r="K29" s="223"/>
      <c r="L29" s="222" t="e">
        <f t="shared" si="23"/>
        <v>#REF!</v>
      </c>
      <c r="M29" s="223"/>
      <c r="N29" s="222" t="e">
        <f t="shared" si="24"/>
        <v>#REF!</v>
      </c>
      <c r="O29" s="223"/>
      <c r="P29" s="222" t="e">
        <f t="shared" si="3"/>
        <v>#REF!</v>
      </c>
      <c r="Q29" s="223"/>
      <c r="R29" s="222" t="e">
        <f t="shared" si="4"/>
        <v>#REF!</v>
      </c>
      <c r="S29" s="223"/>
      <c r="T29" s="222" t="e">
        <f t="shared" si="21"/>
        <v>#REF!</v>
      </c>
      <c r="U29" s="223"/>
      <c r="V29" s="222" t="e">
        <f t="shared" si="22"/>
        <v>#REF!</v>
      </c>
      <c r="W29" s="223">
        <v>1</v>
      </c>
      <c r="X29" s="222" t="e">
        <f t="shared" si="6"/>
        <v>#REF!</v>
      </c>
      <c r="Y29" s="223"/>
      <c r="Z29" s="222" t="e">
        <f t="shared" si="7"/>
        <v>#REF!</v>
      </c>
      <c r="AA29" s="223"/>
      <c r="AB29" s="222" t="e">
        <f t="shared" si="18"/>
        <v>#REF!</v>
      </c>
      <c r="AC29" s="223"/>
      <c r="AD29" s="222" t="e">
        <f t="shared" si="8"/>
        <v>#REF!</v>
      </c>
      <c r="AE29" s="223"/>
      <c r="AF29" s="222" t="e">
        <f t="shared" si="9"/>
        <v>#REF!</v>
      </c>
      <c r="AG29" s="223"/>
      <c r="AH29" s="222" t="e">
        <f t="shared" si="10"/>
        <v>#REF!</v>
      </c>
      <c r="AI29" s="223"/>
      <c r="AJ29" s="222" t="e">
        <f t="shared" si="11"/>
        <v>#REF!</v>
      </c>
      <c r="AK29" s="223"/>
      <c r="AL29" s="222" t="e">
        <f t="shared" si="12"/>
        <v>#REF!</v>
      </c>
      <c r="AM29" s="223"/>
      <c r="AN29" s="222" t="e">
        <f t="shared" si="13"/>
        <v>#REF!</v>
      </c>
      <c r="AO29" s="223"/>
      <c r="AP29" s="222" t="e">
        <f t="shared" si="14"/>
        <v>#REF!</v>
      </c>
      <c r="AQ29" s="223"/>
      <c r="AR29" s="222" t="e">
        <f t="shared" si="15"/>
        <v>#REF!</v>
      </c>
      <c r="AS29" s="223"/>
      <c r="AT29" s="222" t="e">
        <f>#REF!</f>
        <v>#REF!</v>
      </c>
      <c r="AU29" s="223">
        <f t="shared" si="16"/>
        <v>1</v>
      </c>
      <c r="AV29" s="2" t="e">
        <f t="shared" si="19"/>
        <v>#REF!</v>
      </c>
    </row>
    <row r="30" spans="1:48" ht="76.5" customHeight="1">
      <c r="A30" s="234" t="s">
        <v>749</v>
      </c>
      <c r="B30" s="852" t="s">
        <v>145</v>
      </c>
      <c r="C30" s="853"/>
      <c r="D30" s="853"/>
      <c r="E30" s="853"/>
      <c r="F30" s="853"/>
      <c r="G30" s="853"/>
      <c r="H30" s="853"/>
      <c r="I30" s="853"/>
      <c r="J30" s="222" t="e">
        <f t="shared" si="0"/>
        <v>#REF!</v>
      </c>
      <c r="K30" s="223"/>
      <c r="L30" s="222" t="e">
        <f t="shared" si="23"/>
        <v>#REF!</v>
      </c>
      <c r="M30" s="223"/>
      <c r="N30" s="222" t="e">
        <f t="shared" si="24"/>
        <v>#REF!</v>
      </c>
      <c r="O30" s="223"/>
      <c r="P30" s="222" t="e">
        <f t="shared" si="3"/>
        <v>#REF!</v>
      </c>
      <c r="Q30" s="223"/>
      <c r="R30" s="222" t="e">
        <f t="shared" si="4"/>
        <v>#REF!</v>
      </c>
      <c r="S30" s="223"/>
      <c r="T30" s="222" t="e">
        <f t="shared" si="21"/>
        <v>#REF!</v>
      </c>
      <c r="U30" s="223"/>
      <c r="V30" s="222" t="e">
        <f t="shared" si="22"/>
        <v>#REF!</v>
      </c>
      <c r="W30" s="223">
        <v>0.5</v>
      </c>
      <c r="X30" s="222" t="e">
        <f>ROUND(Y30*$AT30,2)-0.01</f>
        <v>#REF!</v>
      </c>
      <c r="Y30" s="223">
        <v>0.5</v>
      </c>
      <c r="Z30" s="222" t="e">
        <f t="shared" si="7"/>
        <v>#REF!</v>
      </c>
      <c r="AA30" s="223"/>
      <c r="AB30" s="222" t="e">
        <f t="shared" si="18"/>
        <v>#REF!</v>
      </c>
      <c r="AC30" s="223"/>
      <c r="AD30" s="222" t="e">
        <f t="shared" si="8"/>
        <v>#REF!</v>
      </c>
      <c r="AE30" s="223"/>
      <c r="AF30" s="222" t="e">
        <f t="shared" si="9"/>
        <v>#REF!</v>
      </c>
      <c r="AG30" s="223"/>
      <c r="AH30" s="222" t="e">
        <f t="shared" si="10"/>
        <v>#REF!</v>
      </c>
      <c r="AI30" s="223"/>
      <c r="AJ30" s="222" t="e">
        <f t="shared" si="11"/>
        <v>#REF!</v>
      </c>
      <c r="AK30" s="223"/>
      <c r="AL30" s="222" t="e">
        <f t="shared" si="12"/>
        <v>#REF!</v>
      </c>
      <c r="AM30" s="223"/>
      <c r="AN30" s="222" t="e">
        <f t="shared" si="13"/>
        <v>#REF!</v>
      </c>
      <c r="AO30" s="223"/>
      <c r="AP30" s="222" t="e">
        <f t="shared" si="14"/>
        <v>#REF!</v>
      </c>
      <c r="AQ30" s="223"/>
      <c r="AR30" s="222" t="e">
        <f t="shared" si="15"/>
        <v>#REF!</v>
      </c>
      <c r="AS30" s="223"/>
      <c r="AT30" s="222" t="e">
        <f>#REF!</f>
        <v>#REF!</v>
      </c>
      <c r="AU30" s="223">
        <f t="shared" si="16"/>
        <v>1</v>
      </c>
      <c r="AV30" s="2" t="e">
        <f t="shared" si="19"/>
        <v>#REF!</v>
      </c>
    </row>
    <row r="31" spans="1:48" ht="76.5" customHeight="1">
      <c r="A31" s="234" t="s">
        <v>750</v>
      </c>
      <c r="B31" s="852" t="s">
        <v>145</v>
      </c>
      <c r="C31" s="853"/>
      <c r="D31" s="853"/>
      <c r="E31" s="853"/>
      <c r="F31" s="853"/>
      <c r="G31" s="853"/>
      <c r="H31" s="853"/>
      <c r="I31" s="853"/>
      <c r="J31" s="222" t="e">
        <f t="shared" si="0"/>
        <v>#REF!</v>
      </c>
      <c r="K31" s="223"/>
      <c r="L31" s="222" t="e">
        <f t="shared" si="23"/>
        <v>#REF!</v>
      </c>
      <c r="M31" s="223"/>
      <c r="N31" s="222" t="e">
        <f t="shared" si="24"/>
        <v>#REF!</v>
      </c>
      <c r="O31" s="223"/>
      <c r="P31" s="222" t="e">
        <f t="shared" si="3"/>
        <v>#REF!</v>
      </c>
      <c r="Q31" s="223"/>
      <c r="R31" s="222" t="e">
        <f t="shared" si="4"/>
        <v>#REF!</v>
      </c>
      <c r="S31" s="223"/>
      <c r="T31" s="222" t="e">
        <f t="shared" si="21"/>
        <v>#REF!</v>
      </c>
      <c r="U31" s="223"/>
      <c r="V31" s="222" t="e">
        <f t="shared" si="22"/>
        <v>#REF!</v>
      </c>
      <c r="W31" s="223"/>
      <c r="X31" s="222" t="e">
        <f t="shared" ref="X31:X51" si="25">ROUND(Y31*$AT31,2)</f>
        <v>#REF!</v>
      </c>
      <c r="Y31" s="223">
        <v>0.33</v>
      </c>
      <c r="Z31" s="222" t="e">
        <f t="shared" si="7"/>
        <v>#REF!</v>
      </c>
      <c r="AA31" s="223">
        <v>0.33</v>
      </c>
      <c r="AB31" s="222" t="e">
        <f>ROUND(AC31*$AT31,2)+0.01</f>
        <v>#REF!</v>
      </c>
      <c r="AC31" s="223">
        <v>0.34</v>
      </c>
      <c r="AD31" s="222" t="e">
        <f t="shared" si="8"/>
        <v>#REF!</v>
      </c>
      <c r="AE31" s="223"/>
      <c r="AF31" s="222" t="e">
        <f t="shared" si="9"/>
        <v>#REF!</v>
      </c>
      <c r="AG31" s="223"/>
      <c r="AH31" s="222" t="e">
        <f t="shared" si="10"/>
        <v>#REF!</v>
      </c>
      <c r="AI31" s="223"/>
      <c r="AJ31" s="222" t="e">
        <f t="shared" si="11"/>
        <v>#REF!</v>
      </c>
      <c r="AK31" s="223"/>
      <c r="AL31" s="222" t="e">
        <f t="shared" si="12"/>
        <v>#REF!</v>
      </c>
      <c r="AM31" s="223"/>
      <c r="AN31" s="222" t="e">
        <f t="shared" si="13"/>
        <v>#REF!</v>
      </c>
      <c r="AO31" s="223"/>
      <c r="AP31" s="222" t="e">
        <f t="shared" si="14"/>
        <v>#REF!</v>
      </c>
      <c r="AQ31" s="223"/>
      <c r="AR31" s="222" t="e">
        <f t="shared" si="15"/>
        <v>#REF!</v>
      </c>
      <c r="AS31" s="223"/>
      <c r="AT31" s="222" t="e">
        <f>#REF!</f>
        <v>#REF!</v>
      </c>
      <c r="AU31" s="223">
        <f t="shared" si="16"/>
        <v>1</v>
      </c>
      <c r="AV31" s="2" t="e">
        <f t="shared" si="19"/>
        <v>#REF!</v>
      </c>
    </row>
    <row r="32" spans="1:48" ht="76.5" customHeight="1">
      <c r="A32" s="234" t="s">
        <v>751</v>
      </c>
      <c r="B32" s="852" t="s">
        <v>145</v>
      </c>
      <c r="C32" s="853"/>
      <c r="D32" s="853"/>
      <c r="E32" s="853"/>
      <c r="F32" s="853"/>
      <c r="G32" s="853"/>
      <c r="H32" s="853"/>
      <c r="I32" s="853"/>
      <c r="J32" s="222" t="e">
        <f t="shared" si="0"/>
        <v>#REF!</v>
      </c>
      <c r="K32" s="223"/>
      <c r="L32" s="222" t="e">
        <f t="shared" si="23"/>
        <v>#REF!</v>
      </c>
      <c r="M32" s="223"/>
      <c r="N32" s="222" t="e">
        <f t="shared" si="24"/>
        <v>#REF!</v>
      </c>
      <c r="O32" s="223"/>
      <c r="P32" s="222" t="e">
        <f t="shared" si="3"/>
        <v>#REF!</v>
      </c>
      <c r="Q32" s="223"/>
      <c r="R32" s="222" t="e">
        <f t="shared" si="4"/>
        <v>#REF!</v>
      </c>
      <c r="S32" s="223"/>
      <c r="T32" s="222" t="e">
        <f t="shared" si="21"/>
        <v>#REF!</v>
      </c>
      <c r="U32" s="223"/>
      <c r="V32" s="222" t="e">
        <f t="shared" si="22"/>
        <v>#REF!</v>
      </c>
      <c r="W32" s="223"/>
      <c r="X32" s="222" t="e">
        <f t="shared" si="25"/>
        <v>#REF!</v>
      </c>
      <c r="Y32" s="223"/>
      <c r="Z32" s="222" t="e">
        <f t="shared" si="7"/>
        <v>#REF!</v>
      </c>
      <c r="AA32" s="223"/>
      <c r="AB32" s="222" t="e">
        <f t="shared" ref="AB32:AB51" si="26">ROUND(AC32*$AT32,2)</f>
        <v>#REF!</v>
      </c>
      <c r="AC32" s="223">
        <v>0.5</v>
      </c>
      <c r="AD32" s="222" t="e">
        <f t="shared" si="8"/>
        <v>#REF!</v>
      </c>
      <c r="AE32" s="223">
        <v>0.5</v>
      </c>
      <c r="AF32" s="222" t="e">
        <f t="shared" si="9"/>
        <v>#REF!</v>
      </c>
      <c r="AG32" s="223"/>
      <c r="AH32" s="222" t="e">
        <f t="shared" si="10"/>
        <v>#REF!</v>
      </c>
      <c r="AI32" s="223"/>
      <c r="AJ32" s="222" t="e">
        <f t="shared" si="11"/>
        <v>#REF!</v>
      </c>
      <c r="AK32" s="223"/>
      <c r="AL32" s="222" t="e">
        <f t="shared" si="12"/>
        <v>#REF!</v>
      </c>
      <c r="AM32" s="223"/>
      <c r="AN32" s="222" t="e">
        <f t="shared" si="13"/>
        <v>#REF!</v>
      </c>
      <c r="AO32" s="223"/>
      <c r="AP32" s="222" t="e">
        <f t="shared" si="14"/>
        <v>#REF!</v>
      </c>
      <c r="AQ32" s="223"/>
      <c r="AR32" s="222" t="e">
        <f t="shared" si="15"/>
        <v>#REF!</v>
      </c>
      <c r="AS32" s="223"/>
      <c r="AT32" s="222" t="e">
        <f>#REF!</f>
        <v>#REF!</v>
      </c>
      <c r="AU32" s="223">
        <f t="shared" si="16"/>
        <v>1</v>
      </c>
      <c r="AV32" s="2" t="e">
        <f t="shared" si="19"/>
        <v>#REF!</v>
      </c>
    </row>
    <row r="33" spans="1:48" ht="76.5" customHeight="1">
      <c r="A33" s="234" t="s">
        <v>752</v>
      </c>
      <c r="B33" s="852" t="s">
        <v>145</v>
      </c>
      <c r="C33" s="853"/>
      <c r="D33" s="853"/>
      <c r="E33" s="853"/>
      <c r="F33" s="853"/>
      <c r="G33" s="853"/>
      <c r="H33" s="853"/>
      <c r="I33" s="853"/>
      <c r="J33" s="222" t="e">
        <f t="shared" si="0"/>
        <v>#REF!</v>
      </c>
      <c r="K33" s="223"/>
      <c r="L33" s="222" t="e">
        <f t="shared" si="23"/>
        <v>#REF!</v>
      </c>
      <c r="M33" s="223"/>
      <c r="N33" s="222" t="e">
        <f t="shared" si="24"/>
        <v>#REF!</v>
      </c>
      <c r="O33" s="223"/>
      <c r="P33" s="222" t="e">
        <f t="shared" si="3"/>
        <v>#REF!</v>
      </c>
      <c r="Q33" s="223"/>
      <c r="R33" s="222" t="e">
        <f t="shared" si="4"/>
        <v>#REF!</v>
      </c>
      <c r="S33" s="223"/>
      <c r="T33" s="222" t="e">
        <f t="shared" si="21"/>
        <v>#REF!</v>
      </c>
      <c r="U33" s="223"/>
      <c r="V33" s="222" t="e">
        <f t="shared" si="22"/>
        <v>#REF!</v>
      </c>
      <c r="W33" s="223"/>
      <c r="X33" s="222" t="e">
        <f t="shared" si="25"/>
        <v>#REF!</v>
      </c>
      <c r="Y33" s="223"/>
      <c r="Z33" s="222" t="e">
        <f t="shared" si="7"/>
        <v>#REF!</v>
      </c>
      <c r="AA33" s="223"/>
      <c r="AB33" s="222" t="e">
        <f t="shared" si="26"/>
        <v>#REF!</v>
      </c>
      <c r="AC33" s="223"/>
      <c r="AD33" s="222" t="e">
        <f t="shared" si="8"/>
        <v>#REF!</v>
      </c>
      <c r="AE33" s="223"/>
      <c r="AF33" s="222" t="e">
        <f t="shared" si="9"/>
        <v>#REF!</v>
      </c>
      <c r="AG33" s="223">
        <v>1</v>
      </c>
      <c r="AH33" s="222" t="e">
        <f t="shared" si="10"/>
        <v>#REF!</v>
      </c>
      <c r="AI33" s="223"/>
      <c r="AJ33" s="222" t="e">
        <f t="shared" si="11"/>
        <v>#REF!</v>
      </c>
      <c r="AK33" s="223"/>
      <c r="AL33" s="222" t="e">
        <f t="shared" si="12"/>
        <v>#REF!</v>
      </c>
      <c r="AM33" s="223"/>
      <c r="AN33" s="222" t="e">
        <f t="shared" si="13"/>
        <v>#REF!</v>
      </c>
      <c r="AO33" s="223"/>
      <c r="AP33" s="222" t="e">
        <f t="shared" si="14"/>
        <v>#REF!</v>
      </c>
      <c r="AQ33" s="223"/>
      <c r="AR33" s="222" t="e">
        <f t="shared" si="15"/>
        <v>#REF!</v>
      </c>
      <c r="AS33" s="223"/>
      <c r="AT33" s="222" t="e">
        <f>#REF!-0.01</f>
        <v>#REF!</v>
      </c>
      <c r="AU33" s="223">
        <f t="shared" si="16"/>
        <v>1</v>
      </c>
      <c r="AV33" s="2" t="e">
        <f t="shared" si="19"/>
        <v>#REF!</v>
      </c>
    </row>
    <row r="34" spans="1:48" ht="76.5" customHeight="1">
      <c r="A34" s="235" t="s">
        <v>753</v>
      </c>
      <c r="B34" s="852" t="s">
        <v>145</v>
      </c>
      <c r="C34" s="853"/>
      <c r="D34" s="853"/>
      <c r="E34" s="853"/>
      <c r="F34" s="853"/>
      <c r="G34" s="853"/>
      <c r="H34" s="853"/>
      <c r="I34" s="853"/>
      <c r="J34" s="222" t="e">
        <f t="shared" si="0"/>
        <v>#REF!</v>
      </c>
      <c r="K34" s="223"/>
      <c r="L34" s="222" t="e">
        <f t="shared" si="23"/>
        <v>#REF!</v>
      </c>
      <c r="M34" s="223"/>
      <c r="N34" s="222" t="e">
        <f t="shared" si="24"/>
        <v>#REF!</v>
      </c>
      <c r="O34" s="223"/>
      <c r="P34" s="222" t="e">
        <f t="shared" si="3"/>
        <v>#REF!</v>
      </c>
      <c r="Q34" s="223"/>
      <c r="R34" s="222" t="e">
        <f t="shared" si="4"/>
        <v>#REF!</v>
      </c>
      <c r="S34" s="223"/>
      <c r="T34" s="222" t="e">
        <f t="shared" si="21"/>
        <v>#REF!</v>
      </c>
      <c r="U34" s="223"/>
      <c r="V34" s="222" t="e">
        <f t="shared" si="22"/>
        <v>#REF!</v>
      </c>
      <c r="W34" s="223"/>
      <c r="X34" s="222" t="e">
        <f t="shared" si="25"/>
        <v>#REF!</v>
      </c>
      <c r="Y34" s="223"/>
      <c r="Z34" s="222" t="e">
        <f t="shared" si="7"/>
        <v>#REF!</v>
      </c>
      <c r="AA34" s="223"/>
      <c r="AB34" s="222" t="e">
        <f t="shared" si="26"/>
        <v>#REF!</v>
      </c>
      <c r="AC34" s="223">
        <v>1</v>
      </c>
      <c r="AD34" s="222" t="e">
        <f t="shared" si="8"/>
        <v>#REF!</v>
      </c>
      <c r="AE34" s="223"/>
      <c r="AF34" s="222" t="e">
        <f t="shared" si="9"/>
        <v>#REF!</v>
      </c>
      <c r="AG34" s="223"/>
      <c r="AH34" s="222" t="e">
        <f t="shared" si="10"/>
        <v>#REF!</v>
      </c>
      <c r="AI34" s="223"/>
      <c r="AJ34" s="222" t="e">
        <f t="shared" si="11"/>
        <v>#REF!</v>
      </c>
      <c r="AK34" s="223"/>
      <c r="AL34" s="222" t="e">
        <f t="shared" si="12"/>
        <v>#REF!</v>
      </c>
      <c r="AM34" s="223"/>
      <c r="AN34" s="222" t="e">
        <f t="shared" si="13"/>
        <v>#REF!</v>
      </c>
      <c r="AO34" s="223"/>
      <c r="AP34" s="222" t="e">
        <f t="shared" si="14"/>
        <v>#REF!</v>
      </c>
      <c r="AQ34" s="223"/>
      <c r="AR34" s="222" t="e">
        <f t="shared" si="15"/>
        <v>#REF!</v>
      </c>
      <c r="AS34" s="223"/>
      <c r="AT34" s="222" t="e">
        <f>#REF!</f>
        <v>#REF!</v>
      </c>
      <c r="AU34" s="223">
        <f t="shared" si="16"/>
        <v>1</v>
      </c>
      <c r="AV34" s="2" t="e">
        <f t="shared" si="19"/>
        <v>#REF!</v>
      </c>
    </row>
    <row r="35" spans="1:48" ht="76.5" customHeight="1">
      <c r="A35" s="234" t="s">
        <v>754</v>
      </c>
      <c r="B35" s="852" t="s">
        <v>145</v>
      </c>
      <c r="C35" s="853"/>
      <c r="D35" s="853"/>
      <c r="E35" s="853"/>
      <c r="F35" s="853"/>
      <c r="G35" s="853"/>
      <c r="H35" s="853"/>
      <c r="I35" s="853"/>
      <c r="J35" s="222" t="e">
        <f t="shared" si="0"/>
        <v>#REF!</v>
      </c>
      <c r="K35" s="223"/>
      <c r="L35" s="222" t="e">
        <f t="shared" si="23"/>
        <v>#REF!</v>
      </c>
      <c r="M35" s="223"/>
      <c r="N35" s="222" t="e">
        <f t="shared" si="24"/>
        <v>#REF!</v>
      </c>
      <c r="O35" s="223"/>
      <c r="P35" s="222" t="e">
        <f t="shared" si="3"/>
        <v>#REF!</v>
      </c>
      <c r="Q35" s="223"/>
      <c r="R35" s="222" t="e">
        <f t="shared" si="4"/>
        <v>#REF!</v>
      </c>
      <c r="S35" s="223"/>
      <c r="T35" s="222" t="e">
        <f t="shared" si="21"/>
        <v>#REF!</v>
      </c>
      <c r="U35" s="223"/>
      <c r="V35" s="222" t="e">
        <f t="shared" si="22"/>
        <v>#REF!</v>
      </c>
      <c r="W35" s="223"/>
      <c r="X35" s="222" t="e">
        <f t="shared" si="25"/>
        <v>#REF!</v>
      </c>
      <c r="Y35" s="223"/>
      <c r="Z35" s="222" t="e">
        <f t="shared" si="7"/>
        <v>#REF!</v>
      </c>
      <c r="AA35" s="223"/>
      <c r="AB35" s="222" t="e">
        <f t="shared" si="26"/>
        <v>#REF!</v>
      </c>
      <c r="AC35" s="223">
        <v>0.33</v>
      </c>
      <c r="AD35" s="222" t="e">
        <f t="shared" si="8"/>
        <v>#REF!</v>
      </c>
      <c r="AE35" s="223">
        <v>0.33</v>
      </c>
      <c r="AF35" s="222" t="e">
        <f>ROUND(AG35*$AT35,2)+0.01</f>
        <v>#REF!</v>
      </c>
      <c r="AG35" s="223">
        <v>0.34</v>
      </c>
      <c r="AH35" s="222" t="e">
        <f t="shared" si="10"/>
        <v>#REF!</v>
      </c>
      <c r="AI35" s="223"/>
      <c r="AJ35" s="222" t="e">
        <f t="shared" si="11"/>
        <v>#REF!</v>
      </c>
      <c r="AK35" s="223"/>
      <c r="AL35" s="222" t="e">
        <f t="shared" si="12"/>
        <v>#REF!</v>
      </c>
      <c r="AM35" s="223"/>
      <c r="AN35" s="222" t="e">
        <f t="shared" si="13"/>
        <v>#REF!</v>
      </c>
      <c r="AO35" s="223"/>
      <c r="AP35" s="222" t="e">
        <f t="shared" si="14"/>
        <v>#REF!</v>
      </c>
      <c r="AQ35" s="223"/>
      <c r="AR35" s="222" t="e">
        <f t="shared" si="15"/>
        <v>#REF!</v>
      </c>
      <c r="AS35" s="223"/>
      <c r="AT35" s="222" t="e">
        <f>#REF!</f>
        <v>#REF!</v>
      </c>
      <c r="AU35" s="223">
        <f t="shared" si="16"/>
        <v>1</v>
      </c>
      <c r="AV35" s="2" t="e">
        <f t="shared" si="19"/>
        <v>#REF!</v>
      </c>
    </row>
    <row r="36" spans="1:48" ht="76.5" customHeight="1">
      <c r="A36" s="234" t="s">
        <v>755</v>
      </c>
      <c r="B36" s="852" t="s">
        <v>145</v>
      </c>
      <c r="C36" s="853"/>
      <c r="D36" s="853"/>
      <c r="E36" s="853"/>
      <c r="F36" s="853"/>
      <c r="G36" s="853"/>
      <c r="H36" s="853"/>
      <c r="I36" s="853"/>
      <c r="J36" s="222" t="e">
        <f t="shared" si="0"/>
        <v>#REF!</v>
      </c>
      <c r="K36" s="223"/>
      <c r="L36" s="222" t="e">
        <f t="shared" si="23"/>
        <v>#REF!</v>
      </c>
      <c r="M36" s="223"/>
      <c r="N36" s="222" t="e">
        <f t="shared" si="24"/>
        <v>#REF!</v>
      </c>
      <c r="O36" s="223"/>
      <c r="P36" s="222" t="e">
        <f t="shared" si="3"/>
        <v>#REF!</v>
      </c>
      <c r="Q36" s="223"/>
      <c r="R36" s="222" t="e">
        <f t="shared" si="4"/>
        <v>#REF!</v>
      </c>
      <c r="S36" s="223"/>
      <c r="T36" s="222" t="e">
        <f t="shared" si="21"/>
        <v>#REF!</v>
      </c>
      <c r="U36" s="223"/>
      <c r="V36" s="222" t="e">
        <f t="shared" si="22"/>
        <v>#REF!</v>
      </c>
      <c r="W36" s="223"/>
      <c r="X36" s="222" t="e">
        <f t="shared" si="25"/>
        <v>#REF!</v>
      </c>
      <c r="Y36" s="223"/>
      <c r="Z36" s="222" t="e">
        <f t="shared" si="7"/>
        <v>#REF!</v>
      </c>
      <c r="AA36" s="223"/>
      <c r="AB36" s="222" t="e">
        <f t="shared" si="26"/>
        <v>#REF!</v>
      </c>
      <c r="AC36" s="223"/>
      <c r="AD36" s="222" t="e">
        <f t="shared" si="8"/>
        <v>#REF!</v>
      </c>
      <c r="AE36" s="223"/>
      <c r="AF36" s="222" t="e">
        <f t="shared" ref="AF36:AF51" si="27">ROUND(AG36*$AT36,2)</f>
        <v>#REF!</v>
      </c>
      <c r="AG36" s="223">
        <v>1</v>
      </c>
      <c r="AH36" s="222" t="e">
        <f t="shared" si="10"/>
        <v>#REF!</v>
      </c>
      <c r="AI36" s="223"/>
      <c r="AJ36" s="222" t="e">
        <f t="shared" si="11"/>
        <v>#REF!</v>
      </c>
      <c r="AK36" s="223"/>
      <c r="AL36" s="222" t="e">
        <f t="shared" si="12"/>
        <v>#REF!</v>
      </c>
      <c r="AM36" s="223"/>
      <c r="AN36" s="222" t="e">
        <f t="shared" si="13"/>
        <v>#REF!</v>
      </c>
      <c r="AO36" s="223"/>
      <c r="AP36" s="222" t="e">
        <f t="shared" si="14"/>
        <v>#REF!</v>
      </c>
      <c r="AQ36" s="223"/>
      <c r="AR36" s="222" t="e">
        <f t="shared" si="15"/>
        <v>#REF!</v>
      </c>
      <c r="AS36" s="223"/>
      <c r="AT36" s="222" t="e">
        <f>#REF!</f>
        <v>#REF!</v>
      </c>
      <c r="AU36" s="223">
        <f t="shared" si="16"/>
        <v>1</v>
      </c>
      <c r="AV36" s="2" t="e">
        <f t="shared" si="19"/>
        <v>#REF!</v>
      </c>
    </row>
    <row r="37" spans="1:48" ht="76.5" customHeight="1">
      <c r="A37" s="235" t="s">
        <v>756</v>
      </c>
      <c r="B37" s="852" t="s">
        <v>145</v>
      </c>
      <c r="C37" s="853"/>
      <c r="D37" s="853"/>
      <c r="E37" s="853"/>
      <c r="F37" s="853"/>
      <c r="G37" s="853"/>
      <c r="H37" s="853"/>
      <c r="I37" s="853"/>
      <c r="J37" s="222" t="e">
        <f t="shared" si="0"/>
        <v>#REF!</v>
      </c>
      <c r="K37" s="223"/>
      <c r="L37" s="222" t="e">
        <f t="shared" si="23"/>
        <v>#REF!</v>
      </c>
      <c r="M37" s="223"/>
      <c r="N37" s="222" t="e">
        <f t="shared" si="24"/>
        <v>#REF!</v>
      </c>
      <c r="O37" s="223"/>
      <c r="P37" s="222" t="e">
        <f t="shared" si="3"/>
        <v>#REF!</v>
      </c>
      <c r="Q37" s="223"/>
      <c r="R37" s="222" t="e">
        <f t="shared" si="4"/>
        <v>#REF!</v>
      </c>
      <c r="S37" s="223"/>
      <c r="T37" s="222" t="e">
        <f t="shared" si="21"/>
        <v>#REF!</v>
      </c>
      <c r="U37" s="223"/>
      <c r="V37" s="222" t="e">
        <f t="shared" si="22"/>
        <v>#REF!</v>
      </c>
      <c r="W37" s="223"/>
      <c r="X37" s="222" t="e">
        <f t="shared" si="25"/>
        <v>#REF!</v>
      </c>
      <c r="Y37" s="223"/>
      <c r="Z37" s="222" t="e">
        <f t="shared" si="7"/>
        <v>#REF!</v>
      </c>
      <c r="AA37" s="223"/>
      <c r="AB37" s="222" t="e">
        <f t="shared" si="26"/>
        <v>#REF!</v>
      </c>
      <c r="AC37" s="223"/>
      <c r="AD37" s="222" t="e">
        <f t="shared" si="8"/>
        <v>#REF!</v>
      </c>
      <c r="AE37" s="223"/>
      <c r="AF37" s="222" t="e">
        <f t="shared" si="27"/>
        <v>#REF!</v>
      </c>
      <c r="AG37" s="223">
        <v>0.5</v>
      </c>
      <c r="AH37" s="222" t="e">
        <f t="shared" si="10"/>
        <v>#REF!</v>
      </c>
      <c r="AI37" s="223">
        <v>0.5</v>
      </c>
      <c r="AJ37" s="222" t="e">
        <f t="shared" si="11"/>
        <v>#REF!</v>
      </c>
      <c r="AK37" s="223"/>
      <c r="AL37" s="222" t="e">
        <f t="shared" si="12"/>
        <v>#REF!</v>
      </c>
      <c r="AM37" s="223"/>
      <c r="AN37" s="222" t="e">
        <f t="shared" si="13"/>
        <v>#REF!</v>
      </c>
      <c r="AO37" s="223"/>
      <c r="AP37" s="222" t="e">
        <f t="shared" si="14"/>
        <v>#REF!</v>
      </c>
      <c r="AQ37" s="223"/>
      <c r="AR37" s="222" t="e">
        <f t="shared" si="15"/>
        <v>#REF!</v>
      </c>
      <c r="AS37" s="223"/>
      <c r="AT37" s="222" t="e">
        <f>#REF!</f>
        <v>#REF!</v>
      </c>
      <c r="AU37" s="223">
        <f t="shared" si="16"/>
        <v>1</v>
      </c>
      <c r="AV37" s="2" t="e">
        <f t="shared" si="19"/>
        <v>#REF!</v>
      </c>
    </row>
    <row r="38" spans="1:48" ht="76.5" customHeight="1">
      <c r="A38" s="234" t="s">
        <v>757</v>
      </c>
      <c r="B38" s="852" t="s">
        <v>145</v>
      </c>
      <c r="C38" s="853"/>
      <c r="D38" s="853"/>
      <c r="E38" s="853"/>
      <c r="F38" s="853"/>
      <c r="G38" s="853"/>
      <c r="H38" s="853"/>
      <c r="I38" s="853"/>
      <c r="J38" s="222" t="e">
        <f t="shared" si="0"/>
        <v>#REF!</v>
      </c>
      <c r="K38" s="223"/>
      <c r="L38" s="222" t="e">
        <f t="shared" si="23"/>
        <v>#REF!</v>
      </c>
      <c r="M38" s="223"/>
      <c r="N38" s="222" t="e">
        <f t="shared" si="24"/>
        <v>#REF!</v>
      </c>
      <c r="O38" s="223"/>
      <c r="P38" s="222" t="e">
        <f t="shared" si="3"/>
        <v>#REF!</v>
      </c>
      <c r="Q38" s="223"/>
      <c r="R38" s="222" t="e">
        <f t="shared" si="4"/>
        <v>#REF!</v>
      </c>
      <c r="S38" s="223"/>
      <c r="T38" s="222" t="e">
        <f t="shared" si="21"/>
        <v>#REF!</v>
      </c>
      <c r="U38" s="223"/>
      <c r="V38" s="222" t="e">
        <f t="shared" si="22"/>
        <v>#REF!</v>
      </c>
      <c r="W38" s="223"/>
      <c r="X38" s="222" t="e">
        <f t="shared" si="25"/>
        <v>#REF!</v>
      </c>
      <c r="Y38" s="223"/>
      <c r="Z38" s="222" t="e">
        <f t="shared" si="7"/>
        <v>#REF!</v>
      </c>
      <c r="AA38" s="223"/>
      <c r="AB38" s="222" t="e">
        <f t="shared" si="26"/>
        <v>#REF!</v>
      </c>
      <c r="AC38" s="223"/>
      <c r="AD38" s="222" t="e">
        <f t="shared" si="8"/>
        <v>#REF!</v>
      </c>
      <c r="AE38" s="223"/>
      <c r="AF38" s="222" t="e">
        <f t="shared" si="27"/>
        <v>#REF!</v>
      </c>
      <c r="AG38" s="223">
        <v>0.5</v>
      </c>
      <c r="AH38" s="222" t="e">
        <f t="shared" si="10"/>
        <v>#REF!</v>
      </c>
      <c r="AI38" s="223">
        <v>0.5</v>
      </c>
      <c r="AJ38" s="222" t="e">
        <f t="shared" si="11"/>
        <v>#REF!</v>
      </c>
      <c r="AK38" s="223"/>
      <c r="AL38" s="222" t="e">
        <f t="shared" si="12"/>
        <v>#REF!</v>
      </c>
      <c r="AM38" s="223"/>
      <c r="AN38" s="222" t="e">
        <f t="shared" si="13"/>
        <v>#REF!</v>
      </c>
      <c r="AO38" s="223"/>
      <c r="AP38" s="222" t="e">
        <f t="shared" si="14"/>
        <v>#REF!</v>
      </c>
      <c r="AQ38" s="223"/>
      <c r="AR38" s="222" t="e">
        <f t="shared" si="15"/>
        <v>#REF!</v>
      </c>
      <c r="AS38" s="223"/>
      <c r="AT38" s="222" t="e">
        <f>#REF!</f>
        <v>#REF!</v>
      </c>
      <c r="AU38" s="223">
        <f t="shared" si="16"/>
        <v>1</v>
      </c>
      <c r="AV38" s="2" t="e">
        <f t="shared" si="19"/>
        <v>#REF!</v>
      </c>
    </row>
    <row r="39" spans="1:48" ht="76.5" customHeight="1">
      <c r="A39" s="235" t="s">
        <v>806</v>
      </c>
      <c r="B39" s="852" t="s">
        <v>145</v>
      </c>
      <c r="C39" s="853"/>
      <c r="D39" s="853"/>
      <c r="E39" s="853"/>
      <c r="F39" s="853"/>
      <c r="G39" s="853"/>
      <c r="H39" s="853"/>
      <c r="I39" s="853"/>
      <c r="J39" s="222" t="e">
        <f t="shared" si="0"/>
        <v>#REF!</v>
      </c>
      <c r="K39" s="223"/>
      <c r="L39" s="222" t="e">
        <f t="shared" si="23"/>
        <v>#REF!</v>
      </c>
      <c r="M39" s="223"/>
      <c r="N39" s="222" t="e">
        <f t="shared" si="24"/>
        <v>#REF!</v>
      </c>
      <c r="O39" s="223"/>
      <c r="P39" s="222" t="e">
        <f t="shared" si="3"/>
        <v>#REF!</v>
      </c>
      <c r="Q39" s="223"/>
      <c r="R39" s="222" t="e">
        <f t="shared" si="4"/>
        <v>#REF!</v>
      </c>
      <c r="S39" s="223"/>
      <c r="T39" s="222" t="e">
        <f t="shared" si="21"/>
        <v>#REF!</v>
      </c>
      <c r="U39" s="223"/>
      <c r="V39" s="222" t="e">
        <f t="shared" si="22"/>
        <v>#REF!</v>
      </c>
      <c r="W39" s="223"/>
      <c r="X39" s="222" t="e">
        <f t="shared" si="25"/>
        <v>#REF!</v>
      </c>
      <c r="Y39" s="223"/>
      <c r="Z39" s="222" t="e">
        <f t="shared" si="7"/>
        <v>#REF!</v>
      </c>
      <c r="AA39" s="223"/>
      <c r="AB39" s="222" t="e">
        <f t="shared" si="26"/>
        <v>#REF!</v>
      </c>
      <c r="AC39" s="223"/>
      <c r="AD39" s="222" t="e">
        <f t="shared" si="8"/>
        <v>#REF!</v>
      </c>
      <c r="AE39" s="223">
        <v>1</v>
      </c>
      <c r="AF39" s="222" t="e">
        <f t="shared" si="27"/>
        <v>#REF!</v>
      </c>
      <c r="AG39" s="223"/>
      <c r="AH39" s="222" t="e">
        <f t="shared" si="10"/>
        <v>#REF!</v>
      </c>
      <c r="AI39" s="223"/>
      <c r="AJ39" s="222" t="e">
        <f t="shared" si="11"/>
        <v>#REF!</v>
      </c>
      <c r="AK39" s="223"/>
      <c r="AL39" s="222" t="e">
        <f t="shared" si="12"/>
        <v>#REF!</v>
      </c>
      <c r="AM39" s="223"/>
      <c r="AN39" s="222" t="e">
        <f t="shared" si="13"/>
        <v>#REF!</v>
      </c>
      <c r="AO39" s="223"/>
      <c r="AP39" s="222" t="e">
        <f t="shared" si="14"/>
        <v>#REF!</v>
      </c>
      <c r="AQ39" s="223"/>
      <c r="AR39" s="222" t="e">
        <f t="shared" si="15"/>
        <v>#REF!</v>
      </c>
      <c r="AS39" s="223"/>
      <c r="AT39" s="222" t="e">
        <f>#REF!</f>
        <v>#REF!</v>
      </c>
      <c r="AU39" s="223">
        <f t="shared" si="16"/>
        <v>1</v>
      </c>
      <c r="AV39" s="2" t="e">
        <f t="shared" si="19"/>
        <v>#REF!</v>
      </c>
    </row>
    <row r="40" spans="1:48" ht="76.5" customHeight="1">
      <c r="A40" s="234" t="s">
        <v>807</v>
      </c>
      <c r="B40" s="852" t="s">
        <v>145</v>
      </c>
      <c r="C40" s="853"/>
      <c r="D40" s="853"/>
      <c r="E40" s="853"/>
      <c r="F40" s="853"/>
      <c r="G40" s="853"/>
      <c r="H40" s="853"/>
      <c r="I40" s="853"/>
      <c r="J40" s="222" t="e">
        <f t="shared" si="0"/>
        <v>#REF!</v>
      </c>
      <c r="K40" s="223"/>
      <c r="L40" s="222" t="e">
        <f t="shared" si="23"/>
        <v>#REF!</v>
      </c>
      <c r="M40" s="223"/>
      <c r="N40" s="222" t="e">
        <f t="shared" si="24"/>
        <v>#REF!</v>
      </c>
      <c r="O40" s="223"/>
      <c r="P40" s="222" t="e">
        <f t="shared" si="3"/>
        <v>#REF!</v>
      </c>
      <c r="Q40" s="223"/>
      <c r="R40" s="222" t="e">
        <f t="shared" si="4"/>
        <v>#REF!</v>
      </c>
      <c r="S40" s="223"/>
      <c r="T40" s="222" t="e">
        <f t="shared" si="21"/>
        <v>#REF!</v>
      </c>
      <c r="U40" s="223"/>
      <c r="V40" s="222" t="e">
        <f t="shared" si="22"/>
        <v>#REF!</v>
      </c>
      <c r="W40" s="223"/>
      <c r="X40" s="222" t="e">
        <f t="shared" si="25"/>
        <v>#REF!</v>
      </c>
      <c r="Y40" s="223"/>
      <c r="Z40" s="222" t="e">
        <f t="shared" si="7"/>
        <v>#REF!</v>
      </c>
      <c r="AA40" s="223"/>
      <c r="AB40" s="222" t="e">
        <f t="shared" si="26"/>
        <v>#REF!</v>
      </c>
      <c r="AC40" s="223"/>
      <c r="AD40" s="222" t="e">
        <f t="shared" si="8"/>
        <v>#REF!</v>
      </c>
      <c r="AE40" s="223">
        <v>0.33</v>
      </c>
      <c r="AF40" s="222" t="e">
        <f t="shared" si="27"/>
        <v>#REF!</v>
      </c>
      <c r="AG40" s="223">
        <v>0.33</v>
      </c>
      <c r="AH40" s="222" t="e">
        <f t="shared" si="10"/>
        <v>#REF!</v>
      </c>
      <c r="AI40" s="223">
        <v>0.34</v>
      </c>
      <c r="AJ40" s="222" t="e">
        <f t="shared" si="11"/>
        <v>#REF!</v>
      </c>
      <c r="AK40" s="223"/>
      <c r="AL40" s="222" t="e">
        <f t="shared" si="12"/>
        <v>#REF!</v>
      </c>
      <c r="AM40" s="223"/>
      <c r="AN40" s="222" t="e">
        <f t="shared" si="13"/>
        <v>#REF!</v>
      </c>
      <c r="AO40" s="223"/>
      <c r="AP40" s="222" t="e">
        <f t="shared" si="14"/>
        <v>#REF!</v>
      </c>
      <c r="AQ40" s="223"/>
      <c r="AR40" s="222" t="e">
        <f t="shared" si="15"/>
        <v>#REF!</v>
      </c>
      <c r="AS40" s="223"/>
      <c r="AT40" s="222" t="e">
        <f>#REF!</f>
        <v>#REF!</v>
      </c>
      <c r="AU40" s="223">
        <f t="shared" si="16"/>
        <v>1</v>
      </c>
      <c r="AV40" s="2" t="e">
        <f t="shared" si="19"/>
        <v>#REF!</v>
      </c>
    </row>
    <row r="41" spans="1:48" ht="76.5" customHeight="1">
      <c r="A41" s="234" t="s">
        <v>808</v>
      </c>
      <c r="B41" s="852" t="s">
        <v>145</v>
      </c>
      <c r="C41" s="853"/>
      <c r="D41" s="853"/>
      <c r="E41" s="853"/>
      <c r="F41" s="853"/>
      <c r="G41" s="853"/>
      <c r="H41" s="853"/>
      <c r="I41" s="853"/>
      <c r="J41" s="222" t="e">
        <f t="shared" si="0"/>
        <v>#REF!</v>
      </c>
      <c r="K41" s="223"/>
      <c r="L41" s="222" t="e">
        <f t="shared" si="23"/>
        <v>#REF!</v>
      </c>
      <c r="M41" s="223"/>
      <c r="N41" s="222" t="e">
        <f t="shared" si="24"/>
        <v>#REF!</v>
      </c>
      <c r="O41" s="223"/>
      <c r="P41" s="222" t="e">
        <f t="shared" si="3"/>
        <v>#REF!</v>
      </c>
      <c r="Q41" s="223"/>
      <c r="R41" s="222" t="e">
        <f t="shared" si="4"/>
        <v>#REF!</v>
      </c>
      <c r="S41" s="223"/>
      <c r="T41" s="222" t="e">
        <f t="shared" si="21"/>
        <v>#REF!</v>
      </c>
      <c r="U41" s="223"/>
      <c r="V41" s="222" t="e">
        <f t="shared" si="22"/>
        <v>#REF!</v>
      </c>
      <c r="W41" s="223"/>
      <c r="X41" s="222" t="e">
        <f t="shared" si="25"/>
        <v>#REF!</v>
      </c>
      <c r="Y41" s="223"/>
      <c r="Z41" s="222" t="e">
        <f t="shared" si="7"/>
        <v>#REF!</v>
      </c>
      <c r="AA41" s="223"/>
      <c r="AB41" s="222" t="e">
        <f t="shared" si="26"/>
        <v>#REF!</v>
      </c>
      <c r="AC41" s="223"/>
      <c r="AD41" s="222" t="e">
        <f t="shared" si="8"/>
        <v>#REF!</v>
      </c>
      <c r="AE41" s="223"/>
      <c r="AF41" s="222" t="e">
        <f t="shared" si="27"/>
        <v>#REF!</v>
      </c>
      <c r="AG41" s="223">
        <v>0.5</v>
      </c>
      <c r="AH41" s="222" t="e">
        <f t="shared" si="10"/>
        <v>#REF!</v>
      </c>
      <c r="AI41" s="223">
        <v>0.5</v>
      </c>
      <c r="AJ41" s="222" t="e">
        <f t="shared" si="11"/>
        <v>#REF!</v>
      </c>
      <c r="AK41" s="223"/>
      <c r="AL41" s="222" t="e">
        <f t="shared" si="12"/>
        <v>#REF!</v>
      </c>
      <c r="AM41" s="223"/>
      <c r="AN41" s="222" t="e">
        <f t="shared" si="13"/>
        <v>#REF!</v>
      </c>
      <c r="AO41" s="223"/>
      <c r="AP41" s="222" t="e">
        <f t="shared" si="14"/>
        <v>#REF!</v>
      </c>
      <c r="AQ41" s="223"/>
      <c r="AR41" s="222" t="e">
        <f t="shared" si="15"/>
        <v>#REF!</v>
      </c>
      <c r="AS41" s="223"/>
      <c r="AT41" s="222" t="e">
        <f>#REF!</f>
        <v>#REF!</v>
      </c>
      <c r="AU41" s="223">
        <f t="shared" si="16"/>
        <v>1</v>
      </c>
      <c r="AV41" s="2" t="e">
        <f t="shared" si="19"/>
        <v>#REF!</v>
      </c>
    </row>
    <row r="42" spans="1:48" ht="76.5" customHeight="1">
      <c r="A42" s="234" t="s">
        <v>905</v>
      </c>
      <c r="B42" s="852" t="s">
        <v>145</v>
      </c>
      <c r="C42" s="853"/>
      <c r="D42" s="853"/>
      <c r="E42" s="853"/>
      <c r="F42" s="853"/>
      <c r="G42" s="853"/>
      <c r="H42" s="853"/>
      <c r="I42" s="853"/>
      <c r="J42" s="222" t="e">
        <f t="shared" si="0"/>
        <v>#REF!</v>
      </c>
      <c r="K42" s="223"/>
      <c r="L42" s="222" t="e">
        <f t="shared" si="23"/>
        <v>#REF!</v>
      </c>
      <c r="M42" s="223"/>
      <c r="N42" s="222" t="e">
        <f t="shared" si="24"/>
        <v>#REF!</v>
      </c>
      <c r="O42" s="223"/>
      <c r="P42" s="222" t="e">
        <f t="shared" si="3"/>
        <v>#REF!</v>
      </c>
      <c r="Q42" s="223"/>
      <c r="R42" s="222" t="e">
        <f t="shared" si="4"/>
        <v>#REF!</v>
      </c>
      <c r="S42" s="223"/>
      <c r="T42" s="222" t="e">
        <f t="shared" si="21"/>
        <v>#REF!</v>
      </c>
      <c r="U42" s="223"/>
      <c r="V42" s="222" t="e">
        <f t="shared" si="22"/>
        <v>#REF!</v>
      </c>
      <c r="W42" s="223"/>
      <c r="X42" s="222" t="e">
        <f t="shared" si="25"/>
        <v>#REF!</v>
      </c>
      <c r="Y42" s="223"/>
      <c r="Z42" s="222" t="e">
        <f t="shared" si="7"/>
        <v>#REF!</v>
      </c>
      <c r="AA42" s="223"/>
      <c r="AB42" s="222" t="e">
        <f t="shared" si="26"/>
        <v>#REF!</v>
      </c>
      <c r="AC42" s="223"/>
      <c r="AD42" s="222" t="e">
        <f t="shared" si="8"/>
        <v>#REF!</v>
      </c>
      <c r="AE42" s="223"/>
      <c r="AF42" s="222" t="e">
        <f t="shared" si="27"/>
        <v>#REF!</v>
      </c>
      <c r="AG42" s="223">
        <v>0.5</v>
      </c>
      <c r="AH42" s="222" t="e">
        <f t="shared" si="10"/>
        <v>#REF!</v>
      </c>
      <c r="AI42" s="223">
        <v>0.5</v>
      </c>
      <c r="AJ42" s="222" t="e">
        <f t="shared" si="11"/>
        <v>#REF!</v>
      </c>
      <c r="AK42" s="223"/>
      <c r="AL42" s="222" t="e">
        <f t="shared" si="12"/>
        <v>#REF!</v>
      </c>
      <c r="AM42" s="223"/>
      <c r="AN42" s="222" t="e">
        <f t="shared" si="13"/>
        <v>#REF!</v>
      </c>
      <c r="AO42" s="223"/>
      <c r="AP42" s="222" t="e">
        <f t="shared" si="14"/>
        <v>#REF!</v>
      </c>
      <c r="AQ42" s="223"/>
      <c r="AR42" s="222" t="e">
        <f t="shared" si="15"/>
        <v>#REF!</v>
      </c>
      <c r="AS42" s="223"/>
      <c r="AT42" s="222" t="e">
        <f>#REF!</f>
        <v>#REF!</v>
      </c>
      <c r="AU42" s="223">
        <f t="shared" ref="AU42:AU51" si="28">SUMIF($J$9:$AS$9,AU$9,J42:AS42)</f>
        <v>1</v>
      </c>
      <c r="AV42" s="2" t="e">
        <f t="shared" si="19"/>
        <v>#REF!</v>
      </c>
    </row>
    <row r="43" spans="1:48" ht="76.5" customHeight="1">
      <c r="A43" s="235" t="s">
        <v>906</v>
      </c>
      <c r="B43" s="852" t="s">
        <v>145</v>
      </c>
      <c r="C43" s="853"/>
      <c r="D43" s="853"/>
      <c r="E43" s="853"/>
      <c r="F43" s="853"/>
      <c r="G43" s="853"/>
      <c r="H43" s="853"/>
      <c r="I43" s="853"/>
      <c r="J43" s="222" t="e">
        <f t="shared" si="0"/>
        <v>#REF!</v>
      </c>
      <c r="K43" s="223"/>
      <c r="L43" s="222" t="e">
        <f t="shared" si="23"/>
        <v>#REF!</v>
      </c>
      <c r="M43" s="223"/>
      <c r="N43" s="222" t="e">
        <f t="shared" si="24"/>
        <v>#REF!</v>
      </c>
      <c r="O43" s="223"/>
      <c r="P43" s="222" t="e">
        <f t="shared" si="3"/>
        <v>#REF!</v>
      </c>
      <c r="Q43" s="223"/>
      <c r="R43" s="222" t="e">
        <f t="shared" si="4"/>
        <v>#REF!</v>
      </c>
      <c r="S43" s="223"/>
      <c r="T43" s="222" t="e">
        <f t="shared" si="21"/>
        <v>#REF!</v>
      </c>
      <c r="U43" s="223"/>
      <c r="V43" s="222" t="e">
        <f t="shared" si="22"/>
        <v>#REF!</v>
      </c>
      <c r="W43" s="223"/>
      <c r="X43" s="222" t="e">
        <f t="shared" si="25"/>
        <v>#REF!</v>
      </c>
      <c r="Y43" s="223"/>
      <c r="Z43" s="222" t="e">
        <f t="shared" si="7"/>
        <v>#REF!</v>
      </c>
      <c r="AA43" s="223"/>
      <c r="AB43" s="222" t="e">
        <f t="shared" si="26"/>
        <v>#REF!</v>
      </c>
      <c r="AC43" s="223"/>
      <c r="AD43" s="222" t="e">
        <f t="shared" si="8"/>
        <v>#REF!</v>
      </c>
      <c r="AE43" s="223"/>
      <c r="AF43" s="222" t="e">
        <f t="shared" si="27"/>
        <v>#REF!</v>
      </c>
      <c r="AG43" s="223"/>
      <c r="AH43" s="222" t="e">
        <f t="shared" si="10"/>
        <v>#REF!</v>
      </c>
      <c r="AI43" s="223">
        <v>1</v>
      </c>
      <c r="AJ43" s="222" t="e">
        <f t="shared" si="11"/>
        <v>#REF!</v>
      </c>
      <c r="AK43" s="223"/>
      <c r="AL43" s="222" t="e">
        <f t="shared" si="12"/>
        <v>#REF!</v>
      </c>
      <c r="AM43" s="223"/>
      <c r="AN43" s="222" t="e">
        <f t="shared" si="13"/>
        <v>#REF!</v>
      </c>
      <c r="AO43" s="223"/>
      <c r="AP43" s="222" t="e">
        <f t="shared" si="14"/>
        <v>#REF!</v>
      </c>
      <c r="AQ43" s="223"/>
      <c r="AR43" s="222" t="e">
        <f t="shared" si="15"/>
        <v>#REF!</v>
      </c>
      <c r="AS43" s="223"/>
      <c r="AT43" s="222" t="e">
        <f>#REF!</f>
        <v>#REF!</v>
      </c>
      <c r="AU43" s="223">
        <f t="shared" si="28"/>
        <v>1</v>
      </c>
      <c r="AV43" s="2" t="e">
        <f t="shared" si="19"/>
        <v>#REF!</v>
      </c>
    </row>
    <row r="44" spans="1:48" ht="76.5" customHeight="1">
      <c r="A44" s="234" t="s">
        <v>907</v>
      </c>
      <c r="B44" s="852" t="s">
        <v>145</v>
      </c>
      <c r="C44" s="853"/>
      <c r="D44" s="853"/>
      <c r="E44" s="853"/>
      <c r="F44" s="853"/>
      <c r="G44" s="853"/>
      <c r="H44" s="853"/>
      <c r="I44" s="853"/>
      <c r="J44" s="222" t="e">
        <f t="shared" si="0"/>
        <v>#REF!</v>
      </c>
      <c r="K44" s="223"/>
      <c r="L44" s="222" t="e">
        <f t="shared" si="23"/>
        <v>#REF!</v>
      </c>
      <c r="M44" s="223"/>
      <c r="N44" s="222" t="e">
        <f t="shared" si="24"/>
        <v>#REF!</v>
      </c>
      <c r="O44" s="223"/>
      <c r="P44" s="222" t="e">
        <f t="shared" si="3"/>
        <v>#REF!</v>
      </c>
      <c r="Q44" s="223"/>
      <c r="R44" s="222" t="e">
        <f t="shared" si="4"/>
        <v>#REF!</v>
      </c>
      <c r="S44" s="223"/>
      <c r="T44" s="222" t="e">
        <f t="shared" si="21"/>
        <v>#REF!</v>
      </c>
      <c r="U44" s="223"/>
      <c r="V44" s="222" t="e">
        <f t="shared" si="22"/>
        <v>#REF!</v>
      </c>
      <c r="W44" s="223"/>
      <c r="X44" s="222" t="e">
        <f t="shared" si="25"/>
        <v>#REF!</v>
      </c>
      <c r="Y44" s="223"/>
      <c r="Z44" s="222" t="e">
        <f t="shared" si="7"/>
        <v>#REF!</v>
      </c>
      <c r="AA44" s="223"/>
      <c r="AB44" s="222" t="e">
        <f t="shared" si="26"/>
        <v>#REF!</v>
      </c>
      <c r="AC44" s="223"/>
      <c r="AD44" s="222" t="e">
        <f t="shared" si="8"/>
        <v>#REF!</v>
      </c>
      <c r="AE44" s="223"/>
      <c r="AF44" s="222" t="e">
        <f t="shared" si="27"/>
        <v>#REF!</v>
      </c>
      <c r="AG44" s="223"/>
      <c r="AH44" s="222" t="e">
        <f t="shared" si="10"/>
        <v>#REF!</v>
      </c>
      <c r="AI44" s="223">
        <v>1</v>
      </c>
      <c r="AJ44" s="222" t="e">
        <f t="shared" si="11"/>
        <v>#REF!</v>
      </c>
      <c r="AK44" s="223"/>
      <c r="AL44" s="222" t="e">
        <f t="shared" si="12"/>
        <v>#REF!</v>
      </c>
      <c r="AM44" s="223"/>
      <c r="AN44" s="222" t="e">
        <f t="shared" si="13"/>
        <v>#REF!</v>
      </c>
      <c r="AO44" s="223"/>
      <c r="AP44" s="222" t="e">
        <f t="shared" si="14"/>
        <v>#REF!</v>
      </c>
      <c r="AQ44" s="223"/>
      <c r="AR44" s="222" t="e">
        <f t="shared" si="15"/>
        <v>#REF!</v>
      </c>
      <c r="AS44" s="223"/>
      <c r="AT44" s="222" t="e">
        <f>#REF!</f>
        <v>#REF!</v>
      </c>
      <c r="AU44" s="223">
        <f t="shared" si="28"/>
        <v>1</v>
      </c>
      <c r="AV44" s="2" t="e">
        <f t="shared" si="19"/>
        <v>#REF!</v>
      </c>
    </row>
    <row r="45" spans="1:48" ht="76.5" customHeight="1">
      <c r="A45" s="234" t="s">
        <v>908</v>
      </c>
      <c r="B45" s="852" t="s">
        <v>145</v>
      </c>
      <c r="C45" s="853"/>
      <c r="D45" s="853"/>
      <c r="E45" s="853"/>
      <c r="F45" s="853"/>
      <c r="G45" s="853"/>
      <c r="H45" s="853"/>
      <c r="I45" s="853"/>
      <c r="J45" s="222" t="e">
        <f t="shared" si="0"/>
        <v>#REF!</v>
      </c>
      <c r="K45" s="223"/>
      <c r="L45" s="222" t="e">
        <f t="shared" si="23"/>
        <v>#REF!</v>
      </c>
      <c r="M45" s="223"/>
      <c r="N45" s="222" t="e">
        <f t="shared" si="24"/>
        <v>#REF!</v>
      </c>
      <c r="O45" s="223"/>
      <c r="P45" s="222" t="e">
        <f t="shared" si="3"/>
        <v>#REF!</v>
      </c>
      <c r="Q45" s="223"/>
      <c r="R45" s="222" t="e">
        <f t="shared" si="4"/>
        <v>#REF!</v>
      </c>
      <c r="S45" s="223"/>
      <c r="T45" s="222" t="e">
        <f t="shared" si="21"/>
        <v>#REF!</v>
      </c>
      <c r="U45" s="223"/>
      <c r="V45" s="222" t="e">
        <f t="shared" si="22"/>
        <v>#REF!</v>
      </c>
      <c r="W45" s="223"/>
      <c r="X45" s="222" t="e">
        <f t="shared" si="25"/>
        <v>#REF!</v>
      </c>
      <c r="Y45" s="223"/>
      <c r="Z45" s="222" t="e">
        <f t="shared" si="7"/>
        <v>#REF!</v>
      </c>
      <c r="AA45" s="223"/>
      <c r="AB45" s="222" t="e">
        <f t="shared" si="26"/>
        <v>#REF!</v>
      </c>
      <c r="AC45" s="223"/>
      <c r="AD45" s="222" t="e">
        <f t="shared" si="8"/>
        <v>#REF!</v>
      </c>
      <c r="AE45" s="223"/>
      <c r="AF45" s="222" t="e">
        <f t="shared" si="27"/>
        <v>#REF!</v>
      </c>
      <c r="AG45" s="223"/>
      <c r="AH45" s="222" t="e">
        <f t="shared" si="10"/>
        <v>#REF!</v>
      </c>
      <c r="AI45" s="223"/>
      <c r="AJ45" s="222" t="e">
        <f t="shared" si="11"/>
        <v>#REF!</v>
      </c>
      <c r="AK45" s="223">
        <v>0.5</v>
      </c>
      <c r="AL45" s="222" t="e">
        <f>ROUND(AM45*$AT45,2)-0.01</f>
        <v>#REF!</v>
      </c>
      <c r="AM45" s="223">
        <v>0.5</v>
      </c>
      <c r="AN45" s="222" t="e">
        <f t="shared" si="13"/>
        <v>#REF!</v>
      </c>
      <c r="AO45" s="223"/>
      <c r="AP45" s="222" t="e">
        <f t="shared" si="14"/>
        <v>#REF!</v>
      </c>
      <c r="AQ45" s="223"/>
      <c r="AR45" s="222" t="e">
        <f t="shared" si="15"/>
        <v>#REF!</v>
      </c>
      <c r="AS45" s="223"/>
      <c r="AT45" s="222" t="e">
        <f>#REF!</f>
        <v>#REF!</v>
      </c>
      <c r="AU45" s="223">
        <f t="shared" si="28"/>
        <v>1</v>
      </c>
      <c r="AV45" s="2" t="e">
        <f t="shared" si="19"/>
        <v>#REF!</v>
      </c>
    </row>
    <row r="46" spans="1:48" ht="76.5" customHeight="1">
      <c r="A46" s="234" t="s">
        <v>909</v>
      </c>
      <c r="B46" s="852" t="s">
        <v>145</v>
      </c>
      <c r="C46" s="853"/>
      <c r="D46" s="853"/>
      <c r="E46" s="853"/>
      <c r="F46" s="853"/>
      <c r="G46" s="853"/>
      <c r="H46" s="853"/>
      <c r="I46" s="853"/>
      <c r="J46" s="222" t="e">
        <f t="shared" si="0"/>
        <v>#REF!</v>
      </c>
      <c r="K46" s="223"/>
      <c r="L46" s="222" t="e">
        <f t="shared" si="23"/>
        <v>#REF!</v>
      </c>
      <c r="M46" s="223"/>
      <c r="N46" s="222" t="e">
        <f t="shared" si="24"/>
        <v>#REF!</v>
      </c>
      <c r="O46" s="223"/>
      <c r="P46" s="222" t="e">
        <f t="shared" si="3"/>
        <v>#REF!</v>
      </c>
      <c r="Q46" s="223"/>
      <c r="R46" s="222" t="e">
        <f t="shared" si="4"/>
        <v>#REF!</v>
      </c>
      <c r="S46" s="223"/>
      <c r="T46" s="222" t="e">
        <f t="shared" si="21"/>
        <v>#REF!</v>
      </c>
      <c r="U46" s="223"/>
      <c r="V46" s="222" t="e">
        <f t="shared" si="22"/>
        <v>#REF!</v>
      </c>
      <c r="W46" s="223"/>
      <c r="X46" s="222" t="e">
        <f t="shared" si="25"/>
        <v>#REF!</v>
      </c>
      <c r="Y46" s="223"/>
      <c r="Z46" s="222" t="e">
        <f t="shared" si="7"/>
        <v>#REF!</v>
      </c>
      <c r="AA46" s="223"/>
      <c r="AB46" s="222" t="e">
        <f t="shared" si="26"/>
        <v>#REF!</v>
      </c>
      <c r="AC46" s="223"/>
      <c r="AD46" s="222" t="e">
        <f t="shared" si="8"/>
        <v>#REF!</v>
      </c>
      <c r="AE46" s="223"/>
      <c r="AF46" s="222" t="e">
        <f t="shared" si="27"/>
        <v>#REF!</v>
      </c>
      <c r="AG46" s="223"/>
      <c r="AH46" s="222" t="e">
        <f t="shared" si="10"/>
        <v>#REF!</v>
      </c>
      <c r="AI46" s="223"/>
      <c r="AJ46" s="222" t="e">
        <f t="shared" si="11"/>
        <v>#REF!</v>
      </c>
      <c r="AK46" s="223"/>
      <c r="AL46" s="222" t="e">
        <f t="shared" ref="AL46:AL51" si="29">ROUND(AM46*$AT46,2)</f>
        <v>#REF!</v>
      </c>
      <c r="AM46" s="223"/>
      <c r="AN46" s="222" t="e">
        <f t="shared" si="13"/>
        <v>#REF!</v>
      </c>
      <c r="AO46" s="223">
        <v>1</v>
      </c>
      <c r="AP46" s="222" t="e">
        <f t="shared" si="14"/>
        <v>#REF!</v>
      </c>
      <c r="AQ46" s="223"/>
      <c r="AR46" s="222" t="e">
        <f t="shared" si="15"/>
        <v>#REF!</v>
      </c>
      <c r="AS46" s="223"/>
      <c r="AT46" s="222" t="e">
        <f>#REF!</f>
        <v>#REF!</v>
      </c>
      <c r="AU46" s="223">
        <f t="shared" si="28"/>
        <v>1</v>
      </c>
      <c r="AV46" s="2" t="e">
        <f t="shared" si="19"/>
        <v>#REF!</v>
      </c>
    </row>
    <row r="47" spans="1:48" ht="76.5" customHeight="1">
      <c r="A47" s="235" t="s">
        <v>758</v>
      </c>
      <c r="B47" s="852" t="s">
        <v>145</v>
      </c>
      <c r="C47" s="853"/>
      <c r="D47" s="853"/>
      <c r="E47" s="853"/>
      <c r="F47" s="853"/>
      <c r="G47" s="853"/>
      <c r="H47" s="853"/>
      <c r="I47" s="853"/>
      <c r="J47" s="222" t="e">
        <f t="shared" si="0"/>
        <v>#REF!</v>
      </c>
      <c r="K47" s="223"/>
      <c r="L47" s="222" t="e">
        <f t="shared" si="23"/>
        <v>#REF!</v>
      </c>
      <c r="M47" s="223"/>
      <c r="N47" s="222" t="e">
        <f t="shared" si="24"/>
        <v>#REF!</v>
      </c>
      <c r="O47" s="223"/>
      <c r="P47" s="222" t="e">
        <f t="shared" si="3"/>
        <v>#REF!</v>
      </c>
      <c r="Q47" s="223"/>
      <c r="R47" s="222" t="e">
        <f t="shared" si="4"/>
        <v>#REF!</v>
      </c>
      <c r="S47" s="223"/>
      <c r="T47" s="222" t="e">
        <f t="shared" si="21"/>
        <v>#REF!</v>
      </c>
      <c r="U47" s="223"/>
      <c r="V47" s="222" t="e">
        <f t="shared" si="22"/>
        <v>#REF!</v>
      </c>
      <c r="W47" s="223"/>
      <c r="X47" s="222" t="e">
        <f t="shared" si="25"/>
        <v>#REF!</v>
      </c>
      <c r="Y47" s="223"/>
      <c r="Z47" s="222" t="e">
        <f t="shared" si="7"/>
        <v>#REF!</v>
      </c>
      <c r="AA47" s="223"/>
      <c r="AB47" s="222" t="e">
        <f t="shared" si="26"/>
        <v>#REF!</v>
      </c>
      <c r="AC47" s="223"/>
      <c r="AD47" s="222" t="e">
        <f t="shared" si="8"/>
        <v>#REF!</v>
      </c>
      <c r="AE47" s="223"/>
      <c r="AF47" s="222" t="e">
        <f t="shared" si="27"/>
        <v>#REF!</v>
      </c>
      <c r="AG47" s="223"/>
      <c r="AH47" s="222" t="e">
        <f t="shared" si="10"/>
        <v>#REF!</v>
      </c>
      <c r="AI47" s="223"/>
      <c r="AJ47" s="222" t="e">
        <f t="shared" si="11"/>
        <v>#REF!</v>
      </c>
      <c r="AK47" s="223"/>
      <c r="AL47" s="222" t="e">
        <f t="shared" si="29"/>
        <v>#REF!</v>
      </c>
      <c r="AM47" s="223"/>
      <c r="AN47" s="222" t="e">
        <f t="shared" si="13"/>
        <v>#REF!</v>
      </c>
      <c r="AO47" s="223">
        <v>1</v>
      </c>
      <c r="AP47" s="222" t="e">
        <f t="shared" si="14"/>
        <v>#REF!</v>
      </c>
      <c r="AQ47" s="223"/>
      <c r="AR47" s="222" t="e">
        <f t="shared" si="15"/>
        <v>#REF!</v>
      </c>
      <c r="AS47" s="223"/>
      <c r="AT47" s="222" t="e">
        <f>#REF!</f>
        <v>#REF!</v>
      </c>
      <c r="AU47" s="223">
        <f t="shared" si="28"/>
        <v>1</v>
      </c>
      <c r="AV47" s="2" t="e">
        <f t="shared" si="19"/>
        <v>#REF!</v>
      </c>
    </row>
    <row r="48" spans="1:48" ht="76.5" customHeight="1">
      <c r="A48" s="234" t="s">
        <v>759</v>
      </c>
      <c r="B48" s="852" t="s">
        <v>145</v>
      </c>
      <c r="C48" s="853"/>
      <c r="D48" s="853"/>
      <c r="E48" s="853"/>
      <c r="F48" s="853"/>
      <c r="G48" s="853"/>
      <c r="H48" s="853"/>
      <c r="I48" s="853"/>
      <c r="J48" s="222" t="e">
        <f t="shared" si="0"/>
        <v>#REF!</v>
      </c>
      <c r="K48" s="223"/>
      <c r="L48" s="222" t="e">
        <f t="shared" si="23"/>
        <v>#REF!</v>
      </c>
      <c r="M48" s="223"/>
      <c r="N48" s="222" t="e">
        <f t="shared" si="24"/>
        <v>#REF!</v>
      </c>
      <c r="O48" s="223"/>
      <c r="P48" s="222" t="e">
        <f t="shared" si="3"/>
        <v>#REF!</v>
      </c>
      <c r="Q48" s="223"/>
      <c r="R48" s="222" t="e">
        <f t="shared" si="4"/>
        <v>#REF!</v>
      </c>
      <c r="S48" s="223"/>
      <c r="T48" s="222" t="e">
        <f t="shared" si="21"/>
        <v>#REF!</v>
      </c>
      <c r="U48" s="223"/>
      <c r="V48" s="222" t="e">
        <f t="shared" si="22"/>
        <v>#REF!</v>
      </c>
      <c r="W48" s="223"/>
      <c r="X48" s="222" t="e">
        <f t="shared" si="25"/>
        <v>#REF!</v>
      </c>
      <c r="Y48" s="223"/>
      <c r="Z48" s="222" t="e">
        <f t="shared" si="7"/>
        <v>#REF!</v>
      </c>
      <c r="AA48" s="223"/>
      <c r="AB48" s="222" t="e">
        <f t="shared" si="26"/>
        <v>#REF!</v>
      </c>
      <c r="AC48" s="223"/>
      <c r="AD48" s="222" t="e">
        <f t="shared" si="8"/>
        <v>#REF!</v>
      </c>
      <c r="AE48" s="223"/>
      <c r="AF48" s="222" t="e">
        <f t="shared" si="27"/>
        <v>#REF!</v>
      </c>
      <c r="AG48" s="223"/>
      <c r="AH48" s="222" t="e">
        <f t="shared" si="10"/>
        <v>#REF!</v>
      </c>
      <c r="AI48" s="223"/>
      <c r="AJ48" s="222" t="e">
        <f t="shared" si="11"/>
        <v>#REF!</v>
      </c>
      <c r="AK48" s="223"/>
      <c r="AL48" s="222" t="e">
        <f t="shared" si="29"/>
        <v>#REF!</v>
      </c>
      <c r="AM48" s="223"/>
      <c r="AN48" s="222" t="e">
        <f t="shared" si="13"/>
        <v>#REF!</v>
      </c>
      <c r="AO48" s="223">
        <v>0.5</v>
      </c>
      <c r="AP48" s="222" t="e">
        <f>ROUND(AQ48*$AT48,2)-0.01</f>
        <v>#REF!</v>
      </c>
      <c r="AQ48" s="223">
        <v>0.5</v>
      </c>
      <c r="AR48" s="222" t="e">
        <f t="shared" si="15"/>
        <v>#REF!</v>
      </c>
      <c r="AS48" s="223"/>
      <c r="AT48" s="222" t="e">
        <f>#REF!</f>
        <v>#REF!</v>
      </c>
      <c r="AU48" s="223">
        <f t="shared" si="28"/>
        <v>1</v>
      </c>
      <c r="AV48" s="2" t="e">
        <f t="shared" si="19"/>
        <v>#REF!</v>
      </c>
    </row>
    <row r="49" spans="1:48" ht="76.5" customHeight="1">
      <c r="A49" s="234" t="s">
        <v>760</v>
      </c>
      <c r="B49" s="852" t="s">
        <v>145</v>
      </c>
      <c r="C49" s="853"/>
      <c r="D49" s="853"/>
      <c r="E49" s="853"/>
      <c r="F49" s="853"/>
      <c r="G49" s="853"/>
      <c r="H49" s="853"/>
      <c r="I49" s="853"/>
      <c r="J49" s="222" t="e">
        <f t="shared" si="0"/>
        <v>#REF!</v>
      </c>
      <c r="K49" s="223"/>
      <c r="L49" s="222" t="e">
        <f t="shared" si="23"/>
        <v>#REF!</v>
      </c>
      <c r="M49" s="223"/>
      <c r="N49" s="222" t="e">
        <f t="shared" si="24"/>
        <v>#REF!</v>
      </c>
      <c r="O49" s="223"/>
      <c r="P49" s="222" t="e">
        <f t="shared" si="3"/>
        <v>#REF!</v>
      </c>
      <c r="Q49" s="223"/>
      <c r="R49" s="222" t="e">
        <f t="shared" si="4"/>
        <v>#REF!</v>
      </c>
      <c r="S49" s="223"/>
      <c r="T49" s="222" t="e">
        <f t="shared" si="21"/>
        <v>#REF!</v>
      </c>
      <c r="U49" s="223"/>
      <c r="V49" s="222" t="e">
        <f t="shared" si="22"/>
        <v>#REF!</v>
      </c>
      <c r="W49" s="223"/>
      <c r="X49" s="222" t="e">
        <f t="shared" si="25"/>
        <v>#REF!</v>
      </c>
      <c r="Y49" s="223"/>
      <c r="Z49" s="222" t="e">
        <f t="shared" si="7"/>
        <v>#REF!</v>
      </c>
      <c r="AA49" s="223"/>
      <c r="AB49" s="222" t="e">
        <f t="shared" si="26"/>
        <v>#REF!</v>
      </c>
      <c r="AC49" s="223"/>
      <c r="AD49" s="222" t="e">
        <f t="shared" si="8"/>
        <v>#REF!</v>
      </c>
      <c r="AE49" s="223"/>
      <c r="AF49" s="222" t="e">
        <f t="shared" si="27"/>
        <v>#REF!</v>
      </c>
      <c r="AG49" s="223"/>
      <c r="AH49" s="222" t="e">
        <f t="shared" si="10"/>
        <v>#REF!</v>
      </c>
      <c r="AI49" s="223"/>
      <c r="AJ49" s="222" t="e">
        <f t="shared" si="11"/>
        <v>#REF!</v>
      </c>
      <c r="AK49" s="223"/>
      <c r="AL49" s="222" t="e">
        <f t="shared" si="29"/>
        <v>#REF!</v>
      </c>
      <c r="AM49" s="223"/>
      <c r="AN49" s="222" t="e">
        <f t="shared" si="13"/>
        <v>#REF!</v>
      </c>
      <c r="AO49" s="223">
        <v>0.5</v>
      </c>
      <c r="AP49" s="222" t="e">
        <f>ROUND(AQ49*$AT49,2)</f>
        <v>#REF!</v>
      </c>
      <c r="AQ49" s="223">
        <v>0.5</v>
      </c>
      <c r="AR49" s="222" t="e">
        <f t="shared" si="15"/>
        <v>#REF!</v>
      </c>
      <c r="AS49" s="223"/>
      <c r="AT49" s="222" t="e">
        <f>#REF!</f>
        <v>#REF!</v>
      </c>
      <c r="AU49" s="223">
        <f t="shared" si="28"/>
        <v>1</v>
      </c>
      <c r="AV49" s="2" t="e">
        <f t="shared" si="19"/>
        <v>#REF!</v>
      </c>
    </row>
    <row r="50" spans="1:48" ht="76.5" customHeight="1">
      <c r="A50" s="234" t="s">
        <v>761</v>
      </c>
      <c r="B50" s="852" t="s">
        <v>145</v>
      </c>
      <c r="C50" s="853"/>
      <c r="D50" s="853"/>
      <c r="E50" s="853"/>
      <c r="F50" s="853"/>
      <c r="G50" s="853"/>
      <c r="H50" s="853"/>
      <c r="I50" s="853"/>
      <c r="J50" s="222" t="e">
        <f t="shared" si="0"/>
        <v>#REF!</v>
      </c>
      <c r="K50" s="223"/>
      <c r="L50" s="222" t="e">
        <f t="shared" si="23"/>
        <v>#REF!</v>
      </c>
      <c r="M50" s="223"/>
      <c r="N50" s="222" t="e">
        <f t="shared" si="24"/>
        <v>#REF!</v>
      </c>
      <c r="O50" s="223"/>
      <c r="P50" s="222" t="e">
        <f t="shared" si="3"/>
        <v>#REF!</v>
      </c>
      <c r="Q50" s="223"/>
      <c r="R50" s="222" t="e">
        <f t="shared" si="4"/>
        <v>#REF!</v>
      </c>
      <c r="S50" s="223"/>
      <c r="T50" s="222" t="e">
        <f t="shared" si="21"/>
        <v>#REF!</v>
      </c>
      <c r="U50" s="223"/>
      <c r="V50" s="222" t="e">
        <f t="shared" si="22"/>
        <v>#REF!</v>
      </c>
      <c r="W50" s="223"/>
      <c r="X50" s="222" t="e">
        <f t="shared" si="25"/>
        <v>#REF!</v>
      </c>
      <c r="Y50" s="223"/>
      <c r="Z50" s="222" t="e">
        <f t="shared" si="7"/>
        <v>#REF!</v>
      </c>
      <c r="AA50" s="223"/>
      <c r="AB50" s="222" t="e">
        <f t="shared" si="26"/>
        <v>#REF!</v>
      </c>
      <c r="AC50" s="223"/>
      <c r="AD50" s="222" t="e">
        <f t="shared" si="8"/>
        <v>#REF!</v>
      </c>
      <c r="AE50" s="223"/>
      <c r="AF50" s="222" t="e">
        <f t="shared" si="27"/>
        <v>#REF!</v>
      </c>
      <c r="AG50" s="223"/>
      <c r="AH50" s="222" t="e">
        <f t="shared" si="10"/>
        <v>#REF!</v>
      </c>
      <c r="AI50" s="223"/>
      <c r="AJ50" s="222" t="e">
        <f t="shared" si="11"/>
        <v>#REF!</v>
      </c>
      <c r="AK50" s="223"/>
      <c r="AL50" s="222" t="e">
        <f t="shared" si="29"/>
        <v>#REF!</v>
      </c>
      <c r="AM50" s="223"/>
      <c r="AN50" s="222" t="e">
        <f t="shared" si="13"/>
        <v>#REF!</v>
      </c>
      <c r="AO50" s="223">
        <v>0.5</v>
      </c>
      <c r="AP50" s="222" t="e">
        <f>ROUND(AQ50*$AT50,2)</f>
        <v>#REF!</v>
      </c>
      <c r="AQ50" s="223">
        <v>0.5</v>
      </c>
      <c r="AR50" s="222" t="e">
        <f t="shared" si="15"/>
        <v>#REF!</v>
      </c>
      <c r="AS50" s="223"/>
      <c r="AT50" s="222" t="e">
        <f>#REF!</f>
        <v>#REF!</v>
      </c>
      <c r="AU50" s="223">
        <f t="shared" si="28"/>
        <v>1</v>
      </c>
      <c r="AV50" s="2" t="e">
        <f t="shared" si="19"/>
        <v>#REF!</v>
      </c>
    </row>
    <row r="51" spans="1:48" ht="76.5" customHeight="1">
      <c r="A51" s="235" t="s">
        <v>762</v>
      </c>
      <c r="B51" s="852" t="s">
        <v>145</v>
      </c>
      <c r="C51" s="853"/>
      <c r="D51" s="853"/>
      <c r="E51" s="853"/>
      <c r="F51" s="853"/>
      <c r="G51" s="853"/>
      <c r="H51" s="853"/>
      <c r="I51" s="853"/>
      <c r="J51" s="222" t="e">
        <f t="shared" si="0"/>
        <v>#REF!</v>
      </c>
      <c r="K51" s="223"/>
      <c r="L51" s="222" t="e">
        <f t="shared" si="23"/>
        <v>#REF!</v>
      </c>
      <c r="M51" s="223"/>
      <c r="N51" s="222" t="e">
        <f t="shared" si="24"/>
        <v>#REF!</v>
      </c>
      <c r="O51" s="223"/>
      <c r="P51" s="222" t="e">
        <f t="shared" si="3"/>
        <v>#REF!</v>
      </c>
      <c r="Q51" s="223"/>
      <c r="R51" s="222" t="e">
        <f t="shared" si="4"/>
        <v>#REF!</v>
      </c>
      <c r="S51" s="223"/>
      <c r="T51" s="222" t="e">
        <f t="shared" si="21"/>
        <v>#REF!</v>
      </c>
      <c r="U51" s="223"/>
      <c r="V51" s="222" t="e">
        <f t="shared" si="22"/>
        <v>#REF!</v>
      </c>
      <c r="W51" s="223"/>
      <c r="X51" s="222" t="e">
        <f t="shared" si="25"/>
        <v>#REF!</v>
      </c>
      <c r="Y51" s="223"/>
      <c r="Z51" s="222" t="e">
        <f t="shared" si="7"/>
        <v>#REF!</v>
      </c>
      <c r="AA51" s="223"/>
      <c r="AB51" s="222" t="e">
        <f t="shared" si="26"/>
        <v>#REF!</v>
      </c>
      <c r="AC51" s="223"/>
      <c r="AD51" s="222" t="e">
        <f t="shared" si="8"/>
        <v>#REF!</v>
      </c>
      <c r="AE51" s="223"/>
      <c r="AF51" s="222" t="e">
        <f t="shared" si="27"/>
        <v>#REF!</v>
      </c>
      <c r="AG51" s="223"/>
      <c r="AH51" s="222" t="e">
        <f t="shared" si="10"/>
        <v>#REF!</v>
      </c>
      <c r="AI51" s="223"/>
      <c r="AJ51" s="222" t="e">
        <f t="shared" si="11"/>
        <v>#REF!</v>
      </c>
      <c r="AK51" s="223"/>
      <c r="AL51" s="222" t="e">
        <f t="shared" si="29"/>
        <v>#REF!</v>
      </c>
      <c r="AM51" s="223"/>
      <c r="AN51" s="222" t="e">
        <f t="shared" si="13"/>
        <v>#REF!</v>
      </c>
      <c r="AO51" s="223"/>
      <c r="AP51" s="222" t="e">
        <f>ROUND(AQ51*$AT51,2)</f>
        <v>#REF!</v>
      </c>
      <c r="AQ51" s="223">
        <v>0.5</v>
      </c>
      <c r="AR51" s="222" t="e">
        <f>ROUND(AS51*$AT51,2)-0.01</f>
        <v>#REF!</v>
      </c>
      <c r="AS51" s="223">
        <v>0.5</v>
      </c>
      <c r="AT51" s="222" t="e">
        <f>#REF!+#REF!</f>
        <v>#REF!</v>
      </c>
      <c r="AU51" s="223">
        <f t="shared" si="28"/>
        <v>1</v>
      </c>
      <c r="AV51" s="2" t="e">
        <f t="shared" si="19"/>
        <v>#REF!</v>
      </c>
    </row>
    <row r="52" spans="1:48" hidden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</row>
    <row r="53" spans="1:48" hidden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</row>
    <row r="54" spans="1:48" ht="76.5" customHeight="1">
      <c r="A54" s="236" t="s">
        <v>768</v>
      </c>
      <c r="B54" s="852" t="s">
        <v>145</v>
      </c>
      <c r="C54" s="853"/>
      <c r="D54" s="853"/>
      <c r="E54" s="853"/>
      <c r="F54" s="853"/>
      <c r="G54" s="853"/>
      <c r="H54" s="853"/>
      <c r="I54" s="853"/>
      <c r="J54" s="222" t="e">
        <f>SUM(J10:J51)</f>
        <v>#REF!</v>
      </c>
      <c r="K54" s="223"/>
      <c r="L54" s="222" t="e">
        <f>SUM(L10:L51)</f>
        <v>#REF!</v>
      </c>
      <c r="M54" s="223"/>
      <c r="N54" s="222" t="e">
        <f>SUM(N10:N51)</f>
        <v>#REF!</v>
      </c>
      <c r="O54" s="223"/>
      <c r="P54" s="222" t="e">
        <f>SUM(P10:P51)</f>
        <v>#REF!</v>
      </c>
      <c r="Q54" s="223"/>
      <c r="R54" s="222" t="e">
        <f>SUM(R10:R51)</f>
        <v>#REF!</v>
      </c>
      <c r="S54" s="223"/>
      <c r="T54" s="222" t="e">
        <f>SUM(T10:T51)</f>
        <v>#REF!</v>
      </c>
      <c r="U54" s="223"/>
      <c r="V54" s="222" t="e">
        <f>SUM(V10:V51)</f>
        <v>#REF!</v>
      </c>
      <c r="W54" s="223"/>
      <c r="X54" s="222" t="e">
        <f>SUM(X10:X51)</f>
        <v>#REF!</v>
      </c>
      <c r="Y54" s="223"/>
      <c r="Z54" s="222" t="e">
        <f>SUM(Z10:Z51)</f>
        <v>#REF!</v>
      </c>
      <c r="AA54" s="223"/>
      <c r="AB54" s="222" t="e">
        <f>SUM(AB10:AB51)</f>
        <v>#REF!</v>
      </c>
      <c r="AC54" s="223"/>
      <c r="AD54" s="222" t="e">
        <f>SUM(AD10:AD51)</f>
        <v>#REF!</v>
      </c>
      <c r="AE54" s="223"/>
      <c r="AF54" s="222" t="e">
        <f>SUM(AF10:AF51)</f>
        <v>#REF!</v>
      </c>
      <c r="AG54" s="223"/>
      <c r="AH54" s="222" t="e">
        <f>SUM(AH10:AH51)</f>
        <v>#REF!</v>
      </c>
      <c r="AI54" s="223"/>
      <c r="AJ54" s="222" t="e">
        <f>SUM(AJ10:AJ51)</f>
        <v>#REF!</v>
      </c>
      <c r="AK54" s="223"/>
      <c r="AL54" s="222" t="e">
        <f>SUM(AL10:AL51)</f>
        <v>#REF!</v>
      </c>
      <c r="AM54" s="223"/>
      <c r="AN54" s="222" t="e">
        <f>SUM(AN10:AN51)</f>
        <v>#REF!</v>
      </c>
      <c r="AO54" s="223"/>
      <c r="AP54" s="222" t="e">
        <f>SUM(AP10:AP51)</f>
        <v>#REF!</v>
      </c>
      <c r="AQ54" s="223"/>
      <c r="AR54" s="222" t="e">
        <f>SUM(AR10:AR51)</f>
        <v>#REF!</v>
      </c>
      <c r="AS54" s="223"/>
      <c r="AT54" s="222" t="e">
        <f>SUM(J54:AR54)</f>
        <v>#REF!</v>
      </c>
      <c r="AU54" s="223"/>
    </row>
    <row r="55" spans="1:48" ht="76.5" hidden="1" customHeight="1">
      <c r="A55" s="234" t="s">
        <v>246</v>
      </c>
      <c r="B55" s="852" t="s">
        <v>145</v>
      </c>
      <c r="C55" s="853"/>
      <c r="D55" s="853"/>
      <c r="E55" s="853"/>
      <c r="F55" s="853"/>
      <c r="G55" s="853"/>
      <c r="H55" s="853"/>
      <c r="I55" s="853"/>
      <c r="J55" s="222">
        <f>ROUND(K55*$AT55,2)</f>
        <v>0</v>
      </c>
      <c r="K55" s="223"/>
      <c r="L55" s="222">
        <f>ROUND(M55*$AT55,2)</f>
        <v>0</v>
      </c>
      <c r="M55" s="223"/>
      <c r="N55" s="222">
        <f>ROUND(O55*$AT55,2)</f>
        <v>0</v>
      </c>
      <c r="O55" s="223"/>
      <c r="P55" s="222">
        <f>ROUND(Q55*$AT55,2)</f>
        <v>0</v>
      </c>
      <c r="Q55" s="223"/>
      <c r="R55" s="222">
        <f>ROUND(S55*$AT55,2)</f>
        <v>0</v>
      </c>
      <c r="S55" s="223"/>
      <c r="T55" s="222">
        <f>ROUND(U55*$AT55,2)</f>
        <v>11879.48</v>
      </c>
      <c r="U55" s="223">
        <v>0.5</v>
      </c>
      <c r="V55" s="222">
        <f>ROUND(W55*$AT55,2)-0.01</f>
        <v>11879.47</v>
      </c>
      <c r="W55" s="223">
        <v>0.5</v>
      </c>
      <c r="X55" s="222">
        <f>ROUND(Y55*$AT55,2)</f>
        <v>0</v>
      </c>
      <c r="Y55" s="223"/>
      <c r="Z55" s="222">
        <f>ROUND(AA55*$AT55,2)</f>
        <v>0</v>
      </c>
      <c r="AA55" s="223"/>
      <c r="AB55" s="222">
        <f>ROUND(AC55*$AT55,2)</f>
        <v>0</v>
      </c>
      <c r="AC55" s="223"/>
      <c r="AD55" s="222">
        <f>ROUND(AE55*$AT55,2)</f>
        <v>0</v>
      </c>
      <c r="AE55" s="223"/>
      <c r="AF55" s="222">
        <f>ROUND(AG55*$AT55,2)</f>
        <v>0</v>
      </c>
      <c r="AG55" s="223"/>
      <c r="AH55" s="222">
        <f>ROUND(AI55*$AT55,2)</f>
        <v>0</v>
      </c>
      <c r="AI55" s="223"/>
      <c r="AJ55" s="222">
        <f>ROUND(AK55*$AT55,2)</f>
        <v>0</v>
      </c>
      <c r="AK55" s="223"/>
      <c r="AL55" s="222">
        <f>ROUND(AM55*$AT55,2)</f>
        <v>0</v>
      </c>
      <c r="AM55" s="223"/>
      <c r="AN55" s="222">
        <f>ROUND(AO55*$AT55,2)</f>
        <v>0</v>
      </c>
      <c r="AO55" s="223"/>
      <c r="AP55" s="222">
        <f>ROUND(AQ55*$AT55,2)</f>
        <v>0</v>
      </c>
      <c r="AQ55" s="223"/>
      <c r="AR55" s="222">
        <f>ROUND(AS55*$AT55,2)</f>
        <v>0</v>
      </c>
      <c r="AS55" s="223"/>
      <c r="AT55" s="222">
        <f>ROUND(SUM('Interceptor(mão-de-obra)'!L14:L22),2)</f>
        <v>23758.95</v>
      </c>
      <c r="AU55" s="223">
        <f>SUMIF($J$9:$AS$9,AU$9,J55:AS55)</f>
        <v>1</v>
      </c>
      <c r="AV55" s="2">
        <f>SUMIF($J$9:$AS$9,AT$9,J55:AS55)-AT55</f>
        <v>0</v>
      </c>
    </row>
    <row r="56" spans="1:48" ht="76.5" hidden="1" customHeight="1">
      <c r="A56" s="234" t="s">
        <v>855</v>
      </c>
      <c r="B56" s="852" t="s">
        <v>145</v>
      </c>
      <c r="C56" s="853"/>
      <c r="D56" s="853"/>
      <c r="E56" s="853"/>
      <c r="F56" s="853"/>
      <c r="G56" s="853"/>
      <c r="H56" s="853"/>
      <c r="I56" s="853"/>
      <c r="J56" s="222">
        <f>ROUND(K56*$AT56,2)</f>
        <v>0</v>
      </c>
      <c r="K56" s="223"/>
      <c r="L56" s="222">
        <f>ROUND(M56*$AT56,2)</f>
        <v>0</v>
      </c>
      <c r="M56" s="223"/>
      <c r="N56" s="222">
        <f>ROUND(O56*$AT56,2)</f>
        <v>0</v>
      </c>
      <c r="O56" s="223"/>
      <c r="P56" s="222">
        <f>ROUND(Q56*$AT56,2)</f>
        <v>0</v>
      </c>
      <c r="Q56" s="223"/>
      <c r="R56" s="222">
        <f>ROUND(S56*$AT56,2)</f>
        <v>0</v>
      </c>
      <c r="S56" s="223"/>
      <c r="T56" s="222">
        <f>ROUND(U56*$AT56,2)</f>
        <v>0</v>
      </c>
      <c r="U56" s="223"/>
      <c r="V56" s="222">
        <f>ROUND(W56*$AT56,2)</f>
        <v>13738.13</v>
      </c>
      <c r="W56" s="223">
        <v>0.5</v>
      </c>
      <c r="X56" s="222">
        <f>ROUND(Y56*$AT56,2)</f>
        <v>13738.13</v>
      </c>
      <c r="Y56" s="223">
        <v>0.5</v>
      </c>
      <c r="Z56" s="222">
        <f>ROUND(AA56*$AT56,2)</f>
        <v>0</v>
      </c>
      <c r="AA56" s="223"/>
      <c r="AB56" s="222">
        <f>ROUND(AC56*$AT56,2)</f>
        <v>0</v>
      </c>
      <c r="AC56" s="223"/>
      <c r="AD56" s="222">
        <f>ROUND(AE56*$AT56,2)</f>
        <v>0</v>
      </c>
      <c r="AE56" s="223"/>
      <c r="AF56" s="222">
        <f>ROUND(AG56*$AT56,2)</f>
        <v>0</v>
      </c>
      <c r="AG56" s="223"/>
      <c r="AH56" s="222">
        <f>ROUND(AI56*$AT56,2)</f>
        <v>0</v>
      </c>
      <c r="AI56" s="223"/>
      <c r="AJ56" s="222">
        <f>ROUND(AK56*$AT56,2)</f>
        <v>0</v>
      </c>
      <c r="AK56" s="223"/>
      <c r="AL56" s="222">
        <f>ROUND(AM56*$AT56,2)</f>
        <v>0</v>
      </c>
      <c r="AM56" s="223"/>
      <c r="AN56" s="222">
        <f>ROUND(AO56*$AT56,2)</f>
        <v>0</v>
      </c>
      <c r="AO56" s="223"/>
      <c r="AP56" s="222">
        <f>ROUND(AQ56*$AT56,2)</f>
        <v>0</v>
      </c>
      <c r="AQ56" s="223"/>
      <c r="AR56" s="222">
        <f>ROUND(AS56*$AT56,2)</f>
        <v>0</v>
      </c>
      <c r="AS56" s="223"/>
      <c r="AT56" s="222">
        <f>ROUND(SUM('Interceptor(mão-de-obra)'!L28:L70),2)</f>
        <v>27476.26</v>
      </c>
      <c r="AU56" s="223">
        <f>SUMIF($J$9:$AS$9,AU$9,J56:AS56)</f>
        <v>1</v>
      </c>
      <c r="AV56" s="2">
        <f>SUMIF($J$9:$AS$9,AT$9,J56:AS56)-AT56</f>
        <v>0</v>
      </c>
    </row>
    <row r="57" spans="1:48" ht="76.5" hidden="1" customHeight="1">
      <c r="A57" s="234" t="s">
        <v>913</v>
      </c>
      <c r="B57" s="852" t="s">
        <v>145</v>
      </c>
      <c r="C57" s="853"/>
      <c r="D57" s="853"/>
      <c r="E57" s="853"/>
      <c r="F57" s="853"/>
      <c r="G57" s="853"/>
      <c r="H57" s="853"/>
      <c r="I57" s="853"/>
      <c r="J57" s="222">
        <f>ROUND(K57*$AT57,2)</f>
        <v>0</v>
      </c>
      <c r="K57" s="223"/>
      <c r="L57" s="222">
        <f>ROUND(M57*$AT57,2)</f>
        <v>0</v>
      </c>
      <c r="M57" s="223"/>
      <c r="N57" s="222">
        <f>ROUND(O57*$AT57,2)</f>
        <v>0</v>
      </c>
      <c r="O57" s="223"/>
      <c r="P57" s="222">
        <f>ROUND(Q57*$AT57,2)</f>
        <v>0</v>
      </c>
      <c r="Q57" s="223"/>
      <c r="R57" s="222">
        <f>ROUND(S57*$AT57,2)</f>
        <v>0</v>
      </c>
      <c r="S57" s="223"/>
      <c r="T57" s="222">
        <f>ROUND(U57*$AT57,2)</f>
        <v>0</v>
      </c>
      <c r="U57" s="223"/>
      <c r="V57" s="222">
        <f>ROUND(W57*$AT57,2)</f>
        <v>0</v>
      </c>
      <c r="W57" s="223"/>
      <c r="X57" s="222">
        <f>ROUND(Y57*$AT57,2)</f>
        <v>25445.96</v>
      </c>
      <c r="Y57" s="223">
        <v>0.33329999999999999</v>
      </c>
      <c r="Z57" s="222">
        <f>ROUND(AA57*$AT57,2)</f>
        <v>25445.96</v>
      </c>
      <c r="AA57" s="223">
        <v>0.33329999999999999</v>
      </c>
      <c r="AB57" s="222">
        <f>ROUND(AC57*$AT57,2)</f>
        <v>25453.599999999999</v>
      </c>
      <c r="AC57" s="223">
        <v>0.33339999999999997</v>
      </c>
      <c r="AD57" s="222">
        <f>ROUND(AE57*$AT57,2)</f>
        <v>0</v>
      </c>
      <c r="AE57" s="223"/>
      <c r="AF57" s="222">
        <f>ROUND(AG57*$AT57,2)</f>
        <v>0</v>
      </c>
      <c r="AG57" s="223"/>
      <c r="AH57" s="222">
        <f>ROUND(AI57*$AT57,2)</f>
        <v>0</v>
      </c>
      <c r="AI57" s="223"/>
      <c r="AJ57" s="222">
        <f>ROUND(AK57*$AT57,2)</f>
        <v>0</v>
      </c>
      <c r="AK57" s="223"/>
      <c r="AL57" s="222">
        <f>ROUND(AM57*$AT57,2)</f>
        <v>0</v>
      </c>
      <c r="AM57" s="223"/>
      <c r="AN57" s="222">
        <f>ROUND(AO57*$AT57,2)</f>
        <v>0</v>
      </c>
      <c r="AO57" s="223"/>
      <c r="AP57" s="222">
        <f>ROUND(AQ57*$AT57,2)</f>
        <v>0</v>
      </c>
      <c r="AQ57" s="223"/>
      <c r="AR57" s="222">
        <f>ROUND(AS57*$AT57,2)</f>
        <v>0</v>
      </c>
      <c r="AS57" s="223"/>
      <c r="AT57" s="222">
        <f>ROUND(SUM('Interceptor(mão-de-obra)'!L83:L133),2)</f>
        <v>76345.52</v>
      </c>
      <c r="AU57" s="223">
        <f>SUMIF($J$9:$AS$9,AU$9,J57:AS57)</f>
        <v>1</v>
      </c>
      <c r="AV57" s="2">
        <f>SUMIF($J$9:$AS$9,AT$9,J57:AS57)-AT57</f>
        <v>0</v>
      </c>
    </row>
    <row r="58" spans="1:48" ht="76.5" hidden="1" customHeight="1">
      <c r="A58" s="234" t="s">
        <v>914</v>
      </c>
      <c r="B58" s="852" t="s">
        <v>145</v>
      </c>
      <c r="C58" s="853"/>
      <c r="D58" s="853"/>
      <c r="E58" s="853"/>
      <c r="F58" s="853"/>
      <c r="G58" s="853"/>
      <c r="H58" s="853"/>
      <c r="I58" s="853"/>
      <c r="J58" s="222">
        <f>ROUND(K58*$AT58,2)</f>
        <v>0</v>
      </c>
      <c r="K58" s="223"/>
      <c r="L58" s="222">
        <f>ROUND(M58*$AT58,2)</f>
        <v>0</v>
      </c>
      <c r="M58" s="223"/>
      <c r="N58" s="222">
        <f>ROUND(O58*$AT58,2)</f>
        <v>0</v>
      </c>
      <c r="O58" s="223"/>
      <c r="P58" s="222">
        <f>ROUND(Q58*$AT58,2)</f>
        <v>0</v>
      </c>
      <c r="Q58" s="223"/>
      <c r="R58" s="222">
        <f>ROUND(S58*$AT58,2)</f>
        <v>0</v>
      </c>
      <c r="S58" s="223"/>
      <c r="T58" s="222">
        <f>ROUND(U58*$AT58,2)</f>
        <v>0</v>
      </c>
      <c r="U58" s="223"/>
      <c r="V58" s="222">
        <f>ROUND(W58*$AT58,2)</f>
        <v>0</v>
      </c>
      <c r="W58" s="223"/>
      <c r="X58" s="222">
        <f>ROUND(Y58*$AT58,2)</f>
        <v>0</v>
      </c>
      <c r="Y58" s="223"/>
      <c r="Z58" s="222">
        <f>ROUND(AA58*$AT58,2)</f>
        <v>0</v>
      </c>
      <c r="AA58" s="223"/>
      <c r="AB58" s="222">
        <f>ROUND(AC58*$AT58,2)</f>
        <v>1328.14</v>
      </c>
      <c r="AC58" s="223">
        <v>0.33329999999999999</v>
      </c>
      <c r="AD58" s="222">
        <f>ROUND(AE58*$AT58,2)</f>
        <v>1328.14</v>
      </c>
      <c r="AE58" s="223">
        <v>0.33329999999999999</v>
      </c>
      <c r="AF58" s="222">
        <f>ROUND(AG58*$AT58,2)-0.01</f>
        <v>1328.53</v>
      </c>
      <c r="AG58" s="223">
        <v>0.33339999999999997</v>
      </c>
      <c r="AH58" s="222">
        <f>ROUND(AI58*$AT58,2)</f>
        <v>0</v>
      </c>
      <c r="AI58" s="223"/>
      <c r="AJ58" s="222">
        <f>ROUND(AK58*$AT58,2)</f>
        <v>0</v>
      </c>
      <c r="AK58" s="223"/>
      <c r="AL58" s="222">
        <f>ROUND(AM58*$AT58,2)</f>
        <v>0</v>
      </c>
      <c r="AM58" s="223"/>
      <c r="AN58" s="222">
        <f>ROUND(AO58*$AT58,2)</f>
        <v>0</v>
      </c>
      <c r="AO58" s="223"/>
      <c r="AP58" s="222">
        <f>ROUND(AQ58*$AT58,2)</f>
        <v>0</v>
      </c>
      <c r="AQ58" s="223"/>
      <c r="AR58" s="222">
        <f>ROUND(AS58*$AT58,2)</f>
        <v>0</v>
      </c>
      <c r="AS58" s="223"/>
      <c r="AT58" s="222">
        <f>ROUND(SUM('Interceptor(mão-de-obra)'!L141:L163),2)</f>
        <v>3984.81</v>
      </c>
      <c r="AU58" s="223">
        <f>SUMIF($J$9:$AS$9,AU$9,J58:AS58)</f>
        <v>1</v>
      </c>
      <c r="AV58" s="2">
        <f>SUMIF($J$9:$AS$9,AT$9,J58:AS58)-AT58</f>
        <v>0</v>
      </c>
    </row>
    <row r="59" spans="1:48" ht="76.5" hidden="1" customHeight="1">
      <c r="A59" s="234" t="s">
        <v>62</v>
      </c>
      <c r="B59" s="862" t="s">
        <v>145</v>
      </c>
      <c r="C59" s="863"/>
      <c r="D59" s="863"/>
      <c r="E59" s="863"/>
      <c r="F59" s="863"/>
      <c r="G59" s="863"/>
      <c r="H59" s="863"/>
      <c r="I59" s="864"/>
      <c r="J59" s="222">
        <f t="shared" ref="J59:AS59" si="30">SUM(J55:J58)</f>
        <v>0</v>
      </c>
      <c r="K59" s="223">
        <f t="shared" si="30"/>
        <v>0</v>
      </c>
      <c r="L59" s="222">
        <f t="shared" si="30"/>
        <v>0</v>
      </c>
      <c r="M59" s="223">
        <f t="shared" si="30"/>
        <v>0</v>
      </c>
      <c r="N59" s="222">
        <f t="shared" si="30"/>
        <v>0</v>
      </c>
      <c r="O59" s="223">
        <f t="shared" si="30"/>
        <v>0</v>
      </c>
      <c r="P59" s="222">
        <f t="shared" si="30"/>
        <v>0</v>
      </c>
      <c r="Q59" s="223">
        <f t="shared" si="30"/>
        <v>0</v>
      </c>
      <c r="R59" s="222">
        <f t="shared" si="30"/>
        <v>0</v>
      </c>
      <c r="S59" s="223">
        <f t="shared" si="30"/>
        <v>0</v>
      </c>
      <c r="T59" s="222">
        <f t="shared" si="30"/>
        <v>11879.48</v>
      </c>
      <c r="U59" s="223"/>
      <c r="V59" s="222">
        <f t="shared" si="30"/>
        <v>25617.599999999999</v>
      </c>
      <c r="W59" s="223"/>
      <c r="X59" s="222">
        <f t="shared" si="30"/>
        <v>39184.089999999997</v>
      </c>
      <c r="Y59" s="223"/>
      <c r="Z59" s="222">
        <f t="shared" si="30"/>
        <v>25445.96</v>
      </c>
      <c r="AA59" s="223"/>
      <c r="AB59" s="222">
        <f t="shared" si="30"/>
        <v>26781.739999999998</v>
      </c>
      <c r="AC59" s="223"/>
      <c r="AD59" s="222">
        <f t="shared" si="30"/>
        <v>1328.14</v>
      </c>
      <c r="AE59" s="223"/>
      <c r="AF59" s="222">
        <f t="shared" si="30"/>
        <v>1328.53</v>
      </c>
      <c r="AG59" s="223"/>
      <c r="AH59" s="222">
        <f t="shared" si="30"/>
        <v>0</v>
      </c>
      <c r="AI59" s="223">
        <f t="shared" si="30"/>
        <v>0</v>
      </c>
      <c r="AJ59" s="222">
        <f t="shared" si="30"/>
        <v>0</v>
      </c>
      <c r="AK59" s="223">
        <f t="shared" si="30"/>
        <v>0</v>
      </c>
      <c r="AL59" s="222">
        <f t="shared" si="30"/>
        <v>0</v>
      </c>
      <c r="AM59" s="223">
        <f t="shared" si="30"/>
        <v>0</v>
      </c>
      <c r="AN59" s="222">
        <f t="shared" si="30"/>
        <v>0</v>
      </c>
      <c r="AO59" s="223">
        <f t="shared" si="30"/>
        <v>0</v>
      </c>
      <c r="AP59" s="222">
        <f t="shared" si="30"/>
        <v>0</v>
      </c>
      <c r="AQ59" s="223">
        <f t="shared" si="30"/>
        <v>0</v>
      </c>
      <c r="AR59" s="222">
        <f t="shared" si="30"/>
        <v>0</v>
      </c>
      <c r="AS59" s="223">
        <f t="shared" si="30"/>
        <v>0</v>
      </c>
      <c r="AT59" s="222">
        <f>SUM(J59:AR59)</f>
        <v>131565.54</v>
      </c>
      <c r="AU59" s="223"/>
    </row>
    <row r="60" spans="1:48" ht="76.5" hidden="1" customHeight="1">
      <c r="A60" s="234" t="s">
        <v>769</v>
      </c>
      <c r="B60" s="862" t="s">
        <v>145</v>
      </c>
      <c r="C60" s="863"/>
      <c r="D60" s="863"/>
      <c r="E60" s="863"/>
      <c r="F60" s="863"/>
      <c r="G60" s="863"/>
      <c r="H60" s="863"/>
      <c r="I60" s="864"/>
      <c r="J60" s="222" t="e">
        <f t="shared" ref="J60:AS60" si="31">J54-J59</f>
        <v>#REF!</v>
      </c>
      <c r="K60" s="223">
        <f t="shared" si="31"/>
        <v>0</v>
      </c>
      <c r="L60" s="222" t="e">
        <f t="shared" si="31"/>
        <v>#REF!</v>
      </c>
      <c r="M60" s="223">
        <f t="shared" si="31"/>
        <v>0</v>
      </c>
      <c r="N60" s="222" t="e">
        <f t="shared" si="31"/>
        <v>#REF!</v>
      </c>
      <c r="O60" s="223">
        <f t="shared" si="31"/>
        <v>0</v>
      </c>
      <c r="P60" s="222" t="e">
        <f t="shared" si="31"/>
        <v>#REF!</v>
      </c>
      <c r="Q60" s="223">
        <f t="shared" si="31"/>
        <v>0</v>
      </c>
      <c r="R60" s="222" t="e">
        <f t="shared" si="31"/>
        <v>#REF!</v>
      </c>
      <c r="S60" s="223">
        <f t="shared" si="31"/>
        <v>0</v>
      </c>
      <c r="T60" s="222" t="e">
        <f t="shared" si="31"/>
        <v>#REF!</v>
      </c>
      <c r="U60" s="223">
        <f t="shared" si="31"/>
        <v>0</v>
      </c>
      <c r="V60" s="222" t="e">
        <f t="shared" si="31"/>
        <v>#REF!</v>
      </c>
      <c r="W60" s="223">
        <f t="shared" si="31"/>
        <v>0</v>
      </c>
      <c r="X60" s="222" t="e">
        <f t="shared" si="31"/>
        <v>#REF!</v>
      </c>
      <c r="Y60" s="223">
        <f t="shared" si="31"/>
        <v>0</v>
      </c>
      <c r="Z60" s="222" t="e">
        <f t="shared" si="31"/>
        <v>#REF!</v>
      </c>
      <c r="AA60" s="223">
        <f t="shared" si="31"/>
        <v>0</v>
      </c>
      <c r="AB60" s="222" t="e">
        <f t="shared" si="31"/>
        <v>#REF!</v>
      </c>
      <c r="AC60" s="223">
        <f t="shared" si="31"/>
        <v>0</v>
      </c>
      <c r="AD60" s="222" t="e">
        <f t="shared" si="31"/>
        <v>#REF!</v>
      </c>
      <c r="AE60" s="223">
        <f t="shared" si="31"/>
        <v>0</v>
      </c>
      <c r="AF60" s="222" t="e">
        <f t="shared" si="31"/>
        <v>#REF!</v>
      </c>
      <c r="AG60" s="223">
        <f t="shared" si="31"/>
        <v>0</v>
      </c>
      <c r="AH60" s="222" t="e">
        <f t="shared" si="31"/>
        <v>#REF!</v>
      </c>
      <c r="AI60" s="223">
        <f t="shared" si="31"/>
        <v>0</v>
      </c>
      <c r="AJ60" s="222" t="e">
        <f t="shared" si="31"/>
        <v>#REF!</v>
      </c>
      <c r="AK60" s="223">
        <f t="shared" si="31"/>
        <v>0</v>
      </c>
      <c r="AL60" s="222" t="e">
        <f t="shared" si="31"/>
        <v>#REF!</v>
      </c>
      <c r="AM60" s="223">
        <f t="shared" si="31"/>
        <v>0</v>
      </c>
      <c r="AN60" s="222" t="e">
        <f t="shared" si="31"/>
        <v>#REF!</v>
      </c>
      <c r="AO60" s="223">
        <f t="shared" si="31"/>
        <v>0</v>
      </c>
      <c r="AP60" s="222" t="e">
        <f t="shared" si="31"/>
        <v>#REF!</v>
      </c>
      <c r="AQ60" s="223">
        <f t="shared" si="31"/>
        <v>0</v>
      </c>
      <c r="AR60" s="222" t="e">
        <f t="shared" si="31"/>
        <v>#REF!</v>
      </c>
      <c r="AS60" s="223">
        <f t="shared" si="31"/>
        <v>0</v>
      </c>
      <c r="AT60" s="222" t="e">
        <f>SUM(J60:AR60)</f>
        <v>#REF!</v>
      </c>
      <c r="AU60" s="223"/>
    </row>
    <row r="61" spans="1:48" ht="76.5" hidden="1" customHeight="1">
      <c r="A61" s="234" t="s">
        <v>28</v>
      </c>
      <c r="B61" s="862" t="s">
        <v>145</v>
      </c>
      <c r="C61" s="863"/>
      <c r="D61" s="863"/>
      <c r="E61" s="863"/>
      <c r="F61" s="863"/>
      <c r="G61" s="863"/>
      <c r="H61" s="863"/>
      <c r="I61" s="864"/>
      <c r="J61" s="222" t="e">
        <f t="shared" ref="J61:R61" si="32">J60</f>
        <v>#REF!</v>
      </c>
      <c r="K61" s="223">
        <f t="shared" si="32"/>
        <v>0</v>
      </c>
      <c r="L61" s="222" t="e">
        <f t="shared" si="32"/>
        <v>#REF!</v>
      </c>
      <c r="M61" s="223">
        <f t="shared" si="32"/>
        <v>0</v>
      </c>
      <c r="N61" s="222" t="e">
        <f t="shared" si="32"/>
        <v>#REF!</v>
      </c>
      <c r="O61" s="223">
        <f t="shared" si="32"/>
        <v>0</v>
      </c>
      <c r="P61" s="222" t="e">
        <f t="shared" si="32"/>
        <v>#REF!</v>
      </c>
      <c r="Q61" s="223">
        <f t="shared" si="32"/>
        <v>0</v>
      </c>
      <c r="R61" s="222" t="e">
        <f t="shared" si="32"/>
        <v>#REF!</v>
      </c>
      <c r="S61" s="223"/>
      <c r="T61" s="222"/>
      <c r="U61" s="223"/>
      <c r="V61" s="222"/>
      <c r="W61" s="223"/>
      <c r="X61" s="222"/>
      <c r="Y61" s="223"/>
      <c r="Z61" s="222"/>
      <c r="AA61" s="223"/>
      <c r="AB61" s="222"/>
      <c r="AC61" s="223"/>
      <c r="AD61" s="222"/>
      <c r="AE61" s="223"/>
      <c r="AF61" s="222"/>
      <c r="AG61" s="223"/>
      <c r="AH61" s="222"/>
      <c r="AI61" s="223"/>
      <c r="AJ61" s="222"/>
      <c r="AK61" s="223"/>
      <c r="AL61" s="222"/>
      <c r="AM61" s="223"/>
      <c r="AN61" s="222"/>
      <c r="AO61" s="223"/>
      <c r="AP61" s="222"/>
      <c r="AQ61" s="223"/>
      <c r="AR61" s="222"/>
      <c r="AS61" s="223">
        <f>AS55-AS60</f>
        <v>0</v>
      </c>
      <c r="AT61" s="222" t="e">
        <f>SUM(J61:AR61)</f>
        <v>#REF!</v>
      </c>
      <c r="AU61" s="223"/>
    </row>
    <row r="62" spans="1:48" ht="76.5" hidden="1" customHeight="1">
      <c r="A62" s="234" t="s">
        <v>60</v>
      </c>
      <c r="B62" s="862" t="s">
        <v>145</v>
      </c>
      <c r="C62" s="863"/>
      <c r="D62" s="863"/>
      <c r="E62" s="863"/>
      <c r="F62" s="863"/>
      <c r="G62" s="863"/>
      <c r="H62" s="863"/>
      <c r="I62" s="864"/>
      <c r="J62" s="222"/>
      <c r="K62" s="223"/>
      <c r="L62" s="222"/>
      <c r="M62" s="223"/>
      <c r="N62" s="222"/>
      <c r="O62" s="223"/>
      <c r="P62" s="222"/>
      <c r="Q62" s="223"/>
      <c r="R62" s="222"/>
      <c r="S62" s="223"/>
      <c r="T62" s="222" t="e">
        <f t="shared" ref="T62:AR62" si="33">T60</f>
        <v>#REF!</v>
      </c>
      <c r="U62" s="223">
        <f t="shared" si="33"/>
        <v>0</v>
      </c>
      <c r="V62" s="222" t="e">
        <f t="shared" si="33"/>
        <v>#REF!</v>
      </c>
      <c r="W62" s="223">
        <f t="shared" si="33"/>
        <v>0</v>
      </c>
      <c r="X62" s="222" t="e">
        <f t="shared" si="33"/>
        <v>#REF!</v>
      </c>
      <c r="Y62" s="223">
        <f t="shared" si="33"/>
        <v>0</v>
      </c>
      <c r="Z62" s="222" t="e">
        <f t="shared" si="33"/>
        <v>#REF!</v>
      </c>
      <c r="AA62" s="223">
        <f t="shared" si="33"/>
        <v>0</v>
      </c>
      <c r="AB62" s="222" t="e">
        <f t="shared" si="33"/>
        <v>#REF!</v>
      </c>
      <c r="AC62" s="223">
        <f t="shared" si="33"/>
        <v>0</v>
      </c>
      <c r="AD62" s="222" t="e">
        <f t="shared" si="33"/>
        <v>#REF!</v>
      </c>
      <c r="AE62" s="223">
        <f t="shared" si="33"/>
        <v>0</v>
      </c>
      <c r="AF62" s="222" t="e">
        <f t="shared" si="33"/>
        <v>#REF!</v>
      </c>
      <c r="AG62" s="223">
        <f t="shared" si="33"/>
        <v>0</v>
      </c>
      <c r="AH62" s="222" t="e">
        <f t="shared" si="33"/>
        <v>#REF!</v>
      </c>
      <c r="AI62" s="223">
        <f t="shared" si="33"/>
        <v>0</v>
      </c>
      <c r="AJ62" s="222" t="e">
        <f t="shared" si="33"/>
        <v>#REF!</v>
      </c>
      <c r="AK62" s="223">
        <f t="shared" si="33"/>
        <v>0</v>
      </c>
      <c r="AL62" s="222" t="e">
        <f t="shared" si="33"/>
        <v>#REF!</v>
      </c>
      <c r="AM62" s="223">
        <f t="shared" si="33"/>
        <v>0</v>
      </c>
      <c r="AN62" s="222" t="e">
        <f t="shared" si="33"/>
        <v>#REF!</v>
      </c>
      <c r="AO62" s="223">
        <f t="shared" si="33"/>
        <v>0</v>
      </c>
      <c r="AP62" s="222" t="e">
        <f t="shared" si="33"/>
        <v>#REF!</v>
      </c>
      <c r="AQ62" s="223">
        <f t="shared" si="33"/>
        <v>0</v>
      </c>
      <c r="AR62" s="222" t="e">
        <f t="shared" si="33"/>
        <v>#REF!</v>
      </c>
      <c r="AS62" s="223">
        <f>AS56-AS61</f>
        <v>0</v>
      </c>
      <c r="AT62" s="222" t="e">
        <f>SUM(J62:AR62)</f>
        <v>#REF!</v>
      </c>
      <c r="AU62" s="223"/>
    </row>
    <row r="63" spans="1:48" ht="76.5" hidden="1" customHeight="1">
      <c r="A63" s="234" t="s">
        <v>61</v>
      </c>
      <c r="B63" s="862" t="s">
        <v>145</v>
      </c>
      <c r="C63" s="863"/>
      <c r="D63" s="863"/>
      <c r="E63" s="863"/>
      <c r="F63" s="863"/>
      <c r="G63" s="863"/>
      <c r="H63" s="863"/>
      <c r="I63" s="864"/>
      <c r="J63" s="222" t="e">
        <f t="shared" ref="J63:AR63" si="34">ROUND($AT$63/$AT$62*J62,2)</f>
        <v>#REF!</v>
      </c>
      <c r="K63" s="223" t="e">
        <f t="shared" si="34"/>
        <v>#REF!</v>
      </c>
      <c r="L63" s="222" t="e">
        <f t="shared" si="34"/>
        <v>#REF!</v>
      </c>
      <c r="M63" s="223" t="e">
        <f t="shared" si="34"/>
        <v>#REF!</v>
      </c>
      <c r="N63" s="222" t="e">
        <f t="shared" si="34"/>
        <v>#REF!</v>
      </c>
      <c r="O63" s="223" t="e">
        <f t="shared" si="34"/>
        <v>#REF!</v>
      </c>
      <c r="P63" s="222" t="e">
        <f t="shared" si="34"/>
        <v>#REF!</v>
      </c>
      <c r="Q63" s="223" t="e">
        <f t="shared" si="34"/>
        <v>#REF!</v>
      </c>
      <c r="R63" s="222" t="e">
        <f t="shared" si="34"/>
        <v>#REF!</v>
      </c>
      <c r="S63" s="223" t="e">
        <f t="shared" si="34"/>
        <v>#REF!</v>
      </c>
      <c r="T63" s="222" t="e">
        <f t="shared" si="34"/>
        <v>#REF!</v>
      </c>
      <c r="U63" s="223" t="e">
        <f t="shared" si="34"/>
        <v>#REF!</v>
      </c>
      <c r="V63" s="222" t="e">
        <f t="shared" si="34"/>
        <v>#REF!</v>
      </c>
      <c r="W63" s="223" t="e">
        <f t="shared" si="34"/>
        <v>#REF!</v>
      </c>
      <c r="X63" s="222" t="e">
        <f t="shared" si="34"/>
        <v>#REF!</v>
      </c>
      <c r="Y63" s="223" t="e">
        <f t="shared" si="34"/>
        <v>#REF!</v>
      </c>
      <c r="Z63" s="222" t="e">
        <f t="shared" si="34"/>
        <v>#REF!</v>
      </c>
      <c r="AA63" s="223" t="e">
        <f t="shared" si="34"/>
        <v>#REF!</v>
      </c>
      <c r="AB63" s="222" t="e">
        <f t="shared" si="34"/>
        <v>#REF!</v>
      </c>
      <c r="AC63" s="223" t="e">
        <f t="shared" si="34"/>
        <v>#REF!</v>
      </c>
      <c r="AD63" s="222" t="e">
        <f t="shared" si="34"/>
        <v>#REF!</v>
      </c>
      <c r="AE63" s="223" t="e">
        <f t="shared" si="34"/>
        <v>#REF!</v>
      </c>
      <c r="AF63" s="222" t="e">
        <f t="shared" si="34"/>
        <v>#REF!</v>
      </c>
      <c r="AG63" s="223" t="e">
        <f t="shared" si="34"/>
        <v>#REF!</v>
      </c>
      <c r="AH63" s="222" t="e">
        <f t="shared" si="34"/>
        <v>#REF!</v>
      </c>
      <c r="AI63" s="223" t="e">
        <f t="shared" si="34"/>
        <v>#REF!</v>
      </c>
      <c r="AJ63" s="222" t="e">
        <f t="shared" si="34"/>
        <v>#REF!</v>
      </c>
      <c r="AK63" s="223" t="e">
        <f t="shared" si="34"/>
        <v>#REF!</v>
      </c>
      <c r="AL63" s="222" t="e">
        <f t="shared" si="34"/>
        <v>#REF!</v>
      </c>
      <c r="AM63" s="223" t="e">
        <f t="shared" si="34"/>
        <v>#REF!</v>
      </c>
      <c r="AN63" s="222" t="e">
        <f t="shared" si="34"/>
        <v>#REF!</v>
      </c>
      <c r="AO63" s="223" t="e">
        <f t="shared" si="34"/>
        <v>#REF!</v>
      </c>
      <c r="AP63" s="222" t="e">
        <f t="shared" si="34"/>
        <v>#REF!</v>
      </c>
      <c r="AQ63" s="223" t="e">
        <f t="shared" si="34"/>
        <v>#REF!</v>
      </c>
      <c r="AR63" s="222" t="e">
        <f t="shared" si="34"/>
        <v>#REF!</v>
      </c>
      <c r="AS63" s="223">
        <f>AS57-AS62</f>
        <v>0</v>
      </c>
      <c r="AT63" s="222">
        <v>622985.6</v>
      </c>
      <c r="AU63" s="223"/>
    </row>
    <row r="64" spans="1:48" hidden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</row>
    <row r="65" spans="1:47" ht="76.5" hidden="1" customHeight="1">
      <c r="A65" s="234" t="s">
        <v>63</v>
      </c>
      <c r="B65" s="862" t="s">
        <v>145</v>
      </c>
      <c r="C65" s="863"/>
      <c r="D65" s="863"/>
      <c r="E65" s="863"/>
      <c r="F65" s="863"/>
      <c r="G65" s="863"/>
      <c r="H65" s="863"/>
      <c r="I65" s="864"/>
      <c r="J65" s="222" t="e">
        <f t="shared" ref="J65:AR65" si="35">J62-J63</f>
        <v>#REF!</v>
      </c>
      <c r="K65" s="223" t="e">
        <f t="shared" si="35"/>
        <v>#REF!</v>
      </c>
      <c r="L65" s="222" t="e">
        <f t="shared" si="35"/>
        <v>#REF!</v>
      </c>
      <c r="M65" s="223" t="e">
        <f t="shared" si="35"/>
        <v>#REF!</v>
      </c>
      <c r="N65" s="222" t="e">
        <f t="shared" si="35"/>
        <v>#REF!</v>
      </c>
      <c r="O65" s="223" t="e">
        <f t="shared" si="35"/>
        <v>#REF!</v>
      </c>
      <c r="P65" s="222" t="e">
        <f t="shared" si="35"/>
        <v>#REF!</v>
      </c>
      <c r="Q65" s="223" t="e">
        <f t="shared" si="35"/>
        <v>#REF!</v>
      </c>
      <c r="R65" s="222" t="e">
        <f t="shared" si="35"/>
        <v>#REF!</v>
      </c>
      <c r="S65" s="223" t="e">
        <f t="shared" si="35"/>
        <v>#REF!</v>
      </c>
      <c r="T65" s="222" t="e">
        <f t="shared" si="35"/>
        <v>#REF!</v>
      </c>
      <c r="U65" s="223" t="e">
        <f t="shared" si="35"/>
        <v>#REF!</v>
      </c>
      <c r="V65" s="222" t="e">
        <f t="shared" si="35"/>
        <v>#REF!</v>
      </c>
      <c r="W65" s="223" t="e">
        <f t="shared" si="35"/>
        <v>#REF!</v>
      </c>
      <c r="X65" s="222" t="e">
        <f t="shared" si="35"/>
        <v>#REF!</v>
      </c>
      <c r="Y65" s="223" t="e">
        <f t="shared" si="35"/>
        <v>#REF!</v>
      </c>
      <c r="Z65" s="222" t="e">
        <f t="shared" si="35"/>
        <v>#REF!</v>
      </c>
      <c r="AA65" s="223" t="e">
        <f t="shared" si="35"/>
        <v>#REF!</v>
      </c>
      <c r="AB65" s="222" t="e">
        <f t="shared" si="35"/>
        <v>#REF!</v>
      </c>
      <c r="AC65" s="223" t="e">
        <f t="shared" si="35"/>
        <v>#REF!</v>
      </c>
      <c r="AD65" s="222" t="e">
        <f t="shared" si="35"/>
        <v>#REF!</v>
      </c>
      <c r="AE65" s="223" t="e">
        <f t="shared" si="35"/>
        <v>#REF!</v>
      </c>
      <c r="AF65" s="222" t="e">
        <f t="shared" si="35"/>
        <v>#REF!</v>
      </c>
      <c r="AG65" s="223" t="e">
        <f t="shared" si="35"/>
        <v>#REF!</v>
      </c>
      <c r="AH65" s="222" t="e">
        <f t="shared" si="35"/>
        <v>#REF!</v>
      </c>
      <c r="AI65" s="223" t="e">
        <f t="shared" si="35"/>
        <v>#REF!</v>
      </c>
      <c r="AJ65" s="222" t="e">
        <f t="shared" si="35"/>
        <v>#REF!</v>
      </c>
      <c r="AK65" s="223" t="e">
        <f t="shared" si="35"/>
        <v>#REF!</v>
      </c>
      <c r="AL65" s="222" t="e">
        <f t="shared" si="35"/>
        <v>#REF!</v>
      </c>
      <c r="AM65" s="223" t="e">
        <f t="shared" si="35"/>
        <v>#REF!</v>
      </c>
      <c r="AN65" s="222" t="e">
        <f t="shared" si="35"/>
        <v>#REF!</v>
      </c>
      <c r="AO65" s="223" t="e">
        <f t="shared" si="35"/>
        <v>#REF!</v>
      </c>
      <c r="AP65" s="222" t="e">
        <f t="shared" si="35"/>
        <v>#REF!</v>
      </c>
      <c r="AQ65" s="223" t="e">
        <f t="shared" si="35"/>
        <v>#REF!</v>
      </c>
      <c r="AR65" s="222" t="e">
        <f t="shared" si="35"/>
        <v>#REF!</v>
      </c>
      <c r="AS65" s="223"/>
      <c r="AT65" s="222" t="e">
        <f t="shared" ref="AT65:AT72" si="36">SUM(J65:AR65)</f>
        <v>#REF!</v>
      </c>
      <c r="AU65" s="223"/>
    </row>
    <row r="66" spans="1:47" ht="76.5" customHeight="1">
      <c r="A66" s="236" t="s">
        <v>64</v>
      </c>
      <c r="B66" s="862" t="s">
        <v>145</v>
      </c>
      <c r="C66" s="863"/>
      <c r="D66" s="863"/>
      <c r="E66" s="863"/>
      <c r="F66" s="863"/>
      <c r="G66" s="863"/>
      <c r="H66" s="863"/>
      <c r="I66" s="864"/>
      <c r="J66" s="222" t="e">
        <f t="shared" ref="J66:AR66" si="37">J65+J61</f>
        <v>#REF!</v>
      </c>
      <c r="K66" s="223" t="e">
        <f t="shared" si="37"/>
        <v>#REF!</v>
      </c>
      <c r="L66" s="222" t="e">
        <f t="shared" si="37"/>
        <v>#REF!</v>
      </c>
      <c r="M66" s="223" t="e">
        <f t="shared" si="37"/>
        <v>#REF!</v>
      </c>
      <c r="N66" s="222" t="e">
        <f t="shared" si="37"/>
        <v>#REF!</v>
      </c>
      <c r="O66" s="223" t="e">
        <f t="shared" si="37"/>
        <v>#REF!</v>
      </c>
      <c r="P66" s="222" t="e">
        <f t="shared" si="37"/>
        <v>#REF!</v>
      </c>
      <c r="Q66" s="223" t="e">
        <f t="shared" si="37"/>
        <v>#REF!</v>
      </c>
      <c r="R66" s="222" t="e">
        <f t="shared" si="37"/>
        <v>#REF!</v>
      </c>
      <c r="S66" s="223" t="e">
        <f t="shared" si="37"/>
        <v>#REF!</v>
      </c>
      <c r="T66" s="222" t="e">
        <f t="shared" si="37"/>
        <v>#REF!</v>
      </c>
      <c r="U66" s="223" t="e">
        <f t="shared" si="37"/>
        <v>#REF!</v>
      </c>
      <c r="V66" s="222" t="e">
        <f t="shared" si="37"/>
        <v>#REF!</v>
      </c>
      <c r="W66" s="223" t="e">
        <f t="shared" si="37"/>
        <v>#REF!</v>
      </c>
      <c r="X66" s="222" t="e">
        <f t="shared" si="37"/>
        <v>#REF!</v>
      </c>
      <c r="Y66" s="223" t="e">
        <f t="shared" si="37"/>
        <v>#REF!</v>
      </c>
      <c r="Z66" s="222" t="e">
        <f t="shared" si="37"/>
        <v>#REF!</v>
      </c>
      <c r="AA66" s="223" t="e">
        <f t="shared" si="37"/>
        <v>#REF!</v>
      </c>
      <c r="AB66" s="222" t="e">
        <f t="shared" si="37"/>
        <v>#REF!</v>
      </c>
      <c r="AC66" s="223" t="e">
        <f t="shared" si="37"/>
        <v>#REF!</v>
      </c>
      <c r="AD66" s="222" t="e">
        <f t="shared" si="37"/>
        <v>#REF!</v>
      </c>
      <c r="AE66" s="223" t="e">
        <f t="shared" si="37"/>
        <v>#REF!</v>
      </c>
      <c r="AF66" s="222" t="e">
        <f t="shared" si="37"/>
        <v>#REF!</v>
      </c>
      <c r="AG66" s="223" t="e">
        <f t="shared" si="37"/>
        <v>#REF!</v>
      </c>
      <c r="AH66" s="222" t="e">
        <f t="shared" si="37"/>
        <v>#REF!</v>
      </c>
      <c r="AI66" s="223" t="e">
        <f t="shared" si="37"/>
        <v>#REF!</v>
      </c>
      <c r="AJ66" s="222" t="e">
        <f t="shared" si="37"/>
        <v>#REF!</v>
      </c>
      <c r="AK66" s="223" t="e">
        <f t="shared" si="37"/>
        <v>#REF!</v>
      </c>
      <c r="AL66" s="222" t="e">
        <f t="shared" si="37"/>
        <v>#REF!</v>
      </c>
      <c r="AM66" s="223" t="e">
        <f t="shared" si="37"/>
        <v>#REF!</v>
      </c>
      <c r="AN66" s="222" t="e">
        <f t="shared" si="37"/>
        <v>#REF!</v>
      </c>
      <c r="AO66" s="223" t="e">
        <f t="shared" si="37"/>
        <v>#REF!</v>
      </c>
      <c r="AP66" s="222" t="e">
        <f t="shared" si="37"/>
        <v>#REF!</v>
      </c>
      <c r="AQ66" s="223" t="e">
        <f t="shared" si="37"/>
        <v>#REF!</v>
      </c>
      <c r="AR66" s="222" t="e">
        <f t="shared" si="37"/>
        <v>#REF!</v>
      </c>
      <c r="AS66" s="223"/>
      <c r="AT66" s="222" t="e">
        <f t="shared" si="36"/>
        <v>#REF!</v>
      </c>
      <c r="AU66" s="223"/>
    </row>
    <row r="67" spans="1:47" ht="76.5" hidden="1" customHeight="1">
      <c r="A67" s="236" t="s">
        <v>770</v>
      </c>
      <c r="B67" s="862" t="s">
        <v>145</v>
      </c>
      <c r="C67" s="863"/>
      <c r="D67" s="863"/>
      <c r="E67" s="863"/>
      <c r="F67" s="863"/>
      <c r="G67" s="863"/>
      <c r="H67" s="863"/>
      <c r="I67" s="864"/>
      <c r="J67" s="222">
        <f>SUM(J59:Q59)</f>
        <v>0</v>
      </c>
      <c r="K67" s="223"/>
      <c r="L67" s="222"/>
      <c r="M67" s="223"/>
      <c r="N67" s="222"/>
      <c r="O67" s="223"/>
      <c r="P67" s="222"/>
      <c r="Q67" s="223"/>
      <c r="R67" s="222"/>
      <c r="S67" s="223"/>
      <c r="T67" s="222">
        <f>SUM(T59:X59)</f>
        <v>76681.17</v>
      </c>
      <c r="U67" s="223"/>
      <c r="V67" s="222"/>
      <c r="W67" s="223"/>
      <c r="X67" s="222"/>
      <c r="Y67" s="223"/>
      <c r="Z67" s="222">
        <f>SUM(Z59:AG59)</f>
        <v>54884.369999999995</v>
      </c>
      <c r="AA67" s="223"/>
      <c r="AB67" s="222"/>
      <c r="AC67" s="223"/>
      <c r="AD67" s="222"/>
      <c r="AE67" s="223"/>
      <c r="AF67" s="222"/>
      <c r="AG67" s="223"/>
      <c r="AH67" s="222">
        <f>SUM(AH59:AO59)</f>
        <v>0</v>
      </c>
      <c r="AI67" s="223"/>
      <c r="AJ67" s="222"/>
      <c r="AK67" s="223"/>
      <c r="AL67" s="222"/>
      <c r="AM67" s="223"/>
      <c r="AN67" s="222"/>
      <c r="AO67" s="223"/>
      <c r="AP67" s="222">
        <f>SUM(AP59:AR59)</f>
        <v>0</v>
      </c>
      <c r="AQ67" s="223"/>
      <c r="AR67" s="222"/>
      <c r="AS67" s="223"/>
      <c r="AT67" s="222">
        <f t="shared" si="36"/>
        <v>131565.53999999998</v>
      </c>
      <c r="AU67" s="223"/>
    </row>
    <row r="68" spans="1:47" ht="76.5" hidden="1" customHeight="1">
      <c r="A68" s="236" t="s">
        <v>771</v>
      </c>
      <c r="B68" s="862" t="s">
        <v>145</v>
      </c>
      <c r="C68" s="863"/>
      <c r="D68" s="863"/>
      <c r="E68" s="863"/>
      <c r="F68" s="863"/>
      <c r="G68" s="863"/>
      <c r="H68" s="863"/>
      <c r="I68" s="864"/>
      <c r="J68" s="222" t="e">
        <f>SUM(J63:Q63)</f>
        <v>#REF!</v>
      </c>
      <c r="K68" s="223"/>
      <c r="L68" s="222"/>
      <c r="M68" s="223"/>
      <c r="N68" s="222"/>
      <c r="O68" s="223"/>
      <c r="P68" s="222"/>
      <c r="Q68" s="223"/>
      <c r="R68" s="222"/>
      <c r="S68" s="223"/>
      <c r="T68" s="222" t="e">
        <f>SUM(T63:Y63)</f>
        <v>#REF!</v>
      </c>
      <c r="U68" s="223"/>
      <c r="V68" s="222"/>
      <c r="W68" s="223"/>
      <c r="X68" s="222"/>
      <c r="Y68" s="223"/>
      <c r="Z68" s="222" t="e">
        <f>SUM(Z63:AG63)</f>
        <v>#REF!</v>
      </c>
      <c r="AA68" s="223"/>
      <c r="AB68" s="222"/>
      <c r="AC68" s="223"/>
      <c r="AD68" s="222"/>
      <c r="AE68" s="223"/>
      <c r="AF68" s="222"/>
      <c r="AG68" s="223"/>
      <c r="AH68" s="222" t="e">
        <f>SUM(AH63:AO63)</f>
        <v>#REF!</v>
      </c>
      <c r="AI68" s="223"/>
      <c r="AJ68" s="222"/>
      <c r="AK68" s="223"/>
      <c r="AL68" s="222"/>
      <c r="AM68" s="223"/>
      <c r="AN68" s="222"/>
      <c r="AO68" s="223"/>
      <c r="AP68" s="222" t="e">
        <f>SUM(AP63:AR63)</f>
        <v>#REF!</v>
      </c>
      <c r="AQ68" s="223"/>
      <c r="AR68" s="222"/>
      <c r="AS68" s="223"/>
      <c r="AT68" s="222" t="e">
        <f t="shared" si="36"/>
        <v>#REF!</v>
      </c>
      <c r="AU68" s="223"/>
    </row>
    <row r="69" spans="1:47" ht="76.5" hidden="1" customHeight="1">
      <c r="A69" s="236" t="s">
        <v>772</v>
      </c>
      <c r="B69" s="862" t="s">
        <v>145</v>
      </c>
      <c r="C69" s="863"/>
      <c r="D69" s="863"/>
      <c r="E69" s="863"/>
      <c r="F69" s="863"/>
      <c r="G69" s="863"/>
      <c r="H69" s="863"/>
      <c r="I69" s="864"/>
      <c r="J69" s="222">
        <f t="shared" ref="J69:T69" si="38">SUM(J10:J13)-J59</f>
        <v>0</v>
      </c>
      <c r="K69" s="223">
        <f t="shared" si="38"/>
        <v>0</v>
      </c>
      <c r="L69" s="222">
        <f t="shared" si="38"/>
        <v>0</v>
      </c>
      <c r="M69" s="223">
        <f t="shared" si="38"/>
        <v>0</v>
      </c>
      <c r="N69" s="222">
        <f t="shared" si="38"/>
        <v>0</v>
      </c>
      <c r="O69" s="223">
        <f t="shared" si="38"/>
        <v>0</v>
      </c>
      <c r="P69" s="222">
        <f t="shared" si="38"/>
        <v>0</v>
      </c>
      <c r="Q69" s="223">
        <f t="shared" si="38"/>
        <v>0</v>
      </c>
      <c r="R69" s="222">
        <f t="shared" si="38"/>
        <v>0</v>
      </c>
      <c r="S69" s="223">
        <f t="shared" si="38"/>
        <v>0</v>
      </c>
      <c r="T69" s="222">
        <f t="shared" si="38"/>
        <v>8578</v>
      </c>
      <c r="U69" s="223"/>
      <c r="V69" s="222">
        <f>SUM(V10:V13)-V59</f>
        <v>8578</v>
      </c>
      <c r="W69" s="223"/>
      <c r="X69" s="222">
        <f>SUM(X10:X13)-X59</f>
        <v>41976.920000000013</v>
      </c>
      <c r="Y69" s="223"/>
      <c r="Z69" s="222">
        <f>SUM(Z10:Z13)-Z59</f>
        <v>41976.920000000006</v>
      </c>
      <c r="AA69" s="223"/>
      <c r="AB69" s="222">
        <f>SUM(AB10:AB13)-AB59</f>
        <v>82595.200000000012</v>
      </c>
      <c r="AC69" s="223"/>
      <c r="AD69" s="222">
        <f>SUM(AD10:AD13)-AD59</f>
        <v>40605.68</v>
      </c>
      <c r="AE69" s="223"/>
      <c r="AF69" s="222">
        <f>SUM(AF10:AF13)-AF59</f>
        <v>40617.870000000003</v>
      </c>
      <c r="AG69" s="223"/>
      <c r="AH69" s="222">
        <f t="shared" ref="AH69:AR69" si="39">SUM(AH10:AH13)-AH59</f>
        <v>0</v>
      </c>
      <c r="AI69" s="223">
        <f t="shared" si="39"/>
        <v>0</v>
      </c>
      <c r="AJ69" s="222">
        <f t="shared" si="39"/>
        <v>0</v>
      </c>
      <c r="AK69" s="223">
        <f t="shared" si="39"/>
        <v>0</v>
      </c>
      <c r="AL69" s="222">
        <f t="shared" si="39"/>
        <v>0</v>
      </c>
      <c r="AM69" s="223">
        <f t="shared" si="39"/>
        <v>0</v>
      </c>
      <c r="AN69" s="222">
        <f t="shared" si="39"/>
        <v>0</v>
      </c>
      <c r="AO69" s="223">
        <f t="shared" si="39"/>
        <v>0</v>
      </c>
      <c r="AP69" s="222">
        <f t="shared" si="39"/>
        <v>0</v>
      </c>
      <c r="AQ69" s="223">
        <f t="shared" si="39"/>
        <v>0</v>
      </c>
      <c r="AR69" s="222">
        <f t="shared" si="39"/>
        <v>0</v>
      </c>
      <c r="AS69" s="223"/>
      <c r="AT69" s="222">
        <f t="shared" si="36"/>
        <v>264928.59000000003</v>
      </c>
      <c r="AU69" s="223"/>
    </row>
    <row r="70" spans="1:47" ht="76.5" hidden="1" customHeight="1">
      <c r="A70" s="236" t="s">
        <v>773</v>
      </c>
      <c r="B70" s="862" t="s">
        <v>145</v>
      </c>
      <c r="C70" s="863"/>
      <c r="D70" s="863"/>
      <c r="E70" s="863"/>
      <c r="F70" s="863"/>
      <c r="G70" s="863"/>
      <c r="H70" s="863"/>
      <c r="I70" s="864"/>
      <c r="J70" s="222">
        <f>SUM(J69:Q69)</f>
        <v>0</v>
      </c>
      <c r="K70" s="223"/>
      <c r="L70" s="222"/>
      <c r="M70" s="223"/>
      <c r="N70" s="222"/>
      <c r="O70" s="223"/>
      <c r="P70" s="222"/>
      <c r="Q70" s="223"/>
      <c r="R70" s="222">
        <f>SUM(R69:Y69)</f>
        <v>59132.920000000013</v>
      </c>
      <c r="S70" s="223"/>
      <c r="T70" s="222"/>
      <c r="U70" s="223"/>
      <c r="V70" s="222"/>
      <c r="W70" s="223"/>
      <c r="X70" s="222"/>
      <c r="Y70" s="223"/>
      <c r="Z70" s="222">
        <f>SUM(Z69:AG69)</f>
        <v>205795.67</v>
      </c>
      <c r="AA70" s="223"/>
      <c r="AB70" s="222"/>
      <c r="AC70" s="223"/>
      <c r="AD70" s="222"/>
      <c r="AE70" s="223"/>
      <c r="AF70" s="222"/>
      <c r="AG70" s="223"/>
      <c r="AH70" s="222">
        <f>SUM(AH69:AO69)</f>
        <v>0</v>
      </c>
      <c r="AI70" s="223"/>
      <c r="AJ70" s="222"/>
      <c r="AK70" s="223"/>
      <c r="AL70" s="222"/>
      <c r="AM70" s="223"/>
      <c r="AN70" s="222"/>
      <c r="AO70" s="223"/>
      <c r="AP70" s="222">
        <f>SUM(AP69:AS69)</f>
        <v>0</v>
      </c>
      <c r="AQ70" s="223"/>
      <c r="AR70" s="222"/>
      <c r="AS70" s="223"/>
      <c r="AT70" s="222">
        <f t="shared" si="36"/>
        <v>264928.59000000003</v>
      </c>
      <c r="AU70" s="223"/>
    </row>
    <row r="71" spans="1:47" ht="76.5" hidden="1" customHeight="1">
      <c r="A71" s="236" t="s">
        <v>774</v>
      </c>
      <c r="B71" s="862" t="s">
        <v>145</v>
      </c>
      <c r="C71" s="863"/>
      <c r="D71" s="863"/>
      <c r="E71" s="863"/>
      <c r="F71" s="863"/>
      <c r="G71" s="863"/>
      <c r="H71" s="863"/>
      <c r="I71" s="864"/>
      <c r="J71" s="222" t="e">
        <f>SUM(J66:Q66)-J70</f>
        <v>#REF!</v>
      </c>
      <c r="K71" s="223"/>
      <c r="L71" s="222"/>
      <c r="M71" s="223"/>
      <c r="N71" s="222"/>
      <c r="O71" s="223"/>
      <c r="P71" s="222"/>
      <c r="Q71" s="223"/>
      <c r="R71" s="222" t="e">
        <f>SUM(R66:Y66)-R70</f>
        <v>#REF!</v>
      </c>
      <c r="S71" s="223"/>
      <c r="T71" s="222"/>
      <c r="U71" s="223"/>
      <c r="V71" s="222"/>
      <c r="W71" s="223"/>
      <c r="X71" s="222"/>
      <c r="Y71" s="223"/>
      <c r="Z71" s="222" t="e">
        <f>SUM(Z66:AG66)-Z70</f>
        <v>#REF!</v>
      </c>
      <c r="AA71" s="223"/>
      <c r="AB71" s="222"/>
      <c r="AC71" s="223"/>
      <c r="AD71" s="222"/>
      <c r="AE71" s="223"/>
      <c r="AF71" s="222"/>
      <c r="AG71" s="223"/>
      <c r="AH71" s="222" t="e">
        <f>SUM(AH66:AO66)-AH70</f>
        <v>#REF!</v>
      </c>
      <c r="AI71" s="223"/>
      <c r="AJ71" s="222"/>
      <c r="AK71" s="223"/>
      <c r="AL71" s="222"/>
      <c r="AM71" s="223"/>
      <c r="AN71" s="222"/>
      <c r="AO71" s="223"/>
      <c r="AP71" s="222" t="e">
        <f>SUM(AP66:AR66)-AP70</f>
        <v>#REF!</v>
      </c>
      <c r="AQ71" s="223"/>
      <c r="AR71" s="222"/>
      <c r="AS71" s="223"/>
      <c r="AT71" s="222" t="e">
        <f t="shared" si="36"/>
        <v>#REF!</v>
      </c>
      <c r="AU71" s="223"/>
    </row>
    <row r="72" spans="1:47" ht="76.5" customHeight="1">
      <c r="A72" s="236" t="s">
        <v>65</v>
      </c>
      <c r="B72" s="862" t="s">
        <v>145</v>
      </c>
      <c r="C72" s="863"/>
      <c r="D72" s="863"/>
      <c r="E72" s="863"/>
      <c r="F72" s="863"/>
      <c r="G72" s="863"/>
      <c r="H72" s="863"/>
      <c r="I72" s="864"/>
      <c r="J72" s="222" t="e">
        <f t="shared" ref="J72:AR72" si="40">J63+J59</f>
        <v>#REF!</v>
      </c>
      <c r="K72" s="223" t="e">
        <f t="shared" si="40"/>
        <v>#REF!</v>
      </c>
      <c r="L72" s="222" t="e">
        <f t="shared" si="40"/>
        <v>#REF!</v>
      </c>
      <c r="M72" s="223" t="e">
        <f t="shared" si="40"/>
        <v>#REF!</v>
      </c>
      <c r="N72" s="222" t="e">
        <f t="shared" si="40"/>
        <v>#REF!</v>
      </c>
      <c r="O72" s="223" t="e">
        <f t="shared" si="40"/>
        <v>#REF!</v>
      </c>
      <c r="P72" s="222" t="e">
        <f t="shared" si="40"/>
        <v>#REF!</v>
      </c>
      <c r="Q72" s="223" t="e">
        <f t="shared" si="40"/>
        <v>#REF!</v>
      </c>
      <c r="R72" s="222" t="e">
        <f t="shared" si="40"/>
        <v>#REF!</v>
      </c>
      <c r="S72" s="223" t="e">
        <f t="shared" si="40"/>
        <v>#REF!</v>
      </c>
      <c r="T72" s="222" t="e">
        <f t="shared" si="40"/>
        <v>#REF!</v>
      </c>
      <c r="U72" s="223" t="e">
        <f t="shared" si="40"/>
        <v>#REF!</v>
      </c>
      <c r="V72" s="222" t="e">
        <f t="shared" si="40"/>
        <v>#REF!</v>
      </c>
      <c r="W72" s="223" t="e">
        <f t="shared" si="40"/>
        <v>#REF!</v>
      </c>
      <c r="X72" s="222" t="e">
        <f t="shared" si="40"/>
        <v>#REF!</v>
      </c>
      <c r="Y72" s="223" t="e">
        <f t="shared" si="40"/>
        <v>#REF!</v>
      </c>
      <c r="Z72" s="222" t="e">
        <f t="shared" si="40"/>
        <v>#REF!</v>
      </c>
      <c r="AA72" s="223" t="e">
        <f t="shared" si="40"/>
        <v>#REF!</v>
      </c>
      <c r="AB72" s="222" t="e">
        <f t="shared" si="40"/>
        <v>#REF!</v>
      </c>
      <c r="AC72" s="223" t="e">
        <f t="shared" si="40"/>
        <v>#REF!</v>
      </c>
      <c r="AD72" s="222" t="e">
        <f t="shared" si="40"/>
        <v>#REF!</v>
      </c>
      <c r="AE72" s="223" t="e">
        <f t="shared" si="40"/>
        <v>#REF!</v>
      </c>
      <c r="AF72" s="222" t="e">
        <f t="shared" si="40"/>
        <v>#REF!</v>
      </c>
      <c r="AG72" s="223" t="e">
        <f t="shared" si="40"/>
        <v>#REF!</v>
      </c>
      <c r="AH72" s="222" t="e">
        <f t="shared" si="40"/>
        <v>#REF!</v>
      </c>
      <c r="AI72" s="223" t="e">
        <f t="shared" si="40"/>
        <v>#REF!</v>
      </c>
      <c r="AJ72" s="222" t="e">
        <f t="shared" si="40"/>
        <v>#REF!</v>
      </c>
      <c r="AK72" s="223" t="e">
        <f t="shared" si="40"/>
        <v>#REF!</v>
      </c>
      <c r="AL72" s="222" t="e">
        <f t="shared" si="40"/>
        <v>#REF!</v>
      </c>
      <c r="AM72" s="223" t="e">
        <f t="shared" si="40"/>
        <v>#REF!</v>
      </c>
      <c r="AN72" s="222" t="e">
        <f t="shared" si="40"/>
        <v>#REF!</v>
      </c>
      <c r="AO72" s="223" t="e">
        <f t="shared" si="40"/>
        <v>#REF!</v>
      </c>
      <c r="AP72" s="222" t="e">
        <f t="shared" si="40"/>
        <v>#REF!</v>
      </c>
      <c r="AQ72" s="223" t="e">
        <f t="shared" si="40"/>
        <v>#REF!</v>
      </c>
      <c r="AR72" s="222" t="e">
        <f t="shared" si="40"/>
        <v>#REF!</v>
      </c>
      <c r="AS72" s="223"/>
      <c r="AT72" s="222" t="e">
        <f t="shared" si="36"/>
        <v>#REF!</v>
      </c>
      <c r="AU72" s="223"/>
    </row>
  </sheetData>
  <mergeCells count="88">
    <mergeCell ref="B54:I54"/>
    <mergeCell ref="B21:I21"/>
    <mergeCell ref="B11:I11"/>
    <mergeCell ref="B12:I12"/>
    <mergeCell ref="B13:I13"/>
    <mergeCell ref="B26:I26"/>
    <mergeCell ref="B27:I27"/>
    <mergeCell ref="B28:I28"/>
    <mergeCell ref="B29:I29"/>
    <mergeCell ref="B22:I22"/>
    <mergeCell ref="B19:I19"/>
    <mergeCell ref="B20:I20"/>
    <mergeCell ref="B38:I38"/>
    <mergeCell ref="B39:I39"/>
    <mergeCell ref="B40:I40"/>
    <mergeCell ref="B41:I41"/>
    <mergeCell ref="B71:I71"/>
    <mergeCell ref="B72:I72"/>
    <mergeCell ref="B65:I65"/>
    <mergeCell ref="B66:I66"/>
    <mergeCell ref="B67:I67"/>
    <mergeCell ref="B69:I69"/>
    <mergeCell ref="B68:I68"/>
    <mergeCell ref="B70:I70"/>
    <mergeCell ref="B8:C8"/>
    <mergeCell ref="B14:I14"/>
    <mergeCell ref="B16:I16"/>
    <mergeCell ref="B17:I17"/>
    <mergeCell ref="B18:I18"/>
    <mergeCell ref="B15:I15"/>
    <mergeCell ref="B55:I55"/>
    <mergeCell ref="B63:I63"/>
    <mergeCell ref="B59:I59"/>
    <mergeCell ref="B60:I60"/>
    <mergeCell ref="B61:I61"/>
    <mergeCell ref="B62:I62"/>
    <mergeCell ref="B56:I56"/>
    <mergeCell ref="B57:I57"/>
    <mergeCell ref="B58:I58"/>
    <mergeCell ref="AL8:AM8"/>
    <mergeCell ref="AN8:AO8"/>
    <mergeCell ref="AP8:AQ8"/>
    <mergeCell ref="D8:E8"/>
    <mergeCell ref="V8:W8"/>
    <mergeCell ref="R8:S8"/>
    <mergeCell ref="J8:K8"/>
    <mergeCell ref="L8:M8"/>
    <mergeCell ref="N8:O8"/>
    <mergeCell ref="P8:Q8"/>
    <mergeCell ref="F8:G8"/>
    <mergeCell ref="H8:I8"/>
    <mergeCell ref="A2:AU2"/>
    <mergeCell ref="A1:AU1"/>
    <mergeCell ref="B10:I10"/>
    <mergeCell ref="AR8:AS8"/>
    <mergeCell ref="AB8:AC8"/>
    <mergeCell ref="AD8:AE8"/>
    <mergeCell ref="AT8:AU8"/>
    <mergeCell ref="A6:AU6"/>
    <mergeCell ref="T8:U8"/>
    <mergeCell ref="A5:AU5"/>
    <mergeCell ref="X8:Y8"/>
    <mergeCell ref="Z8:AA8"/>
    <mergeCell ref="AF8:AG8"/>
    <mergeCell ref="A4:AU4"/>
    <mergeCell ref="AH8:AI8"/>
    <mergeCell ref="AJ8:AK8"/>
    <mergeCell ref="B23:I23"/>
    <mergeCell ref="B24:I24"/>
    <mergeCell ref="B25:I25"/>
    <mergeCell ref="B34:I34"/>
    <mergeCell ref="B35:I35"/>
    <mergeCell ref="B36:I36"/>
    <mergeCell ref="B37:I37"/>
    <mergeCell ref="B30:I30"/>
    <mergeCell ref="B31:I31"/>
    <mergeCell ref="B32:I32"/>
    <mergeCell ref="B33:I33"/>
    <mergeCell ref="B42:I42"/>
    <mergeCell ref="B43:I43"/>
    <mergeCell ref="B44:I44"/>
    <mergeCell ref="B50:I50"/>
    <mergeCell ref="B51:I51"/>
    <mergeCell ref="B46:I46"/>
    <mergeCell ref="B47:I47"/>
    <mergeCell ref="B48:I48"/>
    <mergeCell ref="B49:I49"/>
    <mergeCell ref="B45:I45"/>
  </mergeCells>
  <phoneticPr fontId="0" type="noConversion"/>
  <conditionalFormatting sqref="AV10:AV51 AV54:AV63 AV65:AV72">
    <cfRule type="cellIs" dxfId="0" priority="1" stopIfTrue="1" operator="notEqual">
      <formula>0</formula>
    </cfRule>
  </conditionalFormatting>
  <pageMargins left="0.35" right="0.19" top="0.78" bottom="0.22" header="0.33" footer="0.17"/>
  <pageSetup paperSize="9" scale="75" fitToHeight="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Brush" shapeId="2049" r:id="rId4">
          <objectPr defaultSize="0" autoPict="0" r:id="rId5">
            <anchor>
              <from>
                <xdr:col>0</xdr:col>
                <xdr:colOff>438150</xdr:colOff>
                <xdr:row>0</xdr:row>
                <xdr:rowOff>123825</xdr:rowOff>
              </from>
              <to>
                <xdr:col>1</xdr:col>
                <xdr:colOff>171450</xdr:colOff>
                <xdr:row>4</xdr:row>
                <xdr:rowOff>9525</xdr:rowOff>
              </to>
            </anchor>
          </objectPr>
        </oleObject>
      </mc:Choice>
      <mc:Fallback>
        <oleObject progId="PBrush" shapeId="2049" r:id="rId4"/>
      </mc:Fallback>
    </mc:AlternateContent>
    <mc:AlternateContent xmlns:mc="http://schemas.openxmlformats.org/markup-compatibility/2006">
      <mc:Choice Requires="x14">
        <oleObject progId="CDraw" shapeId="2052" r:id="rId6">
          <objectPr defaultSize="0" autoPict="0" r:id="rId7">
            <anchor moveWithCells="1" sizeWithCells="1">
              <from>
                <xdr:col>42</xdr:col>
                <xdr:colOff>171450</xdr:colOff>
                <xdr:row>0</xdr:row>
                <xdr:rowOff>190500</xdr:rowOff>
              </from>
              <to>
                <xdr:col>46</xdr:col>
                <xdr:colOff>38100</xdr:colOff>
                <xdr:row>2</xdr:row>
                <xdr:rowOff>76200</xdr:rowOff>
              </to>
            </anchor>
          </objectPr>
        </oleObject>
      </mc:Choice>
      <mc:Fallback>
        <oleObject progId="CDraw" shapeId="2052" r:id="rId6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2"/>
  <sheetViews>
    <sheetView showGridLines="0" topLeftCell="A16" workbookViewId="0">
      <selection activeCell="O37" sqref="O37"/>
    </sheetView>
  </sheetViews>
  <sheetFormatPr defaultColWidth="9.140625" defaultRowHeight="12.75"/>
  <cols>
    <col min="1" max="2" width="9.140625" style="2"/>
    <col min="3" max="8" width="12.140625" style="2" customWidth="1"/>
    <col min="9" max="16384" width="9.140625" style="2"/>
  </cols>
  <sheetData>
    <row r="2" spans="2:8" ht="13.5" thickBot="1"/>
    <row r="3" spans="2:8" ht="18" customHeight="1">
      <c r="B3" s="224" t="s">
        <v>70</v>
      </c>
      <c r="C3" s="225" t="s">
        <v>127</v>
      </c>
      <c r="D3" s="225" t="s">
        <v>128</v>
      </c>
      <c r="E3" s="225" t="s">
        <v>129</v>
      </c>
      <c r="F3" s="225" t="s">
        <v>130</v>
      </c>
      <c r="G3" s="225" t="s">
        <v>131</v>
      </c>
      <c r="H3" s="226" t="s">
        <v>132</v>
      </c>
    </row>
    <row r="4" spans="2:8" ht="18" customHeight="1">
      <c r="B4" s="227">
        <v>1</v>
      </c>
      <c r="C4" s="5"/>
      <c r="D4" s="5"/>
      <c r="E4" s="5"/>
      <c r="F4" s="5"/>
      <c r="G4" s="5"/>
      <c r="H4" s="228"/>
    </row>
    <row r="5" spans="2:8" ht="18" customHeight="1">
      <c r="B5" s="227">
        <v>2</v>
      </c>
      <c r="C5" s="5"/>
      <c r="D5" s="5"/>
      <c r="E5" s="5"/>
      <c r="F5" s="5"/>
      <c r="G5" s="5">
        <v>444984.96</v>
      </c>
      <c r="H5" s="228"/>
    </row>
    <row r="6" spans="2:8" ht="18" customHeight="1" thickBot="1">
      <c r="B6" s="229" t="s">
        <v>715</v>
      </c>
      <c r="C6" s="230" t="str">
        <f t="shared" ref="C6:H6" si="0">IF(SUM(C4:C5)=0,"",SUM(C4:C5))</f>
        <v/>
      </c>
      <c r="D6" s="230" t="str">
        <f t="shared" si="0"/>
        <v/>
      </c>
      <c r="E6" s="230" t="str">
        <f t="shared" si="0"/>
        <v/>
      </c>
      <c r="F6" s="230" t="str">
        <f t="shared" si="0"/>
        <v/>
      </c>
      <c r="G6" s="230">
        <f t="shared" si="0"/>
        <v>444984.96</v>
      </c>
      <c r="H6" s="231" t="str">
        <f t="shared" si="0"/>
        <v/>
      </c>
    </row>
    <row r="7" spans="2:8" ht="13.5" thickBot="1"/>
    <row r="8" spans="2:8" ht="18" customHeight="1">
      <c r="B8" s="224" t="s">
        <v>70</v>
      </c>
      <c r="C8" s="225" t="s">
        <v>133</v>
      </c>
      <c r="D8" s="225" t="s">
        <v>134</v>
      </c>
      <c r="E8" s="225" t="s">
        <v>135</v>
      </c>
      <c r="F8" s="225" t="s">
        <v>136</v>
      </c>
      <c r="G8" s="225" t="s">
        <v>137</v>
      </c>
      <c r="H8" s="226" t="s">
        <v>138</v>
      </c>
    </row>
    <row r="9" spans="2:8" ht="18" customHeight="1">
      <c r="B9" s="227">
        <v>1</v>
      </c>
      <c r="C9" s="5"/>
      <c r="D9" s="5"/>
      <c r="E9" s="5">
        <v>59132.92</v>
      </c>
      <c r="F9" s="5"/>
      <c r="G9" s="5"/>
      <c r="H9" s="228"/>
    </row>
    <row r="10" spans="2:8" ht="18" customHeight="1">
      <c r="B10" s="227">
        <v>2</v>
      </c>
      <c r="C10" s="5"/>
      <c r="D10" s="5"/>
      <c r="E10" s="5">
        <v>613656.59</v>
      </c>
      <c r="F10" s="5"/>
      <c r="G10" s="5"/>
      <c r="H10" s="228"/>
    </row>
    <row r="11" spans="2:8" ht="18" customHeight="1" thickBot="1">
      <c r="B11" s="229" t="s">
        <v>715</v>
      </c>
      <c r="C11" s="230" t="str">
        <f t="shared" ref="C11:H11" si="1">IF(SUM(C9:C10)=0,"",SUM(C9:C10))</f>
        <v/>
      </c>
      <c r="D11" s="230" t="str">
        <f t="shared" si="1"/>
        <v/>
      </c>
      <c r="E11" s="230">
        <f t="shared" si="1"/>
        <v>672789.51</v>
      </c>
      <c r="F11" s="230" t="str">
        <f t="shared" si="1"/>
        <v/>
      </c>
      <c r="G11" s="230" t="str">
        <f t="shared" si="1"/>
        <v/>
      </c>
      <c r="H11" s="231" t="str">
        <f t="shared" si="1"/>
        <v/>
      </c>
    </row>
    <row r="12" spans="2:8" ht="13.5" thickBot="1"/>
    <row r="13" spans="2:8" ht="18" customHeight="1">
      <c r="B13" s="224" t="s">
        <v>70</v>
      </c>
      <c r="C13" s="225" t="s">
        <v>139</v>
      </c>
      <c r="D13" s="225" t="s">
        <v>140</v>
      </c>
      <c r="E13" s="225" t="s">
        <v>141</v>
      </c>
      <c r="F13" s="225" t="s">
        <v>142</v>
      </c>
      <c r="G13" s="225" t="s">
        <v>742</v>
      </c>
      <c r="H13" s="226" t="s">
        <v>743</v>
      </c>
    </row>
    <row r="14" spans="2:8" ht="18" customHeight="1">
      <c r="B14" s="227">
        <v>1</v>
      </c>
      <c r="C14" s="5">
        <v>205795.67</v>
      </c>
      <c r="D14" s="5"/>
      <c r="E14" s="5"/>
      <c r="F14" s="5"/>
      <c r="G14" s="5"/>
      <c r="H14" s="228"/>
    </row>
    <row r="15" spans="2:8" ht="18" customHeight="1">
      <c r="B15" s="227">
        <v>2</v>
      </c>
      <c r="C15" s="5">
        <v>1035623.42</v>
      </c>
      <c r="D15" s="5"/>
      <c r="E15" s="5"/>
      <c r="F15" s="5"/>
      <c r="G15" s="5">
        <v>101766.97</v>
      </c>
      <c r="H15" s="228"/>
    </row>
    <row r="16" spans="2:8" ht="18" customHeight="1" thickBot="1">
      <c r="B16" s="229" t="s">
        <v>715</v>
      </c>
      <c r="C16" s="230">
        <f t="shared" ref="C16:H16" si="2">IF(SUM(C14:C15)=0,"",SUM(C14:C15))</f>
        <v>1241419.0900000001</v>
      </c>
      <c r="D16" s="230" t="str">
        <f t="shared" si="2"/>
        <v/>
      </c>
      <c r="E16" s="230" t="str">
        <f t="shared" si="2"/>
        <v/>
      </c>
      <c r="F16" s="230" t="str">
        <f t="shared" si="2"/>
        <v/>
      </c>
      <c r="G16" s="230">
        <f t="shared" si="2"/>
        <v>101766.97</v>
      </c>
      <c r="H16" s="231" t="str">
        <f t="shared" si="2"/>
        <v/>
      </c>
    </row>
    <row r="17" spans="2:8" ht="13.5" thickBot="1"/>
    <row r="18" spans="2:8" ht="18" customHeight="1">
      <c r="B18" s="224" t="s">
        <v>70</v>
      </c>
      <c r="C18" s="225" t="s">
        <v>744</v>
      </c>
      <c r="D18" s="225" t="s">
        <v>745</v>
      </c>
      <c r="E18" s="225" t="s">
        <v>746</v>
      </c>
      <c r="F18" s="226" t="s">
        <v>747</v>
      </c>
      <c r="G18" s="232"/>
      <c r="H18" s="232"/>
    </row>
    <row r="19" spans="2:8" ht="18" customHeight="1">
      <c r="B19" s="227">
        <v>1</v>
      </c>
      <c r="C19" s="5"/>
      <c r="D19" s="5"/>
      <c r="E19" s="5"/>
      <c r="F19" s="228"/>
      <c r="G19" s="232"/>
      <c r="H19" s="232"/>
    </row>
    <row r="20" spans="2:8" ht="18" customHeight="1">
      <c r="B20" s="227">
        <v>2</v>
      </c>
      <c r="C20" s="5"/>
      <c r="D20" s="5"/>
      <c r="E20" s="5">
        <v>39039.47</v>
      </c>
      <c r="F20" s="228"/>
      <c r="G20" s="232"/>
      <c r="H20" s="232"/>
    </row>
    <row r="21" spans="2:8" ht="18" customHeight="1" thickBot="1">
      <c r="B21" s="229" t="s">
        <v>715</v>
      </c>
      <c r="C21" s="230" t="str">
        <f t="shared" ref="C21:H21" si="3">IF(SUM(C19:C20)=0,"",SUM(C19:C20))</f>
        <v/>
      </c>
      <c r="D21" s="230" t="str">
        <f t="shared" si="3"/>
        <v/>
      </c>
      <c r="E21" s="230">
        <f t="shared" si="3"/>
        <v>39039.47</v>
      </c>
      <c r="F21" s="231" t="str">
        <f t="shared" si="3"/>
        <v/>
      </c>
      <c r="G21" s="232" t="str">
        <f t="shared" si="3"/>
        <v/>
      </c>
      <c r="H21" s="232" t="str">
        <f t="shared" si="3"/>
        <v/>
      </c>
    </row>
    <row r="23" spans="2:8" ht="13.5" thickBot="1"/>
    <row r="24" spans="2:8" ht="18" customHeight="1">
      <c r="B24" s="224" t="s">
        <v>70</v>
      </c>
      <c r="C24" s="225" t="s">
        <v>127</v>
      </c>
      <c r="D24" s="225" t="s">
        <v>128</v>
      </c>
      <c r="E24" s="225" t="s">
        <v>129</v>
      </c>
      <c r="F24" s="225" t="s">
        <v>130</v>
      </c>
      <c r="G24" s="225" t="s">
        <v>131</v>
      </c>
      <c r="H24" s="226" t="s">
        <v>132</v>
      </c>
    </row>
    <row r="25" spans="2:8" ht="18" customHeight="1">
      <c r="B25" s="227">
        <v>1</v>
      </c>
      <c r="C25" s="5"/>
      <c r="D25" s="5"/>
      <c r="E25" s="5"/>
      <c r="F25" s="5"/>
      <c r="G25" s="5"/>
      <c r="H25" s="228"/>
    </row>
    <row r="26" spans="2:8" ht="18" customHeight="1">
      <c r="B26" s="227">
        <v>2</v>
      </c>
      <c r="C26" s="5"/>
      <c r="D26" s="5"/>
      <c r="E26" s="5"/>
      <c r="F26" s="5"/>
      <c r="G26" s="5"/>
      <c r="H26" s="228"/>
    </row>
    <row r="27" spans="2:8" ht="18" customHeight="1" thickBot="1">
      <c r="B27" s="229" t="s">
        <v>715</v>
      </c>
      <c r="C27" s="230" t="str">
        <f t="shared" ref="C27:H27" si="4">IF(SUM(C25:C26)=0,"",SUM(C25:C26))</f>
        <v/>
      </c>
      <c r="D27" s="230" t="str">
        <f t="shared" si="4"/>
        <v/>
      </c>
      <c r="E27" s="230" t="str">
        <f t="shared" si="4"/>
        <v/>
      </c>
      <c r="F27" s="230" t="str">
        <f t="shared" si="4"/>
        <v/>
      </c>
      <c r="G27" s="230" t="str">
        <f t="shared" si="4"/>
        <v/>
      </c>
      <c r="H27" s="231" t="str">
        <f t="shared" si="4"/>
        <v/>
      </c>
    </row>
    <row r="28" spans="2:8" ht="13.5" thickBot="1"/>
    <row r="29" spans="2:8" ht="18" customHeight="1">
      <c r="B29" s="224" t="s">
        <v>70</v>
      </c>
      <c r="C29" s="225" t="s">
        <v>133</v>
      </c>
      <c r="D29" s="225" t="s">
        <v>134</v>
      </c>
      <c r="E29" s="225" t="s">
        <v>135</v>
      </c>
      <c r="F29" s="225" t="s">
        <v>136</v>
      </c>
      <c r="G29" s="225" t="s">
        <v>137</v>
      </c>
      <c r="H29" s="226" t="s">
        <v>138</v>
      </c>
    </row>
    <row r="30" spans="2:8" ht="18" customHeight="1">
      <c r="B30" s="227">
        <v>1</v>
      </c>
      <c r="C30" s="5"/>
      <c r="D30" s="5"/>
      <c r="E30" s="5"/>
      <c r="F30" s="5">
        <v>76681.17</v>
      </c>
      <c r="G30" s="5"/>
      <c r="H30" s="228"/>
    </row>
    <row r="31" spans="2:8" ht="18" customHeight="1">
      <c r="B31" s="227">
        <v>2</v>
      </c>
      <c r="C31" s="5"/>
      <c r="D31" s="5"/>
      <c r="E31" s="5"/>
      <c r="F31" s="5">
        <v>190992.63</v>
      </c>
      <c r="G31" s="5"/>
      <c r="H31" s="228"/>
    </row>
    <row r="32" spans="2:8" ht="18" customHeight="1" thickBot="1">
      <c r="B32" s="229" t="s">
        <v>715</v>
      </c>
      <c r="C32" s="230" t="str">
        <f t="shared" ref="C32:H32" si="5">IF(SUM(C30:C31)=0,"",SUM(C30:C31))</f>
        <v/>
      </c>
      <c r="D32" s="230" t="str">
        <f t="shared" si="5"/>
        <v/>
      </c>
      <c r="E32" s="230" t="str">
        <f t="shared" si="5"/>
        <v/>
      </c>
      <c r="F32" s="230">
        <f t="shared" si="5"/>
        <v>267673.8</v>
      </c>
      <c r="G32" s="230" t="str">
        <f t="shared" si="5"/>
        <v/>
      </c>
      <c r="H32" s="231" t="str">
        <f t="shared" si="5"/>
        <v/>
      </c>
    </row>
    <row r="33" spans="2:8" ht="13.5" thickBot="1"/>
    <row r="34" spans="2:8" ht="18" customHeight="1">
      <c r="B34" s="224" t="s">
        <v>70</v>
      </c>
      <c r="C34" s="225" t="s">
        <v>139</v>
      </c>
      <c r="D34" s="225" t="s">
        <v>140</v>
      </c>
      <c r="E34" s="225" t="s">
        <v>141</v>
      </c>
      <c r="F34" s="225" t="s">
        <v>142</v>
      </c>
      <c r="G34" s="225" t="s">
        <v>742</v>
      </c>
      <c r="H34" s="226" t="s">
        <v>743</v>
      </c>
    </row>
    <row r="35" spans="2:8" ht="18" customHeight="1">
      <c r="B35" s="227">
        <v>1</v>
      </c>
      <c r="C35" s="5">
        <v>54884.37</v>
      </c>
      <c r="D35" s="5"/>
      <c r="E35" s="5"/>
      <c r="F35" s="5"/>
      <c r="G35" s="5"/>
      <c r="H35" s="228"/>
    </row>
    <row r="36" spans="2:8" ht="18" customHeight="1">
      <c r="B36" s="227">
        <v>2</v>
      </c>
      <c r="C36" s="5">
        <v>387986.12</v>
      </c>
      <c r="D36" s="5"/>
      <c r="E36" s="5"/>
      <c r="F36" s="5"/>
      <c r="G36" s="5">
        <v>31805.68</v>
      </c>
      <c r="H36" s="228"/>
    </row>
    <row r="37" spans="2:8" ht="18" customHeight="1" thickBot="1">
      <c r="B37" s="229" t="s">
        <v>715</v>
      </c>
      <c r="C37" s="230">
        <f t="shared" ref="C37:H37" si="6">IF(SUM(C35:C36)=0,"",SUM(C35:C36))</f>
        <v>442870.49</v>
      </c>
      <c r="D37" s="230" t="str">
        <f t="shared" si="6"/>
        <v/>
      </c>
      <c r="E37" s="230" t="str">
        <f t="shared" si="6"/>
        <v/>
      </c>
      <c r="F37" s="230" t="str">
        <f t="shared" si="6"/>
        <v/>
      </c>
      <c r="G37" s="230">
        <f t="shared" si="6"/>
        <v>31805.68</v>
      </c>
      <c r="H37" s="231" t="str">
        <f t="shared" si="6"/>
        <v/>
      </c>
    </row>
    <row r="38" spans="2:8" ht="13.5" thickBot="1"/>
    <row r="39" spans="2:8" ht="18" customHeight="1">
      <c r="B39" s="224" t="s">
        <v>70</v>
      </c>
      <c r="C39" s="225" t="s">
        <v>744</v>
      </c>
      <c r="D39" s="225" t="s">
        <v>745</v>
      </c>
      <c r="E39" s="225" t="s">
        <v>746</v>
      </c>
      <c r="F39" s="226" t="s">
        <v>747</v>
      </c>
      <c r="G39" s="232"/>
      <c r="H39" s="232"/>
    </row>
    <row r="40" spans="2:8" ht="18" customHeight="1">
      <c r="B40" s="227">
        <v>1</v>
      </c>
      <c r="C40" s="5"/>
      <c r="D40" s="5"/>
      <c r="E40" s="5"/>
      <c r="F40" s="228"/>
      <c r="G40" s="232"/>
      <c r="H40" s="232"/>
    </row>
    <row r="41" spans="2:8" ht="18" customHeight="1">
      <c r="B41" s="227">
        <v>2</v>
      </c>
      <c r="C41" s="5"/>
      <c r="D41" s="5"/>
      <c r="E41" s="5">
        <v>12201.17</v>
      </c>
      <c r="F41" s="228"/>
      <c r="G41" s="232"/>
      <c r="H41" s="232"/>
    </row>
    <row r="42" spans="2:8" ht="18" customHeight="1" thickBot="1">
      <c r="B42" s="229" t="s">
        <v>715</v>
      </c>
      <c r="C42" s="230" t="str">
        <f t="shared" ref="C42:H42" si="7">IF(SUM(C40:C41)=0,"",SUM(C40:C41))</f>
        <v/>
      </c>
      <c r="D42" s="230" t="str">
        <f t="shared" si="7"/>
        <v/>
      </c>
      <c r="E42" s="230">
        <f t="shared" si="7"/>
        <v>12201.17</v>
      </c>
      <c r="F42" s="231" t="str">
        <f t="shared" si="7"/>
        <v/>
      </c>
      <c r="G42" s="232" t="str">
        <f t="shared" si="7"/>
        <v/>
      </c>
      <c r="H42" s="232" t="str">
        <f t="shared" si="7"/>
        <v/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3"/>
  <sheetViews>
    <sheetView workbookViewId="0">
      <selection activeCell="O37" sqref="O37"/>
    </sheetView>
  </sheetViews>
  <sheetFormatPr defaultColWidth="9.140625" defaultRowHeight="12.75"/>
  <cols>
    <col min="1" max="1" width="5.42578125" style="214" bestFit="1" customWidth="1"/>
    <col min="2" max="2" width="6.140625" style="214" bestFit="1" customWidth="1"/>
    <col min="3" max="3" width="32.7109375" style="215" customWidth="1"/>
    <col min="4" max="4" width="8.85546875" style="214" customWidth="1"/>
    <col min="5" max="5" width="7.85546875" style="214" customWidth="1"/>
    <col min="6" max="7" width="11" style="215" customWidth="1"/>
    <col min="8" max="16384" width="9.140625" style="215"/>
  </cols>
  <sheetData>
    <row r="1" spans="1:15" ht="24.75" customHeight="1">
      <c r="A1" s="217" t="s">
        <v>70</v>
      </c>
      <c r="B1" s="217" t="s">
        <v>71</v>
      </c>
      <c r="C1" s="217" t="s">
        <v>72</v>
      </c>
      <c r="D1" s="865" t="s">
        <v>73</v>
      </c>
      <c r="E1" s="865"/>
      <c r="F1" s="865" t="s">
        <v>74</v>
      </c>
      <c r="G1" s="865"/>
    </row>
    <row r="2" spans="1:15" ht="63.75">
      <c r="A2" s="217"/>
      <c r="B2" s="217" t="s">
        <v>75</v>
      </c>
      <c r="C2" s="218"/>
      <c r="D2" s="217" t="s">
        <v>76</v>
      </c>
      <c r="E2" s="217" t="s">
        <v>714</v>
      </c>
      <c r="F2" s="217" t="s">
        <v>77</v>
      </c>
      <c r="G2" s="217" t="s">
        <v>78</v>
      </c>
    </row>
    <row r="3" spans="1:15" ht="25.5">
      <c r="A3" s="219">
        <v>1</v>
      </c>
      <c r="B3" s="219">
        <v>1</v>
      </c>
      <c r="C3" s="218" t="s">
        <v>79</v>
      </c>
      <c r="D3" s="219"/>
      <c r="E3" s="219"/>
      <c r="F3" s="220"/>
      <c r="G3" s="220"/>
      <c r="K3" s="215">
        <v>5</v>
      </c>
      <c r="L3" s="215">
        <f>K3+4</f>
        <v>9</v>
      </c>
      <c r="M3" s="215">
        <f>L3+4</f>
        <v>13</v>
      </c>
      <c r="N3" s="215">
        <f>M3+4</f>
        <v>17</v>
      </c>
      <c r="O3" s="215">
        <f>N3+4</f>
        <v>21</v>
      </c>
    </row>
    <row r="4" spans="1:15">
      <c r="A4" s="219"/>
      <c r="B4" s="219" t="s">
        <v>246</v>
      </c>
      <c r="C4" s="220" t="s">
        <v>17</v>
      </c>
      <c r="D4" s="219" t="s">
        <v>775</v>
      </c>
      <c r="E4" s="219">
        <v>1</v>
      </c>
      <c r="F4" s="221">
        <f>IF((H4-J4)*30=0,1,(H4-J4)*30)</f>
        <v>30</v>
      </c>
      <c r="G4" s="221">
        <f>(I4-J4)*30+30</f>
        <v>90</v>
      </c>
      <c r="H4" s="215">
        <v>10</v>
      </c>
      <c r="I4" s="215">
        <v>11</v>
      </c>
      <c r="J4" s="215">
        <f>SUM(K4:P4)</f>
        <v>9</v>
      </c>
      <c r="K4" s="215">
        <f t="shared" ref="K4:O7" si="0">IF(K$3&gt;$H4,0,IF(K$3&lt;=$H4-3,0,K$3))</f>
        <v>0</v>
      </c>
      <c r="L4" s="215">
        <f t="shared" si="0"/>
        <v>9</v>
      </c>
      <c r="M4" s="215">
        <f t="shared" si="0"/>
        <v>0</v>
      </c>
      <c r="N4" s="215">
        <f t="shared" si="0"/>
        <v>0</v>
      </c>
      <c r="O4" s="215">
        <f t="shared" si="0"/>
        <v>0</v>
      </c>
    </row>
    <row r="5" spans="1:15">
      <c r="A5" s="219"/>
      <c r="B5" s="219" t="s">
        <v>855</v>
      </c>
      <c r="C5" s="220" t="s">
        <v>18</v>
      </c>
      <c r="D5" s="219" t="s">
        <v>775</v>
      </c>
      <c r="E5" s="219">
        <v>1</v>
      </c>
      <c r="F5" s="221">
        <f>IF((H5-J5)*30=0,1,(H5-J5)*30)</f>
        <v>60</v>
      </c>
      <c r="G5" s="221">
        <f>(I5-J5)*30+30</f>
        <v>120</v>
      </c>
      <c r="H5" s="215">
        <v>11</v>
      </c>
      <c r="I5" s="215">
        <v>12</v>
      </c>
      <c r="J5" s="215">
        <f>SUM(K5:P5)</f>
        <v>9</v>
      </c>
      <c r="K5" s="215">
        <f t="shared" si="0"/>
        <v>0</v>
      </c>
      <c r="L5" s="215">
        <f t="shared" si="0"/>
        <v>9</v>
      </c>
      <c r="M5" s="215">
        <f t="shared" si="0"/>
        <v>0</v>
      </c>
      <c r="N5" s="215">
        <f t="shared" si="0"/>
        <v>0</v>
      </c>
      <c r="O5" s="215">
        <f t="shared" si="0"/>
        <v>0</v>
      </c>
    </row>
    <row r="6" spans="1:15">
      <c r="A6" s="219"/>
      <c r="B6" s="219" t="s">
        <v>913</v>
      </c>
      <c r="C6" s="220" t="s">
        <v>80</v>
      </c>
      <c r="D6" s="219" t="s">
        <v>775</v>
      </c>
      <c r="E6" s="219">
        <v>1</v>
      </c>
      <c r="F6" s="221">
        <f>IF((H6-J6)*30=0,1,(H6-J6)*30)</f>
        <v>360</v>
      </c>
      <c r="G6" s="221">
        <f>(I6-J6)*30+30</f>
        <v>450</v>
      </c>
      <c r="H6" s="215">
        <v>12</v>
      </c>
      <c r="I6" s="215">
        <v>14</v>
      </c>
      <c r="J6" s="215">
        <f>SUM(K6:P6)</f>
        <v>0</v>
      </c>
      <c r="K6" s="215">
        <f t="shared" si="0"/>
        <v>0</v>
      </c>
      <c r="L6" s="215">
        <f t="shared" si="0"/>
        <v>0</v>
      </c>
      <c r="M6" s="215">
        <f t="shared" si="0"/>
        <v>0</v>
      </c>
      <c r="N6" s="215">
        <f t="shared" si="0"/>
        <v>0</v>
      </c>
      <c r="O6" s="215">
        <f t="shared" si="0"/>
        <v>0</v>
      </c>
    </row>
    <row r="7" spans="1:15" ht="25.5">
      <c r="A7" s="219"/>
      <c r="B7" s="219" t="s">
        <v>914</v>
      </c>
      <c r="C7" s="220" t="s">
        <v>81</v>
      </c>
      <c r="D7" s="219" t="s">
        <v>775</v>
      </c>
      <c r="E7" s="219">
        <v>1</v>
      </c>
      <c r="F7" s="221">
        <f>IF((H7-J7)*30=0,1,(H7-J7)*30)</f>
        <v>30</v>
      </c>
      <c r="G7" s="221">
        <f>(I7-J7)*30+30</f>
        <v>120</v>
      </c>
      <c r="H7" s="215">
        <v>14</v>
      </c>
      <c r="I7" s="215">
        <v>16</v>
      </c>
      <c r="J7" s="215">
        <f>SUM(K7:P7)</f>
        <v>13</v>
      </c>
      <c r="K7" s="215">
        <f t="shared" si="0"/>
        <v>0</v>
      </c>
      <c r="L7" s="215">
        <f t="shared" si="0"/>
        <v>0</v>
      </c>
      <c r="M7" s="215">
        <f t="shared" si="0"/>
        <v>13</v>
      </c>
      <c r="N7" s="215">
        <f t="shared" si="0"/>
        <v>0</v>
      </c>
      <c r="O7" s="215">
        <f t="shared" si="0"/>
        <v>0</v>
      </c>
    </row>
    <row r="8" spans="1:15">
      <c r="A8" s="219"/>
      <c r="B8" s="219"/>
      <c r="C8" s="220"/>
      <c r="D8" s="219"/>
      <c r="E8" s="219"/>
      <c r="F8" s="221"/>
      <c r="G8" s="221"/>
    </row>
    <row r="9" spans="1:15">
      <c r="A9" s="219">
        <v>2</v>
      </c>
      <c r="B9" s="219"/>
      <c r="C9" s="218" t="s">
        <v>82</v>
      </c>
      <c r="D9" s="219"/>
      <c r="E9" s="219"/>
      <c r="F9" s="221"/>
      <c r="G9" s="221"/>
    </row>
    <row r="10" spans="1:15">
      <c r="A10" s="219"/>
      <c r="B10" s="219" t="s">
        <v>764</v>
      </c>
      <c r="C10" s="220" t="s">
        <v>16</v>
      </c>
      <c r="D10" s="219" t="s">
        <v>775</v>
      </c>
      <c r="E10" s="219">
        <v>1</v>
      </c>
      <c r="F10" s="221">
        <f>IF((H10-J10)*30=0,1,(H10-J10)*30)</f>
        <v>1</v>
      </c>
      <c r="G10" s="221">
        <f>(I10-J10)*30+30</f>
        <v>30</v>
      </c>
      <c r="H10" s="215">
        <v>5</v>
      </c>
      <c r="I10" s="215">
        <f>H10</f>
        <v>5</v>
      </c>
      <c r="J10" s="215">
        <f>SUM(K10:P10)</f>
        <v>5</v>
      </c>
      <c r="K10" s="215">
        <f>IF(K$3&gt;$H10,0,IF(K$3&lt;=$H10-3,0,K$3))</f>
        <v>5</v>
      </c>
      <c r="L10" s="215">
        <f>IF(L$3&gt;$H10,0,IF(L$3&lt;=$H10-3,0,L$3))</f>
        <v>0</v>
      </c>
      <c r="M10" s="215">
        <f>IF(M$3&gt;$H10,0,IF(M$3&lt;=$H10-3,0,M$3))</f>
        <v>0</v>
      </c>
      <c r="N10" s="215">
        <f>IF(N$3&gt;$H10,0,IF(N$3&lt;=$H10-3,0,N$3))</f>
        <v>0</v>
      </c>
      <c r="O10" s="215">
        <f>IF(O$3&gt;$H10,0,IF(O$3&lt;=$H10-3,0,O$3))</f>
        <v>0</v>
      </c>
    </row>
    <row r="11" spans="1:15">
      <c r="A11" s="219"/>
      <c r="B11" s="219"/>
      <c r="C11" s="220"/>
      <c r="D11" s="219"/>
      <c r="E11" s="219"/>
      <c r="F11" s="221"/>
      <c r="G11" s="221"/>
    </row>
    <row r="12" spans="1:15">
      <c r="A12" s="219"/>
      <c r="B12" s="219" t="s">
        <v>765</v>
      </c>
      <c r="C12" s="220" t="s">
        <v>629</v>
      </c>
      <c r="D12" s="219"/>
      <c r="E12" s="219"/>
      <c r="F12" s="221"/>
      <c r="G12" s="221"/>
    </row>
    <row r="13" spans="1:15">
      <c r="A13" s="219"/>
      <c r="B13" s="208" t="s">
        <v>83</v>
      </c>
      <c r="C13" s="6" t="s">
        <v>17</v>
      </c>
      <c r="D13" s="219" t="s">
        <v>775</v>
      </c>
      <c r="E13" s="219">
        <v>1</v>
      </c>
      <c r="F13" s="221">
        <f>IF((H13-J13)*30=0,1,(H13-J13)*30)</f>
        <v>1</v>
      </c>
      <c r="G13" s="221">
        <f>(I13-J13)*30+30</f>
        <v>30</v>
      </c>
      <c r="H13" s="215">
        <v>5</v>
      </c>
      <c r="I13" s="215">
        <v>5</v>
      </c>
      <c r="J13" s="215">
        <f>SUM(K13:P13)</f>
        <v>5</v>
      </c>
      <c r="K13" s="215">
        <f t="shared" ref="K13:O15" si="1">IF(K$3&gt;$H13,0,IF(K$3&lt;=$H13-3,0,K$3))</f>
        <v>5</v>
      </c>
      <c r="L13" s="215">
        <f t="shared" si="1"/>
        <v>0</v>
      </c>
      <c r="M13" s="215">
        <f t="shared" si="1"/>
        <v>0</v>
      </c>
      <c r="N13" s="215">
        <f t="shared" si="1"/>
        <v>0</v>
      </c>
      <c r="O13" s="215">
        <f t="shared" si="1"/>
        <v>0</v>
      </c>
    </row>
    <row r="14" spans="1:15">
      <c r="A14" s="219"/>
      <c r="B14" s="208" t="s">
        <v>84</v>
      </c>
      <c r="C14" s="6" t="s">
        <v>18</v>
      </c>
      <c r="D14" s="219" t="s">
        <v>775</v>
      </c>
      <c r="E14" s="219">
        <v>1</v>
      </c>
      <c r="F14" s="221">
        <f>IF((H14-J14)*30=0,1,(H14-J14)*30)</f>
        <v>1</v>
      </c>
      <c r="G14" s="221">
        <f>(I14-J14)*30+30</f>
        <v>60</v>
      </c>
      <c r="H14" s="215">
        <v>5</v>
      </c>
      <c r="I14" s="215">
        <v>6</v>
      </c>
      <c r="J14" s="215">
        <f>SUM(K14:P14)</f>
        <v>5</v>
      </c>
      <c r="K14" s="215">
        <f t="shared" si="1"/>
        <v>5</v>
      </c>
      <c r="L14" s="215">
        <f t="shared" si="1"/>
        <v>0</v>
      </c>
      <c r="M14" s="215">
        <f t="shared" si="1"/>
        <v>0</v>
      </c>
      <c r="N14" s="215">
        <f t="shared" si="1"/>
        <v>0</v>
      </c>
      <c r="O14" s="215">
        <f t="shared" si="1"/>
        <v>0</v>
      </c>
    </row>
    <row r="15" spans="1:15">
      <c r="A15" s="219"/>
      <c r="B15" s="208" t="s">
        <v>85</v>
      </c>
      <c r="C15" s="6" t="s">
        <v>19</v>
      </c>
      <c r="D15" s="219" t="s">
        <v>775</v>
      </c>
      <c r="E15" s="219">
        <v>1</v>
      </c>
      <c r="F15" s="221">
        <f>IF((H15-J15)*30=0,1,(H15-J15)*30)</f>
        <v>30</v>
      </c>
      <c r="G15" s="221">
        <f>(I15-J15)*30+30</f>
        <v>60</v>
      </c>
      <c r="H15" s="215">
        <v>6</v>
      </c>
      <c r="I15" s="215">
        <v>6</v>
      </c>
      <c r="J15" s="215">
        <f>SUM(K15:P15)</f>
        <v>5</v>
      </c>
      <c r="K15" s="215">
        <f t="shared" si="1"/>
        <v>5</v>
      </c>
      <c r="L15" s="215">
        <f t="shared" si="1"/>
        <v>0</v>
      </c>
      <c r="M15" s="215">
        <f t="shared" si="1"/>
        <v>0</v>
      </c>
      <c r="N15" s="215">
        <f t="shared" si="1"/>
        <v>0</v>
      </c>
      <c r="O15" s="215">
        <f t="shared" si="1"/>
        <v>0</v>
      </c>
    </row>
    <row r="16" spans="1:15">
      <c r="A16" s="219"/>
      <c r="B16" s="208"/>
      <c r="C16" s="6"/>
      <c r="D16" s="219"/>
      <c r="E16" s="219"/>
      <c r="F16" s="221"/>
      <c r="G16" s="221"/>
    </row>
    <row r="17" spans="1:15">
      <c r="A17" s="219"/>
      <c r="B17" s="208" t="s">
        <v>766</v>
      </c>
      <c r="C17" s="6" t="s">
        <v>721</v>
      </c>
      <c r="D17" s="219"/>
      <c r="E17" s="219"/>
      <c r="F17" s="221"/>
      <c r="G17" s="221"/>
    </row>
    <row r="18" spans="1:15">
      <c r="A18" s="219"/>
      <c r="B18" s="208" t="s">
        <v>86</v>
      </c>
      <c r="C18" s="6" t="s">
        <v>17</v>
      </c>
      <c r="D18" s="219" t="s">
        <v>775</v>
      </c>
      <c r="E18" s="219">
        <v>1</v>
      </c>
      <c r="F18" s="221">
        <f>IF((H18-J18)*30=0,1,(H18-J18)*30)</f>
        <v>30</v>
      </c>
      <c r="G18" s="221">
        <f>(I18-J18)*30+30</f>
        <v>60</v>
      </c>
      <c r="H18" s="215">
        <v>6</v>
      </c>
      <c r="I18" s="215">
        <f>H18</f>
        <v>6</v>
      </c>
      <c r="J18" s="215">
        <f>SUM(K18:P18)</f>
        <v>5</v>
      </c>
      <c r="K18" s="215">
        <f t="shared" ref="K18:O19" si="2">IF(K$3&gt;$H18,0,IF(K$3&lt;=$H18-3,0,K$3))</f>
        <v>5</v>
      </c>
      <c r="L18" s="215">
        <f t="shared" si="2"/>
        <v>0</v>
      </c>
      <c r="M18" s="215">
        <f t="shared" si="2"/>
        <v>0</v>
      </c>
      <c r="N18" s="215">
        <f t="shared" si="2"/>
        <v>0</v>
      </c>
      <c r="O18" s="215">
        <f t="shared" si="2"/>
        <v>0</v>
      </c>
    </row>
    <row r="19" spans="1:15">
      <c r="A19" s="219"/>
      <c r="B19" s="208" t="s">
        <v>87</v>
      </c>
      <c r="C19" s="6" t="s">
        <v>88</v>
      </c>
      <c r="D19" s="219" t="s">
        <v>775</v>
      </c>
      <c r="E19" s="219">
        <v>1</v>
      </c>
      <c r="F19" s="221">
        <f>IF((H19-J19)*30=0,1,(H19-J19)*30)</f>
        <v>30</v>
      </c>
      <c r="G19" s="221">
        <f>(I19-J19)*30+30</f>
        <v>90</v>
      </c>
      <c r="H19" s="215">
        <v>6</v>
      </c>
      <c r="I19" s="215">
        <v>7</v>
      </c>
      <c r="J19" s="215">
        <f>SUM(K19:P19)</f>
        <v>5</v>
      </c>
      <c r="K19" s="215">
        <f t="shared" si="2"/>
        <v>5</v>
      </c>
      <c r="L19" s="215">
        <f t="shared" si="2"/>
        <v>0</v>
      </c>
      <c r="M19" s="215">
        <f t="shared" si="2"/>
        <v>0</v>
      </c>
      <c r="N19" s="215">
        <f t="shared" si="2"/>
        <v>0</v>
      </c>
      <c r="O19" s="215">
        <f t="shared" si="2"/>
        <v>0</v>
      </c>
    </row>
    <row r="20" spans="1:15">
      <c r="A20" s="219"/>
      <c r="B20" s="208"/>
      <c r="C20" s="6"/>
      <c r="D20" s="219"/>
      <c r="E20" s="219"/>
      <c r="F20" s="221"/>
      <c r="G20" s="221"/>
    </row>
    <row r="21" spans="1:15">
      <c r="A21" s="219"/>
      <c r="B21" s="208" t="s">
        <v>767</v>
      </c>
      <c r="C21" s="6" t="s">
        <v>310</v>
      </c>
      <c r="D21" s="219"/>
      <c r="E21" s="219"/>
      <c r="F21" s="221"/>
      <c r="G21" s="221"/>
    </row>
    <row r="22" spans="1:15">
      <c r="A22" s="219"/>
      <c r="B22" s="208" t="s">
        <v>89</v>
      </c>
      <c r="C22" s="6" t="s">
        <v>17</v>
      </c>
      <c r="D22" s="219" t="s">
        <v>775</v>
      </c>
      <c r="E22" s="219">
        <v>1</v>
      </c>
      <c r="F22" s="221">
        <f>IF((H22-J22)*30=0,1,(H22-J22)*30)</f>
        <v>60</v>
      </c>
      <c r="G22" s="221">
        <f>(I22-J22)*30+30</f>
        <v>90</v>
      </c>
      <c r="H22" s="215">
        <v>7</v>
      </c>
      <c r="I22" s="215">
        <f>H22</f>
        <v>7</v>
      </c>
      <c r="J22" s="215">
        <f>SUM(K22:P22)</f>
        <v>5</v>
      </c>
      <c r="K22" s="215">
        <f t="shared" ref="K22:O26" si="3">IF(K$3&gt;$H22,0,IF(K$3&lt;=$H22-3,0,K$3))</f>
        <v>5</v>
      </c>
      <c r="L22" s="215">
        <f t="shared" si="3"/>
        <v>0</v>
      </c>
      <c r="M22" s="215">
        <f t="shared" si="3"/>
        <v>0</v>
      </c>
      <c r="N22" s="215">
        <f t="shared" si="3"/>
        <v>0</v>
      </c>
      <c r="O22" s="215">
        <f t="shared" si="3"/>
        <v>0</v>
      </c>
    </row>
    <row r="23" spans="1:15">
      <c r="A23" s="219"/>
      <c r="B23" s="208" t="s">
        <v>90</v>
      </c>
      <c r="C23" s="6" t="s">
        <v>18</v>
      </c>
      <c r="D23" s="219" t="s">
        <v>775</v>
      </c>
      <c r="E23" s="219">
        <v>1</v>
      </c>
      <c r="F23" s="221">
        <f>IF((H23-J23)*30=0,1,(H23-J23)*30)</f>
        <v>60</v>
      </c>
      <c r="G23" s="221">
        <f>(I23-J23)*30+30</f>
        <v>180</v>
      </c>
      <c r="H23" s="215">
        <v>7</v>
      </c>
      <c r="I23" s="215">
        <v>10</v>
      </c>
      <c r="J23" s="215">
        <f>SUM(K23:P23)</f>
        <v>5</v>
      </c>
      <c r="K23" s="215">
        <f t="shared" si="3"/>
        <v>5</v>
      </c>
      <c r="L23" s="215">
        <f t="shared" si="3"/>
        <v>0</v>
      </c>
      <c r="M23" s="215">
        <f t="shared" si="3"/>
        <v>0</v>
      </c>
      <c r="N23" s="215">
        <f t="shared" si="3"/>
        <v>0</v>
      </c>
      <c r="O23" s="215">
        <f t="shared" si="3"/>
        <v>0</v>
      </c>
    </row>
    <row r="24" spans="1:15">
      <c r="A24" s="219"/>
      <c r="B24" s="208" t="s">
        <v>91</v>
      </c>
      <c r="C24" s="6" t="s">
        <v>21</v>
      </c>
      <c r="D24" s="219" t="s">
        <v>775</v>
      </c>
      <c r="E24" s="219">
        <v>1</v>
      </c>
      <c r="F24" s="221">
        <f>IF((H24-J24)*30=0,1,(H24-J24)*30)</f>
        <v>240</v>
      </c>
      <c r="G24" s="221">
        <f>(I24-J24)*30+30</f>
        <v>330</v>
      </c>
      <c r="H24" s="215">
        <v>8</v>
      </c>
      <c r="I24" s="215">
        <v>10</v>
      </c>
      <c r="J24" s="215">
        <f>SUM(K24:P24)</f>
        <v>0</v>
      </c>
      <c r="K24" s="215">
        <f t="shared" si="3"/>
        <v>0</v>
      </c>
      <c r="L24" s="215">
        <f t="shared" si="3"/>
        <v>0</v>
      </c>
      <c r="M24" s="215">
        <f t="shared" si="3"/>
        <v>0</v>
      </c>
      <c r="N24" s="215">
        <f t="shared" si="3"/>
        <v>0</v>
      </c>
      <c r="O24" s="215">
        <f t="shared" si="3"/>
        <v>0</v>
      </c>
    </row>
    <row r="25" spans="1:15">
      <c r="A25" s="219"/>
      <c r="B25" s="208" t="s">
        <v>92</v>
      </c>
      <c r="C25" s="6" t="s">
        <v>22</v>
      </c>
      <c r="D25" s="219" t="s">
        <v>775</v>
      </c>
      <c r="E25" s="219">
        <v>1</v>
      </c>
      <c r="F25" s="221">
        <f>IF((H25-J25)*30=0,1,(H25-J25)*30)</f>
        <v>30</v>
      </c>
      <c r="G25" s="221">
        <f>(I25-J25)*30+30</f>
        <v>90</v>
      </c>
      <c r="H25" s="215">
        <v>10</v>
      </c>
      <c r="I25" s="215">
        <v>11</v>
      </c>
      <c r="J25" s="215">
        <f>SUM(K25:P25)</f>
        <v>9</v>
      </c>
      <c r="K25" s="215">
        <f t="shared" si="3"/>
        <v>0</v>
      </c>
      <c r="L25" s="215">
        <f t="shared" si="3"/>
        <v>9</v>
      </c>
      <c r="M25" s="215">
        <f t="shared" si="3"/>
        <v>0</v>
      </c>
      <c r="N25" s="215">
        <f t="shared" si="3"/>
        <v>0</v>
      </c>
      <c r="O25" s="215">
        <f t="shared" si="3"/>
        <v>0</v>
      </c>
    </row>
    <row r="26" spans="1:15">
      <c r="A26" s="219"/>
      <c r="B26" s="208" t="s">
        <v>93</v>
      </c>
      <c r="C26" s="6" t="s">
        <v>23</v>
      </c>
      <c r="D26" s="219" t="s">
        <v>775</v>
      </c>
      <c r="E26" s="219">
        <v>1</v>
      </c>
      <c r="F26" s="221">
        <f>IF((H26-J26)*30=0,1,(H26-J26)*30)</f>
        <v>60</v>
      </c>
      <c r="G26" s="221">
        <f>(I26-J26)*30+30</f>
        <v>90</v>
      </c>
      <c r="H26" s="215">
        <v>11</v>
      </c>
      <c r="I26" s="215">
        <f>H26</f>
        <v>11</v>
      </c>
      <c r="J26" s="215">
        <f>SUM(K26:P26)</f>
        <v>9</v>
      </c>
      <c r="K26" s="215">
        <f t="shared" si="3"/>
        <v>0</v>
      </c>
      <c r="L26" s="215">
        <f t="shared" si="3"/>
        <v>9</v>
      </c>
      <c r="M26" s="215">
        <f t="shared" si="3"/>
        <v>0</v>
      </c>
      <c r="N26" s="215">
        <f t="shared" si="3"/>
        <v>0</v>
      </c>
      <c r="O26" s="215">
        <f t="shared" si="3"/>
        <v>0</v>
      </c>
    </row>
    <row r="27" spans="1:15">
      <c r="A27" s="219"/>
      <c r="B27" s="208"/>
      <c r="C27" s="6"/>
      <c r="D27" s="219"/>
      <c r="E27" s="219"/>
      <c r="F27" s="221"/>
      <c r="G27" s="221"/>
    </row>
    <row r="28" spans="1:15">
      <c r="A28" s="219"/>
      <c r="B28" s="208" t="s">
        <v>910</v>
      </c>
      <c r="C28" s="6" t="s">
        <v>311</v>
      </c>
      <c r="D28" s="219"/>
      <c r="E28" s="219"/>
      <c r="F28" s="221"/>
      <c r="G28" s="221"/>
    </row>
    <row r="29" spans="1:15">
      <c r="A29" s="219"/>
      <c r="B29" s="208" t="s">
        <v>94</v>
      </c>
      <c r="C29" s="6" t="s">
        <v>17</v>
      </c>
      <c r="D29" s="219" t="s">
        <v>775</v>
      </c>
      <c r="E29" s="219">
        <v>1</v>
      </c>
      <c r="F29" s="221">
        <f>IF((H29-J29)*30=0,1,(H29-J29)*30)</f>
        <v>1</v>
      </c>
      <c r="G29" s="221">
        <f>(I29-J29)*30+30</f>
        <v>30</v>
      </c>
      <c r="H29" s="215">
        <v>9</v>
      </c>
      <c r="I29" s="215">
        <f>H29</f>
        <v>9</v>
      </c>
      <c r="J29" s="215">
        <f>SUM(K29:P29)</f>
        <v>9</v>
      </c>
      <c r="K29" s="215">
        <f t="shared" ref="K29:O32" si="4">IF(K$3&gt;$H29,0,IF(K$3&lt;=$H29-3,0,K$3))</f>
        <v>0</v>
      </c>
      <c r="L29" s="215">
        <f t="shared" si="4"/>
        <v>9</v>
      </c>
      <c r="M29" s="215">
        <f t="shared" si="4"/>
        <v>0</v>
      </c>
      <c r="N29" s="215">
        <f t="shared" si="4"/>
        <v>0</v>
      </c>
      <c r="O29" s="215">
        <f t="shared" si="4"/>
        <v>0</v>
      </c>
    </row>
    <row r="30" spans="1:15">
      <c r="A30" s="219"/>
      <c r="B30" s="208" t="s">
        <v>95</v>
      </c>
      <c r="C30" s="6" t="s">
        <v>24</v>
      </c>
      <c r="D30" s="219" t="s">
        <v>775</v>
      </c>
      <c r="E30" s="219">
        <v>1</v>
      </c>
      <c r="F30" s="221">
        <f>IF((H30-J30)*30=0,1,(H30-J30)*30)</f>
        <v>1</v>
      </c>
      <c r="G30" s="221">
        <f>(I30-J30)*30+30</f>
        <v>60</v>
      </c>
      <c r="H30" s="215">
        <v>9</v>
      </c>
      <c r="I30" s="215">
        <v>10</v>
      </c>
      <c r="J30" s="215">
        <f>SUM(K30:P30)</f>
        <v>9</v>
      </c>
      <c r="K30" s="215">
        <f t="shared" si="4"/>
        <v>0</v>
      </c>
      <c r="L30" s="215">
        <f t="shared" si="4"/>
        <v>9</v>
      </c>
      <c r="M30" s="215">
        <f t="shared" si="4"/>
        <v>0</v>
      </c>
      <c r="N30" s="215">
        <f t="shared" si="4"/>
        <v>0</v>
      </c>
      <c r="O30" s="215">
        <f t="shared" si="4"/>
        <v>0</v>
      </c>
    </row>
    <row r="31" spans="1:15">
      <c r="A31" s="219"/>
      <c r="B31" s="208" t="s">
        <v>96</v>
      </c>
      <c r="C31" s="6" t="s">
        <v>21</v>
      </c>
      <c r="D31" s="219" t="s">
        <v>775</v>
      </c>
      <c r="E31" s="219">
        <v>1</v>
      </c>
      <c r="F31" s="221">
        <f>IF((H31-J31)*30=0,1,(H31-J31)*30)</f>
        <v>30</v>
      </c>
      <c r="G31" s="221">
        <f>(I31-J31)*30+30</f>
        <v>120</v>
      </c>
      <c r="H31" s="215">
        <v>10</v>
      </c>
      <c r="I31" s="215">
        <v>12</v>
      </c>
      <c r="J31" s="215">
        <f>SUM(K31:P31)</f>
        <v>9</v>
      </c>
      <c r="K31" s="215">
        <f t="shared" si="4"/>
        <v>0</v>
      </c>
      <c r="L31" s="215">
        <f t="shared" si="4"/>
        <v>9</v>
      </c>
      <c r="M31" s="215">
        <f t="shared" si="4"/>
        <v>0</v>
      </c>
      <c r="N31" s="215">
        <f t="shared" si="4"/>
        <v>0</v>
      </c>
      <c r="O31" s="215">
        <f t="shared" si="4"/>
        <v>0</v>
      </c>
    </row>
    <row r="32" spans="1:15" ht="25.5">
      <c r="A32" s="219"/>
      <c r="B32" s="208" t="s">
        <v>97</v>
      </c>
      <c r="C32" s="6" t="s">
        <v>98</v>
      </c>
      <c r="D32" s="219" t="s">
        <v>775</v>
      </c>
      <c r="E32" s="219">
        <v>1</v>
      </c>
      <c r="F32" s="221">
        <f>IF((H32-J32)*30=0,1,(H32-J32)*30)</f>
        <v>360</v>
      </c>
      <c r="G32" s="221">
        <f>(I32-J32)*30+30</f>
        <v>420</v>
      </c>
      <c r="H32" s="215">
        <v>12</v>
      </c>
      <c r="I32" s="215">
        <v>13</v>
      </c>
      <c r="J32" s="215">
        <f>SUM(K32:P32)</f>
        <v>0</v>
      </c>
      <c r="K32" s="215">
        <f t="shared" si="4"/>
        <v>0</v>
      </c>
      <c r="L32" s="215">
        <f t="shared" si="4"/>
        <v>0</v>
      </c>
      <c r="M32" s="215">
        <f t="shared" si="4"/>
        <v>0</v>
      </c>
      <c r="N32" s="215">
        <f t="shared" si="4"/>
        <v>0</v>
      </c>
      <c r="O32" s="215">
        <f t="shared" si="4"/>
        <v>0</v>
      </c>
    </row>
    <row r="33" spans="1:15">
      <c r="A33" s="219"/>
      <c r="B33" s="208"/>
      <c r="C33" s="6"/>
      <c r="D33" s="219"/>
      <c r="E33" s="219"/>
      <c r="F33" s="221"/>
      <c r="G33" s="221"/>
    </row>
    <row r="34" spans="1:15">
      <c r="A34" s="219"/>
      <c r="B34" s="208" t="s">
        <v>911</v>
      </c>
      <c r="C34" s="6" t="s">
        <v>856</v>
      </c>
      <c r="D34" s="219"/>
      <c r="E34" s="219"/>
      <c r="F34" s="221"/>
      <c r="G34" s="221"/>
    </row>
    <row r="35" spans="1:15">
      <c r="A35" s="219"/>
      <c r="B35" s="208" t="s">
        <v>99</v>
      </c>
      <c r="C35" s="6" t="s">
        <v>17</v>
      </c>
      <c r="D35" s="219" t="s">
        <v>775</v>
      </c>
      <c r="E35" s="219">
        <v>1</v>
      </c>
      <c r="F35" s="221">
        <f>IF((H35-J35)*30=0,1,(H35-J35)*30)</f>
        <v>60</v>
      </c>
      <c r="G35" s="221">
        <f>(I35-J35)*30+30</f>
        <v>90</v>
      </c>
      <c r="H35" s="215">
        <v>11</v>
      </c>
      <c r="I35" s="215">
        <f>H35</f>
        <v>11</v>
      </c>
      <c r="J35" s="215">
        <f>SUM(K35:P35)</f>
        <v>9</v>
      </c>
      <c r="K35" s="215">
        <f t="shared" ref="K35:O39" si="5">IF(K$3&gt;$H35,0,IF(K$3&lt;=$H35-3,0,K$3))</f>
        <v>0</v>
      </c>
      <c r="L35" s="215">
        <f t="shared" si="5"/>
        <v>9</v>
      </c>
      <c r="M35" s="215">
        <f t="shared" si="5"/>
        <v>0</v>
      </c>
      <c r="N35" s="215">
        <f t="shared" si="5"/>
        <v>0</v>
      </c>
      <c r="O35" s="215">
        <f t="shared" si="5"/>
        <v>0</v>
      </c>
    </row>
    <row r="36" spans="1:15">
      <c r="A36" s="219"/>
      <c r="B36" s="208" t="s">
        <v>100</v>
      </c>
      <c r="C36" s="6" t="s">
        <v>24</v>
      </c>
      <c r="D36" s="219" t="s">
        <v>775</v>
      </c>
      <c r="E36" s="219">
        <v>1</v>
      </c>
      <c r="F36" s="221">
        <f>IF((H36-J36)*30=0,1,(H36-J36)*30)</f>
        <v>60</v>
      </c>
      <c r="G36" s="221">
        <f>(I36-J36)*30+30</f>
        <v>120</v>
      </c>
      <c r="H36" s="215">
        <v>11</v>
      </c>
      <c r="I36" s="215">
        <v>12</v>
      </c>
      <c r="J36" s="215">
        <f>SUM(K36:P36)</f>
        <v>9</v>
      </c>
      <c r="K36" s="215">
        <f t="shared" si="5"/>
        <v>0</v>
      </c>
      <c r="L36" s="215">
        <f t="shared" si="5"/>
        <v>9</v>
      </c>
      <c r="M36" s="215">
        <f t="shared" si="5"/>
        <v>0</v>
      </c>
      <c r="N36" s="215">
        <f t="shared" si="5"/>
        <v>0</v>
      </c>
      <c r="O36" s="215">
        <f t="shared" si="5"/>
        <v>0</v>
      </c>
    </row>
    <row r="37" spans="1:15">
      <c r="A37" s="219"/>
      <c r="B37" s="208" t="s">
        <v>101</v>
      </c>
      <c r="C37" s="6" t="s">
        <v>21</v>
      </c>
      <c r="D37" s="219" t="s">
        <v>775</v>
      </c>
      <c r="E37" s="219">
        <v>1</v>
      </c>
      <c r="F37" s="221">
        <f>IF((H37-J37)*30=0,1,(H37-J37)*30)</f>
        <v>360</v>
      </c>
      <c r="G37" s="221">
        <f>(I37-J37)*30+30</f>
        <v>450</v>
      </c>
      <c r="H37" s="215">
        <v>12</v>
      </c>
      <c r="I37" s="215">
        <v>14</v>
      </c>
      <c r="J37" s="215">
        <f>SUM(K37:P37)</f>
        <v>0</v>
      </c>
      <c r="K37" s="215">
        <f t="shared" si="5"/>
        <v>0</v>
      </c>
      <c r="L37" s="215">
        <f t="shared" si="5"/>
        <v>0</v>
      </c>
      <c r="M37" s="215">
        <f t="shared" si="5"/>
        <v>0</v>
      </c>
      <c r="N37" s="215">
        <f t="shared" si="5"/>
        <v>0</v>
      </c>
      <c r="O37" s="215">
        <f t="shared" si="5"/>
        <v>0</v>
      </c>
    </row>
    <row r="38" spans="1:15">
      <c r="A38" s="219"/>
      <c r="B38" s="208" t="s">
        <v>102</v>
      </c>
      <c r="C38" s="6" t="s">
        <v>22</v>
      </c>
      <c r="D38" s="219" t="s">
        <v>775</v>
      </c>
      <c r="E38" s="219">
        <v>1</v>
      </c>
      <c r="F38" s="221">
        <f>IF((H38-J38)*30=0,1,(H38-J38)*30)</f>
        <v>30</v>
      </c>
      <c r="G38" s="221">
        <f>(I38-J38)*30+30</f>
        <v>90</v>
      </c>
      <c r="H38" s="215">
        <v>14</v>
      </c>
      <c r="I38" s="215">
        <v>15</v>
      </c>
      <c r="J38" s="215">
        <f>SUM(K38:P38)</f>
        <v>13</v>
      </c>
      <c r="K38" s="215">
        <f t="shared" si="5"/>
        <v>0</v>
      </c>
      <c r="L38" s="215">
        <f t="shared" si="5"/>
        <v>0</v>
      </c>
      <c r="M38" s="215">
        <f t="shared" si="5"/>
        <v>13</v>
      </c>
      <c r="N38" s="215">
        <f t="shared" si="5"/>
        <v>0</v>
      </c>
      <c r="O38" s="215">
        <f t="shared" si="5"/>
        <v>0</v>
      </c>
    </row>
    <row r="39" spans="1:15">
      <c r="A39" s="219"/>
      <c r="B39" s="208" t="s">
        <v>103</v>
      </c>
      <c r="C39" s="6" t="s">
        <v>23</v>
      </c>
      <c r="D39" s="219" t="s">
        <v>775</v>
      </c>
      <c r="E39" s="219">
        <v>1</v>
      </c>
      <c r="F39" s="221">
        <f>IF((H39-J39)*30=0,1,(H39-J39)*30)</f>
        <v>480</v>
      </c>
      <c r="G39" s="221">
        <f>(I39-J39)*30+30</f>
        <v>510</v>
      </c>
      <c r="H39" s="215">
        <v>16</v>
      </c>
      <c r="I39" s="215">
        <f>H39</f>
        <v>16</v>
      </c>
      <c r="J39" s="215">
        <f>SUM(K39:P39)</f>
        <v>0</v>
      </c>
      <c r="K39" s="215">
        <f t="shared" si="5"/>
        <v>0</v>
      </c>
      <c r="L39" s="215">
        <f t="shared" si="5"/>
        <v>0</v>
      </c>
      <c r="M39" s="215">
        <f t="shared" si="5"/>
        <v>0</v>
      </c>
      <c r="N39" s="215">
        <f t="shared" si="5"/>
        <v>0</v>
      </c>
      <c r="O39" s="215">
        <f t="shared" si="5"/>
        <v>0</v>
      </c>
    </row>
    <row r="40" spans="1:15">
      <c r="A40" s="219"/>
      <c r="B40" s="208"/>
      <c r="C40" s="6"/>
      <c r="D40" s="219"/>
      <c r="E40" s="219"/>
      <c r="F40" s="221"/>
      <c r="G40" s="221"/>
    </row>
    <row r="41" spans="1:15">
      <c r="A41" s="219"/>
      <c r="B41" s="208" t="s">
        <v>915</v>
      </c>
      <c r="C41" s="6" t="s">
        <v>606</v>
      </c>
      <c r="D41" s="219"/>
      <c r="E41" s="219"/>
      <c r="F41" s="221"/>
      <c r="G41" s="221"/>
    </row>
    <row r="42" spans="1:15">
      <c r="A42" s="219"/>
      <c r="B42" s="208" t="s">
        <v>104</v>
      </c>
      <c r="C42" s="6" t="s">
        <v>17</v>
      </c>
      <c r="D42" s="219" t="s">
        <v>775</v>
      </c>
      <c r="E42" s="219">
        <v>1</v>
      </c>
      <c r="F42" s="221">
        <f>IF((H42-J42)*30=0,1,(H42-J42)*30)</f>
        <v>30</v>
      </c>
      <c r="G42" s="221">
        <f>(I42-J42)*30+30</f>
        <v>60</v>
      </c>
      <c r="H42" s="215">
        <v>14</v>
      </c>
      <c r="I42" s="215">
        <f>H42</f>
        <v>14</v>
      </c>
      <c r="J42" s="215">
        <f>SUM(K42:P42)</f>
        <v>13</v>
      </c>
      <c r="K42" s="215">
        <f t="shared" ref="K42:O44" si="6">IF(K$3&gt;$H42,0,IF(K$3&lt;=$H42-3,0,K$3))</f>
        <v>0</v>
      </c>
      <c r="L42" s="215">
        <f t="shared" si="6"/>
        <v>0</v>
      </c>
      <c r="M42" s="215">
        <f t="shared" si="6"/>
        <v>13</v>
      </c>
      <c r="N42" s="215">
        <f t="shared" si="6"/>
        <v>0</v>
      </c>
      <c r="O42" s="215">
        <f t="shared" si="6"/>
        <v>0</v>
      </c>
    </row>
    <row r="43" spans="1:15">
      <c r="A43" s="219"/>
      <c r="B43" s="208" t="s">
        <v>105</v>
      </c>
      <c r="C43" s="6" t="s">
        <v>21</v>
      </c>
      <c r="D43" s="219" t="s">
        <v>775</v>
      </c>
      <c r="E43" s="219">
        <v>1</v>
      </c>
      <c r="F43" s="221">
        <f>IF((H43-J43)*30=0,1,(H43-J43)*30)</f>
        <v>30</v>
      </c>
      <c r="G43" s="221">
        <f>(I43-J43)*30+30</f>
        <v>120</v>
      </c>
      <c r="H43" s="215">
        <v>14</v>
      </c>
      <c r="I43" s="215">
        <v>16</v>
      </c>
      <c r="J43" s="215">
        <f>SUM(K43:P43)</f>
        <v>13</v>
      </c>
      <c r="K43" s="215">
        <f t="shared" si="6"/>
        <v>0</v>
      </c>
      <c r="L43" s="215">
        <f t="shared" si="6"/>
        <v>0</v>
      </c>
      <c r="M43" s="215">
        <f t="shared" si="6"/>
        <v>13</v>
      </c>
      <c r="N43" s="215">
        <f t="shared" si="6"/>
        <v>0</v>
      </c>
      <c r="O43" s="215">
        <f t="shared" si="6"/>
        <v>0</v>
      </c>
    </row>
    <row r="44" spans="1:15">
      <c r="A44" s="219"/>
      <c r="B44" s="208" t="s">
        <v>106</v>
      </c>
      <c r="C44" s="6" t="s">
        <v>25</v>
      </c>
      <c r="D44" s="219" t="s">
        <v>775</v>
      </c>
      <c r="E44" s="219">
        <v>1</v>
      </c>
      <c r="F44" s="221">
        <f>IF((H44-J44)*30=0,1,(H44-J44)*30)</f>
        <v>480</v>
      </c>
      <c r="G44" s="221">
        <f>(I44-J44)*30+30</f>
        <v>510</v>
      </c>
      <c r="H44" s="215">
        <v>16</v>
      </c>
      <c r="I44" s="215">
        <f>H44</f>
        <v>16</v>
      </c>
      <c r="J44" s="215">
        <f>SUM(K44:P44)</f>
        <v>0</v>
      </c>
      <c r="K44" s="215">
        <f t="shared" si="6"/>
        <v>0</v>
      </c>
      <c r="L44" s="215">
        <f t="shared" si="6"/>
        <v>0</v>
      </c>
      <c r="M44" s="215">
        <f t="shared" si="6"/>
        <v>0</v>
      </c>
      <c r="N44" s="215">
        <f t="shared" si="6"/>
        <v>0</v>
      </c>
      <c r="O44" s="215">
        <f t="shared" si="6"/>
        <v>0</v>
      </c>
    </row>
    <row r="45" spans="1:15">
      <c r="A45" s="219"/>
      <c r="B45" s="208"/>
      <c r="C45" s="6"/>
      <c r="D45" s="219"/>
      <c r="E45" s="219"/>
      <c r="F45" s="221"/>
      <c r="G45" s="221"/>
    </row>
    <row r="46" spans="1:15">
      <c r="A46" s="219"/>
      <c r="B46" s="208" t="s">
        <v>916</v>
      </c>
      <c r="C46" s="6" t="s">
        <v>26</v>
      </c>
      <c r="D46" s="219"/>
      <c r="E46" s="219"/>
      <c r="F46" s="221"/>
      <c r="G46" s="221"/>
    </row>
    <row r="47" spans="1:15">
      <c r="A47" s="219"/>
      <c r="B47" s="208" t="s">
        <v>107</v>
      </c>
      <c r="C47" s="6" t="s">
        <v>18</v>
      </c>
      <c r="D47" s="219" t="s">
        <v>775</v>
      </c>
      <c r="E47" s="219">
        <v>1</v>
      </c>
      <c r="F47" s="221">
        <f>IF((H47-J47)*30=0,1,(H47-J47)*30)</f>
        <v>480</v>
      </c>
      <c r="G47" s="221">
        <f>(I47-J47)*30+30</f>
        <v>540</v>
      </c>
      <c r="H47" s="215">
        <v>16</v>
      </c>
      <c r="I47" s="215">
        <v>17</v>
      </c>
      <c r="J47" s="215">
        <f>SUM(K47:P47)</f>
        <v>0</v>
      </c>
      <c r="K47" s="215">
        <f t="shared" ref="K47:O48" si="7">IF(K$3&gt;$H47,0,IF(K$3&lt;=$H47-3,0,K$3))</f>
        <v>0</v>
      </c>
      <c r="L47" s="215">
        <f t="shared" si="7"/>
        <v>0</v>
      </c>
      <c r="M47" s="215">
        <f t="shared" si="7"/>
        <v>0</v>
      </c>
      <c r="N47" s="215">
        <f t="shared" si="7"/>
        <v>0</v>
      </c>
      <c r="O47" s="215">
        <f t="shared" si="7"/>
        <v>0</v>
      </c>
    </row>
    <row r="48" spans="1:15">
      <c r="A48" s="219"/>
      <c r="B48" s="208" t="s">
        <v>108</v>
      </c>
      <c r="C48" s="6" t="s">
        <v>22</v>
      </c>
      <c r="D48" s="219" t="s">
        <v>775</v>
      </c>
      <c r="E48" s="219">
        <v>1</v>
      </c>
      <c r="F48" s="221">
        <f>IF((H48-J48)*30=0,1,(H48-J48)*30)</f>
        <v>480</v>
      </c>
      <c r="G48" s="221">
        <f>(I48-J48)*30+30</f>
        <v>540</v>
      </c>
      <c r="H48" s="215">
        <v>16</v>
      </c>
      <c r="I48" s="215">
        <v>17</v>
      </c>
      <c r="J48" s="215">
        <f>SUM(K48:P48)</f>
        <v>0</v>
      </c>
      <c r="K48" s="215">
        <f t="shared" si="7"/>
        <v>0</v>
      </c>
      <c r="L48" s="215">
        <f t="shared" si="7"/>
        <v>0</v>
      </c>
      <c r="M48" s="215">
        <f t="shared" si="7"/>
        <v>0</v>
      </c>
      <c r="N48" s="215">
        <f t="shared" si="7"/>
        <v>0</v>
      </c>
      <c r="O48" s="215">
        <f t="shared" si="7"/>
        <v>0</v>
      </c>
    </row>
    <row r="49" spans="1:15">
      <c r="A49" s="219"/>
      <c r="B49" s="208"/>
      <c r="C49" s="6"/>
      <c r="D49" s="219"/>
      <c r="E49" s="219"/>
      <c r="F49" s="221"/>
      <c r="G49" s="221"/>
    </row>
    <row r="50" spans="1:15">
      <c r="A50" s="219"/>
      <c r="B50" s="219" t="s">
        <v>917</v>
      </c>
      <c r="C50" s="220" t="s">
        <v>763</v>
      </c>
      <c r="D50" s="219"/>
      <c r="E50" s="219"/>
      <c r="F50" s="221"/>
      <c r="G50" s="221"/>
    </row>
    <row r="51" spans="1:15">
      <c r="A51" s="219"/>
      <c r="B51" s="219" t="s">
        <v>109</v>
      </c>
      <c r="C51" s="220" t="s">
        <v>17</v>
      </c>
      <c r="D51" s="219" t="s">
        <v>775</v>
      </c>
      <c r="E51" s="219">
        <v>1</v>
      </c>
      <c r="F51" s="221">
        <f>IF((H51-J51)*30=0,1,(H51-J51)*30)</f>
        <v>60</v>
      </c>
      <c r="G51" s="221">
        <f>(I51-J51)*30+30</f>
        <v>90</v>
      </c>
      <c r="H51" s="215">
        <v>15</v>
      </c>
      <c r="I51" s="215">
        <f>H51</f>
        <v>15</v>
      </c>
      <c r="J51" s="215">
        <f>SUM(K51:P51)</f>
        <v>13</v>
      </c>
      <c r="K51" s="215">
        <f t="shared" ref="K51:O54" si="8">IF(K$3&gt;$H51,0,IF(K$3&lt;=$H51-3,0,K$3))</f>
        <v>0</v>
      </c>
      <c r="L51" s="215">
        <f t="shared" si="8"/>
        <v>0</v>
      </c>
      <c r="M51" s="215">
        <f t="shared" si="8"/>
        <v>13</v>
      </c>
      <c r="N51" s="215">
        <f t="shared" si="8"/>
        <v>0</v>
      </c>
      <c r="O51" s="215">
        <f t="shared" si="8"/>
        <v>0</v>
      </c>
    </row>
    <row r="52" spans="1:15">
      <c r="A52" s="219"/>
      <c r="B52" s="219" t="s">
        <v>110</v>
      </c>
      <c r="C52" s="220" t="s">
        <v>18</v>
      </c>
      <c r="D52" s="219" t="s">
        <v>775</v>
      </c>
      <c r="E52" s="219">
        <v>1</v>
      </c>
      <c r="F52" s="221">
        <f>IF((H52-J52)*30=0,1,(H52-J52)*30)</f>
        <v>60</v>
      </c>
      <c r="G52" s="221">
        <f>(I52-J52)*30+30</f>
        <v>150</v>
      </c>
      <c r="H52" s="215">
        <v>15</v>
      </c>
      <c r="I52" s="215">
        <v>17</v>
      </c>
      <c r="J52" s="215">
        <f>SUM(K52:P52)</f>
        <v>13</v>
      </c>
      <c r="K52" s="215">
        <f t="shared" si="8"/>
        <v>0</v>
      </c>
      <c r="L52" s="215">
        <f t="shared" si="8"/>
        <v>0</v>
      </c>
      <c r="M52" s="215">
        <f t="shared" si="8"/>
        <v>13</v>
      </c>
      <c r="N52" s="215">
        <f t="shared" si="8"/>
        <v>0</v>
      </c>
      <c r="O52" s="215">
        <f t="shared" si="8"/>
        <v>0</v>
      </c>
    </row>
    <row r="53" spans="1:15">
      <c r="A53" s="219"/>
      <c r="B53" s="219" t="s">
        <v>111</v>
      </c>
      <c r="C53" s="220" t="s">
        <v>21</v>
      </c>
      <c r="D53" s="219" t="s">
        <v>775</v>
      </c>
      <c r="E53" s="219">
        <v>1</v>
      </c>
      <c r="F53" s="221">
        <f>IF((H53-J53)*30=0,1,(H53-J53)*30)</f>
        <v>480</v>
      </c>
      <c r="G53" s="221">
        <f>(I53-J53)*30+30</f>
        <v>540</v>
      </c>
      <c r="H53" s="215">
        <v>16</v>
      </c>
      <c r="I53" s="215">
        <v>17</v>
      </c>
      <c r="J53" s="215">
        <f>SUM(K53:P53)</f>
        <v>0</v>
      </c>
      <c r="K53" s="215">
        <f t="shared" si="8"/>
        <v>0</v>
      </c>
      <c r="L53" s="215">
        <f t="shared" si="8"/>
        <v>0</v>
      </c>
      <c r="M53" s="215">
        <f t="shared" si="8"/>
        <v>0</v>
      </c>
      <c r="N53" s="215">
        <f t="shared" si="8"/>
        <v>0</v>
      </c>
      <c r="O53" s="215">
        <f t="shared" si="8"/>
        <v>0</v>
      </c>
    </row>
    <row r="54" spans="1:15">
      <c r="A54" s="219"/>
      <c r="B54" s="219" t="s">
        <v>112</v>
      </c>
      <c r="C54" s="220" t="s">
        <v>22</v>
      </c>
      <c r="D54" s="219" t="s">
        <v>775</v>
      </c>
      <c r="E54" s="219">
        <v>1</v>
      </c>
      <c r="F54" s="221">
        <f>IF((H54-J54)*30=0,1,(H54-J54)*30)</f>
        <v>480</v>
      </c>
      <c r="G54" s="221">
        <f>(I54-J54)*30+30</f>
        <v>540</v>
      </c>
      <c r="H54" s="215">
        <v>16</v>
      </c>
      <c r="I54" s="215">
        <v>17</v>
      </c>
      <c r="J54" s="215">
        <f>SUM(K54:P54)</f>
        <v>0</v>
      </c>
      <c r="K54" s="215">
        <f t="shared" si="8"/>
        <v>0</v>
      </c>
      <c r="L54" s="215">
        <f t="shared" si="8"/>
        <v>0</v>
      </c>
      <c r="M54" s="215">
        <f t="shared" si="8"/>
        <v>0</v>
      </c>
      <c r="N54" s="215">
        <f t="shared" si="8"/>
        <v>0</v>
      </c>
      <c r="O54" s="215">
        <f t="shared" si="8"/>
        <v>0</v>
      </c>
    </row>
    <row r="55" spans="1:15">
      <c r="A55" s="219"/>
      <c r="B55" s="219"/>
      <c r="C55" s="220"/>
      <c r="D55" s="219"/>
      <c r="E55" s="219"/>
      <c r="F55" s="221"/>
      <c r="G55" s="221"/>
    </row>
    <row r="56" spans="1:15">
      <c r="A56" s="219"/>
      <c r="B56" s="219" t="s">
        <v>918</v>
      </c>
      <c r="C56" s="220" t="s">
        <v>736</v>
      </c>
      <c r="D56" s="219"/>
      <c r="E56" s="219"/>
      <c r="F56" s="221"/>
      <c r="G56" s="221"/>
    </row>
    <row r="57" spans="1:15">
      <c r="A57" s="219"/>
      <c r="B57" s="219" t="s">
        <v>113</v>
      </c>
      <c r="C57" s="220" t="s">
        <v>17</v>
      </c>
      <c r="D57" s="219" t="s">
        <v>775</v>
      </c>
      <c r="E57" s="219">
        <v>1</v>
      </c>
      <c r="F57" s="221">
        <f>IF((H57-J57)*30=0,1,(H57-J57)*30)</f>
        <v>1</v>
      </c>
      <c r="G57" s="221">
        <f>(I57-J57)*30+30</f>
        <v>30</v>
      </c>
      <c r="H57" s="215">
        <v>17</v>
      </c>
      <c r="I57" s="215">
        <f>H57</f>
        <v>17</v>
      </c>
      <c r="J57" s="215">
        <f>SUM(K57:P57)</f>
        <v>17</v>
      </c>
      <c r="K57" s="215">
        <f t="shared" ref="K57:O60" si="9">IF(K$3&gt;$H57,0,IF(K$3&lt;=$H57-3,0,K$3))</f>
        <v>0</v>
      </c>
      <c r="L57" s="215">
        <f t="shared" si="9"/>
        <v>0</v>
      </c>
      <c r="M57" s="215">
        <f t="shared" si="9"/>
        <v>0</v>
      </c>
      <c r="N57" s="215">
        <f t="shared" si="9"/>
        <v>17</v>
      </c>
      <c r="O57" s="215">
        <f t="shared" si="9"/>
        <v>0</v>
      </c>
    </row>
    <row r="58" spans="1:15">
      <c r="A58" s="219"/>
      <c r="B58" s="219" t="s">
        <v>114</v>
      </c>
      <c r="C58" s="220" t="s">
        <v>737</v>
      </c>
      <c r="D58" s="219" t="s">
        <v>775</v>
      </c>
      <c r="E58" s="219">
        <v>1</v>
      </c>
      <c r="F58" s="221">
        <f>IF((H58-J58)*30=0,1,(H58-J58)*30)</f>
        <v>1</v>
      </c>
      <c r="G58" s="221">
        <f>(I58-J58)*30+30</f>
        <v>30</v>
      </c>
      <c r="H58" s="215">
        <v>17</v>
      </c>
      <c r="I58" s="215">
        <f>H58</f>
        <v>17</v>
      </c>
      <c r="J58" s="215">
        <f>SUM(K58:P58)</f>
        <v>17</v>
      </c>
      <c r="K58" s="215">
        <f t="shared" si="9"/>
        <v>0</v>
      </c>
      <c r="L58" s="215">
        <f t="shared" si="9"/>
        <v>0</v>
      </c>
      <c r="M58" s="215">
        <f t="shared" si="9"/>
        <v>0</v>
      </c>
      <c r="N58" s="215">
        <f t="shared" si="9"/>
        <v>17</v>
      </c>
      <c r="O58" s="215">
        <f t="shared" si="9"/>
        <v>0</v>
      </c>
    </row>
    <row r="59" spans="1:15">
      <c r="A59" s="219"/>
      <c r="B59" s="219" t="s">
        <v>115</v>
      </c>
      <c r="C59" s="220" t="s">
        <v>738</v>
      </c>
      <c r="D59" s="219" t="s">
        <v>775</v>
      </c>
      <c r="E59" s="219">
        <v>1</v>
      </c>
      <c r="F59" s="221">
        <f>IF((H59-J59)*30=0,1,(H59-J59)*30)</f>
        <v>30</v>
      </c>
      <c r="G59" s="221">
        <f>(I59-J59)*30+30</f>
        <v>90</v>
      </c>
      <c r="H59" s="215">
        <v>18</v>
      </c>
      <c r="I59" s="215">
        <v>19</v>
      </c>
      <c r="J59" s="215">
        <f>SUM(K59:P59)</f>
        <v>17</v>
      </c>
      <c r="K59" s="215">
        <f t="shared" si="9"/>
        <v>0</v>
      </c>
      <c r="L59" s="215">
        <f t="shared" si="9"/>
        <v>0</v>
      </c>
      <c r="M59" s="215">
        <f t="shared" si="9"/>
        <v>0</v>
      </c>
      <c r="N59" s="215">
        <f t="shared" si="9"/>
        <v>17</v>
      </c>
      <c r="O59" s="215">
        <f t="shared" si="9"/>
        <v>0</v>
      </c>
    </row>
    <row r="60" spans="1:15">
      <c r="A60" s="219"/>
      <c r="B60" s="219" t="s">
        <v>116</v>
      </c>
      <c r="C60" s="220" t="s">
        <v>739</v>
      </c>
      <c r="D60" s="219" t="s">
        <v>775</v>
      </c>
      <c r="E60" s="219">
        <v>1</v>
      </c>
      <c r="F60" s="221">
        <f>IF((H60-J60)*30=0,1,(H60-J60)*30)</f>
        <v>600</v>
      </c>
      <c r="G60" s="221">
        <f>(I60-J60)*30+30</f>
        <v>630</v>
      </c>
      <c r="H60" s="215">
        <v>20</v>
      </c>
      <c r="I60" s="215">
        <f>H60</f>
        <v>20</v>
      </c>
      <c r="J60" s="215">
        <f>SUM(K60:P60)</f>
        <v>0</v>
      </c>
      <c r="K60" s="215">
        <f t="shared" si="9"/>
        <v>0</v>
      </c>
      <c r="L60" s="215">
        <f t="shared" si="9"/>
        <v>0</v>
      </c>
      <c r="M60" s="215">
        <f t="shared" si="9"/>
        <v>0</v>
      </c>
      <c r="N60" s="215">
        <f t="shared" si="9"/>
        <v>0</v>
      </c>
      <c r="O60" s="215">
        <f t="shared" si="9"/>
        <v>0</v>
      </c>
    </row>
    <row r="61" spans="1:15">
      <c r="A61" s="219"/>
      <c r="B61" s="219"/>
      <c r="C61" s="220"/>
      <c r="D61" s="219"/>
      <c r="E61" s="219"/>
      <c r="F61" s="221"/>
      <c r="G61" s="221"/>
    </row>
    <row r="62" spans="1:15">
      <c r="A62" s="219"/>
      <c r="B62" s="219" t="s">
        <v>290</v>
      </c>
      <c r="C62" s="220" t="s">
        <v>117</v>
      </c>
      <c r="D62" s="219"/>
      <c r="E62" s="219"/>
      <c r="F62" s="221"/>
      <c r="G62" s="221"/>
    </row>
    <row r="63" spans="1:15">
      <c r="A63" s="219"/>
      <c r="B63" s="219" t="s">
        <v>118</v>
      </c>
      <c r="C63" s="220" t="s">
        <v>17</v>
      </c>
      <c r="D63" s="219" t="s">
        <v>775</v>
      </c>
      <c r="E63" s="219">
        <v>1</v>
      </c>
      <c r="F63" s="221">
        <f>IF((H63-J63)*30=0,1,(H63-J63)*30)</f>
        <v>600</v>
      </c>
      <c r="G63" s="221">
        <f>(I63-J63)*30+30</f>
        <v>630</v>
      </c>
      <c r="H63" s="215">
        <v>20</v>
      </c>
      <c r="I63" s="215">
        <f>H63</f>
        <v>20</v>
      </c>
      <c r="J63" s="215">
        <f>SUM(K63:P63)</f>
        <v>0</v>
      </c>
      <c r="K63" s="215">
        <f t="shared" ref="K63:O66" si="10">IF(K$3&gt;$H63,0,IF(K$3&lt;=$H63-3,0,K$3))</f>
        <v>0</v>
      </c>
      <c r="L63" s="215">
        <f t="shared" si="10"/>
        <v>0</v>
      </c>
      <c r="M63" s="215">
        <f t="shared" si="10"/>
        <v>0</v>
      </c>
      <c r="N63" s="215">
        <f t="shared" si="10"/>
        <v>0</v>
      </c>
      <c r="O63" s="215">
        <f t="shared" si="10"/>
        <v>0</v>
      </c>
    </row>
    <row r="64" spans="1:15">
      <c r="A64" s="219"/>
      <c r="B64" s="219" t="s">
        <v>119</v>
      </c>
      <c r="C64" s="220" t="s">
        <v>18</v>
      </c>
      <c r="D64" s="219" t="s">
        <v>775</v>
      </c>
      <c r="E64" s="219">
        <v>1</v>
      </c>
      <c r="F64" s="221">
        <f>IF((H64-J64)*30=0,1,(H64-J64)*30)</f>
        <v>600</v>
      </c>
      <c r="G64" s="221">
        <f>(I64-J64)*30+30</f>
        <v>660</v>
      </c>
      <c r="H64" s="215">
        <v>20</v>
      </c>
      <c r="I64" s="215">
        <v>21</v>
      </c>
      <c r="J64" s="215">
        <f>SUM(K64:P64)</f>
        <v>0</v>
      </c>
      <c r="K64" s="215">
        <f t="shared" si="10"/>
        <v>0</v>
      </c>
      <c r="L64" s="215">
        <f t="shared" si="10"/>
        <v>0</v>
      </c>
      <c r="M64" s="215">
        <f t="shared" si="10"/>
        <v>0</v>
      </c>
      <c r="N64" s="215">
        <f t="shared" si="10"/>
        <v>0</v>
      </c>
      <c r="O64" s="215">
        <f t="shared" si="10"/>
        <v>0</v>
      </c>
    </row>
    <row r="65" spans="1:15">
      <c r="A65" s="219"/>
      <c r="B65" s="219" t="s">
        <v>120</v>
      </c>
      <c r="C65" s="220" t="s">
        <v>21</v>
      </c>
      <c r="D65" s="219" t="s">
        <v>775</v>
      </c>
      <c r="E65" s="219">
        <v>1</v>
      </c>
      <c r="F65" s="221">
        <f>IF((H65-J65)*30=0,1,(H65-J65)*30)</f>
        <v>600</v>
      </c>
      <c r="G65" s="221">
        <f>(I65-J65)*30+30</f>
        <v>660</v>
      </c>
      <c r="H65" s="215">
        <v>20</v>
      </c>
      <c r="I65" s="215">
        <v>21</v>
      </c>
      <c r="J65" s="215">
        <f>SUM(K65:P65)</f>
        <v>0</v>
      </c>
      <c r="K65" s="215">
        <f t="shared" si="10"/>
        <v>0</v>
      </c>
      <c r="L65" s="215">
        <f t="shared" si="10"/>
        <v>0</v>
      </c>
      <c r="M65" s="215">
        <f t="shared" si="10"/>
        <v>0</v>
      </c>
      <c r="N65" s="215">
        <f t="shared" si="10"/>
        <v>0</v>
      </c>
      <c r="O65" s="215">
        <f t="shared" si="10"/>
        <v>0</v>
      </c>
    </row>
    <row r="66" spans="1:15">
      <c r="A66" s="219"/>
      <c r="B66" s="219" t="s">
        <v>121</v>
      </c>
      <c r="C66" s="220" t="s">
        <v>22</v>
      </c>
      <c r="D66" s="219" t="s">
        <v>775</v>
      </c>
      <c r="E66" s="219">
        <v>1</v>
      </c>
      <c r="F66" s="221">
        <f>IF((H66-J66)*30=0,1,(H66-J66)*30)</f>
        <v>600</v>
      </c>
      <c r="G66" s="221">
        <f>(I66-J66)*30+30</f>
        <v>660</v>
      </c>
      <c r="H66" s="215">
        <v>20</v>
      </c>
      <c r="I66" s="215">
        <v>21</v>
      </c>
      <c r="J66" s="215">
        <f>SUM(K66:P66)</f>
        <v>0</v>
      </c>
      <c r="K66" s="215">
        <f t="shared" si="10"/>
        <v>0</v>
      </c>
      <c r="L66" s="215">
        <f t="shared" si="10"/>
        <v>0</v>
      </c>
      <c r="M66" s="215">
        <f t="shared" si="10"/>
        <v>0</v>
      </c>
      <c r="N66" s="215">
        <f t="shared" si="10"/>
        <v>0</v>
      </c>
      <c r="O66" s="215">
        <f t="shared" si="10"/>
        <v>0</v>
      </c>
    </row>
    <row r="67" spans="1:15">
      <c r="A67" s="219"/>
      <c r="B67" s="219"/>
      <c r="C67" s="220"/>
      <c r="D67" s="219"/>
      <c r="E67" s="219"/>
      <c r="F67" s="221"/>
      <c r="G67" s="221"/>
    </row>
    <row r="68" spans="1:15">
      <c r="A68" s="219"/>
      <c r="B68" s="219" t="s">
        <v>291</v>
      </c>
      <c r="C68" s="220" t="s">
        <v>23</v>
      </c>
      <c r="D68" s="219" t="s">
        <v>775</v>
      </c>
      <c r="E68" s="219">
        <v>1</v>
      </c>
      <c r="F68" s="221">
        <f>IF((H68-J68)*30=0,1,(H68-J68)*30)</f>
        <v>1</v>
      </c>
      <c r="G68" s="221">
        <f>(I68-J68)*30+30</f>
        <v>60</v>
      </c>
      <c r="H68" s="215">
        <v>21</v>
      </c>
      <c r="I68" s="215">
        <v>22</v>
      </c>
      <c r="J68" s="215">
        <f>SUM(K68:P68)</f>
        <v>21</v>
      </c>
      <c r="K68" s="215">
        <f>IF(K$3&gt;$H68,0,IF(K$3&lt;=$H68-3,0,K$3))</f>
        <v>0</v>
      </c>
      <c r="L68" s="215">
        <f>IF(L$3&gt;$H68,0,IF(L$3&lt;=$H68-3,0,L$3))</f>
        <v>0</v>
      </c>
      <c r="M68" s="215">
        <f>IF(M$3&gt;$H68,0,IF(M$3&lt;=$H68-3,0,M$3))</f>
        <v>0</v>
      </c>
      <c r="N68" s="215">
        <f>IF(N$3&gt;$H68,0,IF(N$3&lt;=$H68-3,0,N$3))</f>
        <v>0</v>
      </c>
      <c r="O68" s="215">
        <f>IF(O$3&gt;$H68,0,IF(O$3&lt;=$H68-3,0,O$3))</f>
        <v>21</v>
      </c>
    </row>
    <row r="69" spans="1:15">
      <c r="F69" s="216"/>
      <c r="G69" s="216"/>
    </row>
    <row r="70" spans="1:15">
      <c r="F70" s="216"/>
      <c r="G70" s="216"/>
    </row>
    <row r="71" spans="1:15">
      <c r="F71" s="216"/>
      <c r="G71" s="216"/>
    </row>
    <row r="72" spans="1:15">
      <c r="F72" s="216"/>
      <c r="G72" s="216"/>
    </row>
    <row r="73" spans="1:15">
      <c r="F73" s="216"/>
      <c r="G73" s="216"/>
    </row>
    <row r="74" spans="1:15">
      <c r="F74" s="216"/>
      <c r="G74" s="216"/>
    </row>
    <row r="75" spans="1:15">
      <c r="F75" s="216"/>
      <c r="G75" s="216"/>
    </row>
    <row r="76" spans="1:15">
      <c r="F76" s="216"/>
      <c r="G76" s="216"/>
    </row>
    <row r="77" spans="1:15">
      <c r="F77" s="216"/>
      <c r="G77" s="216"/>
    </row>
    <row r="78" spans="1:15">
      <c r="F78" s="216"/>
      <c r="G78" s="216"/>
    </row>
    <row r="79" spans="1:15">
      <c r="F79" s="216"/>
      <c r="G79" s="216"/>
    </row>
    <row r="80" spans="1:15">
      <c r="F80" s="216"/>
      <c r="G80" s="216"/>
    </row>
    <row r="81" spans="6:7">
      <c r="F81" s="216"/>
      <c r="G81" s="216"/>
    </row>
    <row r="82" spans="6:7">
      <c r="F82" s="216"/>
      <c r="G82" s="216"/>
    </row>
    <row r="83" spans="6:7">
      <c r="F83" s="216"/>
      <c r="G83" s="216"/>
    </row>
    <row r="84" spans="6:7">
      <c r="F84" s="216"/>
      <c r="G84" s="216"/>
    </row>
    <row r="85" spans="6:7">
      <c r="F85" s="216"/>
      <c r="G85" s="216"/>
    </row>
    <row r="86" spans="6:7">
      <c r="F86" s="216"/>
      <c r="G86" s="216"/>
    </row>
    <row r="87" spans="6:7">
      <c r="F87" s="216"/>
      <c r="G87" s="216"/>
    </row>
    <row r="88" spans="6:7">
      <c r="F88" s="216"/>
      <c r="G88" s="216"/>
    </row>
    <row r="89" spans="6:7">
      <c r="F89" s="216"/>
      <c r="G89" s="216"/>
    </row>
    <row r="90" spans="6:7">
      <c r="F90" s="216"/>
      <c r="G90" s="216"/>
    </row>
    <row r="91" spans="6:7">
      <c r="F91" s="216"/>
      <c r="G91" s="216"/>
    </row>
    <row r="92" spans="6:7">
      <c r="F92" s="216"/>
      <c r="G92" s="216"/>
    </row>
    <row r="93" spans="6:7">
      <c r="F93" s="216"/>
      <c r="G93" s="216"/>
    </row>
    <row r="94" spans="6:7">
      <c r="F94" s="216"/>
      <c r="G94" s="216"/>
    </row>
    <row r="95" spans="6:7">
      <c r="F95" s="216"/>
      <c r="G95" s="216"/>
    </row>
    <row r="96" spans="6:7">
      <c r="F96" s="216"/>
      <c r="G96" s="216"/>
    </row>
    <row r="97" spans="6:7">
      <c r="F97" s="216"/>
      <c r="G97" s="216"/>
    </row>
    <row r="98" spans="6:7">
      <c r="F98" s="216"/>
      <c r="G98" s="216"/>
    </row>
    <row r="99" spans="6:7">
      <c r="F99" s="216"/>
      <c r="G99" s="216"/>
    </row>
    <row r="100" spans="6:7">
      <c r="F100" s="216"/>
      <c r="G100" s="216"/>
    </row>
    <row r="101" spans="6:7">
      <c r="F101" s="216"/>
      <c r="G101" s="216"/>
    </row>
    <row r="102" spans="6:7">
      <c r="F102" s="216"/>
      <c r="G102" s="216"/>
    </row>
    <row r="103" spans="6:7">
      <c r="F103" s="216"/>
      <c r="G103" s="216"/>
    </row>
    <row r="104" spans="6:7">
      <c r="F104" s="216"/>
      <c r="G104" s="216"/>
    </row>
    <row r="105" spans="6:7">
      <c r="F105" s="216"/>
      <c r="G105" s="216"/>
    </row>
    <row r="106" spans="6:7">
      <c r="F106" s="216"/>
      <c r="G106" s="216"/>
    </row>
    <row r="107" spans="6:7">
      <c r="F107" s="216"/>
      <c r="G107" s="216"/>
    </row>
    <row r="108" spans="6:7">
      <c r="F108" s="216"/>
      <c r="G108" s="216"/>
    </row>
    <row r="109" spans="6:7">
      <c r="F109" s="216"/>
      <c r="G109" s="216"/>
    </row>
    <row r="110" spans="6:7">
      <c r="F110" s="216"/>
      <c r="G110" s="216"/>
    </row>
    <row r="111" spans="6:7">
      <c r="F111" s="216"/>
      <c r="G111" s="216"/>
    </row>
    <row r="112" spans="6:7">
      <c r="F112" s="216"/>
      <c r="G112" s="216"/>
    </row>
    <row r="113" spans="6:7">
      <c r="F113" s="216"/>
      <c r="G113" s="216"/>
    </row>
    <row r="114" spans="6:7">
      <c r="F114" s="216"/>
      <c r="G114" s="216"/>
    </row>
    <row r="115" spans="6:7">
      <c r="F115" s="216"/>
      <c r="G115" s="216"/>
    </row>
    <row r="116" spans="6:7">
      <c r="F116" s="216"/>
      <c r="G116" s="216"/>
    </row>
    <row r="117" spans="6:7">
      <c r="F117" s="216"/>
      <c r="G117" s="216"/>
    </row>
    <row r="118" spans="6:7">
      <c r="F118" s="216"/>
      <c r="G118" s="216"/>
    </row>
    <row r="119" spans="6:7">
      <c r="F119" s="216"/>
      <c r="G119" s="216"/>
    </row>
    <row r="120" spans="6:7">
      <c r="F120" s="216"/>
      <c r="G120" s="216"/>
    </row>
    <row r="121" spans="6:7">
      <c r="F121" s="216"/>
      <c r="G121" s="216"/>
    </row>
    <row r="122" spans="6:7">
      <c r="F122" s="216"/>
      <c r="G122" s="216"/>
    </row>
    <row r="123" spans="6:7">
      <c r="F123" s="216"/>
      <c r="G123" s="216"/>
    </row>
    <row r="124" spans="6:7">
      <c r="F124" s="216"/>
      <c r="G124" s="216"/>
    </row>
    <row r="125" spans="6:7">
      <c r="F125" s="216"/>
      <c r="G125" s="216"/>
    </row>
    <row r="126" spans="6:7">
      <c r="F126" s="216"/>
      <c r="G126" s="216"/>
    </row>
    <row r="127" spans="6:7">
      <c r="F127" s="216"/>
      <c r="G127" s="216"/>
    </row>
    <row r="128" spans="6:7">
      <c r="F128" s="216"/>
      <c r="G128" s="216"/>
    </row>
    <row r="129" spans="6:7">
      <c r="F129" s="216"/>
      <c r="G129" s="216"/>
    </row>
    <row r="130" spans="6:7">
      <c r="F130" s="216"/>
      <c r="G130" s="216"/>
    </row>
    <row r="131" spans="6:7">
      <c r="F131" s="216"/>
      <c r="G131" s="216"/>
    </row>
    <row r="132" spans="6:7">
      <c r="F132" s="216"/>
      <c r="G132" s="216"/>
    </row>
    <row r="133" spans="6:7">
      <c r="F133" s="216"/>
      <c r="G133" s="216"/>
    </row>
    <row r="134" spans="6:7">
      <c r="F134" s="216"/>
      <c r="G134" s="216"/>
    </row>
    <row r="135" spans="6:7">
      <c r="F135" s="216"/>
      <c r="G135" s="216"/>
    </row>
    <row r="136" spans="6:7">
      <c r="F136" s="216"/>
      <c r="G136" s="216"/>
    </row>
    <row r="137" spans="6:7">
      <c r="F137" s="216"/>
      <c r="G137" s="216"/>
    </row>
    <row r="138" spans="6:7">
      <c r="F138" s="216"/>
      <c r="G138" s="216"/>
    </row>
    <row r="139" spans="6:7">
      <c r="F139" s="216"/>
      <c r="G139" s="216"/>
    </row>
    <row r="140" spans="6:7">
      <c r="F140" s="216"/>
      <c r="G140" s="216"/>
    </row>
    <row r="141" spans="6:7">
      <c r="F141" s="216"/>
      <c r="G141" s="216"/>
    </row>
    <row r="142" spans="6:7">
      <c r="F142" s="216"/>
      <c r="G142" s="216"/>
    </row>
    <row r="143" spans="6:7">
      <c r="F143" s="216"/>
      <c r="G143" s="216"/>
    </row>
    <row r="144" spans="6:7">
      <c r="F144" s="216"/>
      <c r="G144" s="216"/>
    </row>
    <row r="145" spans="6:7">
      <c r="F145" s="216"/>
      <c r="G145" s="216"/>
    </row>
    <row r="146" spans="6:7">
      <c r="F146" s="216"/>
      <c r="G146" s="216"/>
    </row>
    <row r="147" spans="6:7">
      <c r="F147" s="216"/>
      <c r="G147" s="216"/>
    </row>
    <row r="148" spans="6:7">
      <c r="F148" s="216"/>
      <c r="G148" s="216"/>
    </row>
    <row r="149" spans="6:7">
      <c r="F149" s="216"/>
      <c r="G149" s="216"/>
    </row>
    <row r="150" spans="6:7">
      <c r="F150" s="216"/>
      <c r="G150" s="216"/>
    </row>
    <row r="151" spans="6:7">
      <c r="F151" s="216"/>
      <c r="G151" s="216"/>
    </row>
    <row r="152" spans="6:7">
      <c r="F152" s="216"/>
      <c r="G152" s="216"/>
    </row>
    <row r="153" spans="6:7">
      <c r="F153" s="216"/>
      <c r="G153" s="216"/>
    </row>
    <row r="154" spans="6:7">
      <c r="F154" s="216"/>
      <c r="G154" s="216"/>
    </row>
    <row r="155" spans="6:7">
      <c r="F155" s="216"/>
      <c r="G155" s="216"/>
    </row>
    <row r="156" spans="6:7">
      <c r="F156" s="216"/>
      <c r="G156" s="216"/>
    </row>
    <row r="157" spans="6:7">
      <c r="F157" s="216"/>
      <c r="G157" s="216"/>
    </row>
    <row r="158" spans="6:7">
      <c r="F158" s="216"/>
      <c r="G158" s="216"/>
    </row>
    <row r="159" spans="6:7">
      <c r="F159" s="216"/>
      <c r="G159" s="216"/>
    </row>
    <row r="160" spans="6:7">
      <c r="F160" s="216"/>
      <c r="G160" s="216"/>
    </row>
    <row r="161" spans="6:7">
      <c r="F161" s="216"/>
      <c r="G161" s="216"/>
    </row>
    <row r="162" spans="6:7">
      <c r="F162" s="216"/>
      <c r="G162" s="216"/>
    </row>
    <row r="163" spans="6:7">
      <c r="F163" s="216"/>
      <c r="G163" s="216"/>
    </row>
    <row r="164" spans="6:7">
      <c r="F164" s="216"/>
      <c r="G164" s="216"/>
    </row>
    <row r="165" spans="6:7">
      <c r="F165" s="216"/>
      <c r="G165" s="216"/>
    </row>
    <row r="166" spans="6:7">
      <c r="F166" s="216"/>
      <c r="G166" s="216"/>
    </row>
    <row r="167" spans="6:7">
      <c r="F167" s="216"/>
      <c r="G167" s="216"/>
    </row>
    <row r="168" spans="6:7">
      <c r="F168" s="216"/>
      <c r="G168" s="216"/>
    </row>
    <row r="169" spans="6:7">
      <c r="F169" s="216"/>
      <c r="G169" s="216"/>
    </row>
    <row r="170" spans="6:7">
      <c r="F170" s="216"/>
      <c r="G170" s="216"/>
    </row>
    <row r="171" spans="6:7">
      <c r="F171" s="216"/>
      <c r="G171" s="216"/>
    </row>
    <row r="172" spans="6:7">
      <c r="F172" s="216"/>
      <c r="G172" s="216"/>
    </row>
    <row r="173" spans="6:7">
      <c r="F173" s="216"/>
      <c r="G173" s="216"/>
    </row>
    <row r="174" spans="6:7">
      <c r="F174" s="216"/>
      <c r="G174" s="216"/>
    </row>
    <row r="175" spans="6:7">
      <c r="F175" s="216"/>
      <c r="G175" s="216"/>
    </row>
    <row r="176" spans="6:7">
      <c r="F176" s="216"/>
      <c r="G176" s="216"/>
    </row>
    <row r="177" spans="6:7">
      <c r="F177" s="216"/>
      <c r="G177" s="216"/>
    </row>
    <row r="178" spans="6:7">
      <c r="F178" s="216"/>
      <c r="G178" s="216"/>
    </row>
    <row r="179" spans="6:7">
      <c r="F179" s="216"/>
      <c r="G179" s="216"/>
    </row>
    <row r="180" spans="6:7">
      <c r="F180" s="216"/>
      <c r="G180" s="216"/>
    </row>
    <row r="181" spans="6:7">
      <c r="F181" s="216"/>
      <c r="G181" s="216"/>
    </row>
    <row r="182" spans="6:7">
      <c r="F182" s="216"/>
      <c r="G182" s="216"/>
    </row>
    <row r="183" spans="6:7">
      <c r="F183" s="216"/>
      <c r="G183" s="216"/>
    </row>
    <row r="184" spans="6:7">
      <c r="F184" s="216"/>
      <c r="G184" s="216"/>
    </row>
    <row r="185" spans="6:7">
      <c r="F185" s="216"/>
      <c r="G185" s="216"/>
    </row>
    <row r="186" spans="6:7">
      <c r="F186" s="216"/>
      <c r="G186" s="216"/>
    </row>
    <row r="187" spans="6:7">
      <c r="F187" s="216"/>
      <c r="G187" s="216"/>
    </row>
    <row r="188" spans="6:7">
      <c r="F188" s="216"/>
      <c r="G188" s="216"/>
    </row>
    <row r="189" spans="6:7">
      <c r="F189" s="216"/>
      <c r="G189" s="216"/>
    </row>
    <row r="190" spans="6:7">
      <c r="F190" s="216"/>
      <c r="G190" s="216"/>
    </row>
    <row r="191" spans="6:7">
      <c r="F191" s="216"/>
      <c r="G191" s="216"/>
    </row>
    <row r="192" spans="6:7">
      <c r="F192" s="216"/>
      <c r="G192" s="216"/>
    </row>
    <row r="193" spans="6:7">
      <c r="F193" s="216"/>
      <c r="G193" s="216"/>
    </row>
    <row r="194" spans="6:7">
      <c r="F194" s="216"/>
      <c r="G194" s="216"/>
    </row>
    <row r="195" spans="6:7">
      <c r="F195" s="216"/>
      <c r="G195" s="216"/>
    </row>
    <row r="196" spans="6:7">
      <c r="F196" s="216"/>
      <c r="G196" s="216"/>
    </row>
    <row r="197" spans="6:7">
      <c r="F197" s="216"/>
      <c r="G197" s="216"/>
    </row>
    <row r="198" spans="6:7">
      <c r="F198" s="216"/>
      <c r="G198" s="216"/>
    </row>
    <row r="199" spans="6:7">
      <c r="F199" s="216"/>
      <c r="G199" s="216"/>
    </row>
    <row r="200" spans="6:7">
      <c r="F200" s="216"/>
      <c r="G200" s="216"/>
    </row>
    <row r="201" spans="6:7">
      <c r="F201" s="216"/>
      <c r="G201" s="216"/>
    </row>
    <row r="202" spans="6:7">
      <c r="G202" s="216"/>
    </row>
    <row r="203" spans="6:7">
      <c r="G203" s="216"/>
    </row>
    <row r="204" spans="6:7">
      <c r="G204" s="216"/>
    </row>
    <row r="205" spans="6:7">
      <c r="G205" s="216"/>
    </row>
    <row r="206" spans="6:7">
      <c r="G206" s="216"/>
    </row>
    <row r="207" spans="6:7">
      <c r="G207" s="216"/>
    </row>
    <row r="208" spans="6:7">
      <c r="G208" s="216"/>
    </row>
    <row r="209" spans="7:7">
      <c r="G209" s="216"/>
    </row>
    <row r="210" spans="7:7">
      <c r="G210" s="216"/>
    </row>
    <row r="211" spans="7:7">
      <c r="G211" s="216"/>
    </row>
    <row r="212" spans="7:7">
      <c r="G212" s="216"/>
    </row>
    <row r="213" spans="7:7">
      <c r="G213" s="216"/>
    </row>
    <row r="214" spans="7:7">
      <c r="G214" s="216"/>
    </row>
    <row r="215" spans="7:7">
      <c r="G215" s="216"/>
    </row>
    <row r="216" spans="7:7">
      <c r="G216" s="216"/>
    </row>
    <row r="217" spans="7:7">
      <c r="G217" s="216"/>
    </row>
    <row r="218" spans="7:7">
      <c r="G218" s="216"/>
    </row>
    <row r="219" spans="7:7">
      <c r="G219" s="216"/>
    </row>
    <row r="220" spans="7:7">
      <c r="G220" s="216"/>
    </row>
    <row r="221" spans="7:7">
      <c r="G221" s="216"/>
    </row>
    <row r="222" spans="7:7">
      <c r="G222" s="216"/>
    </row>
    <row r="223" spans="7:7">
      <c r="G223" s="216"/>
    </row>
    <row r="224" spans="7:7">
      <c r="G224" s="216"/>
    </row>
    <row r="225" spans="7:7">
      <c r="G225" s="216"/>
    </row>
    <row r="226" spans="7:7">
      <c r="G226" s="216"/>
    </row>
    <row r="227" spans="7:7">
      <c r="G227" s="216"/>
    </row>
    <row r="228" spans="7:7">
      <c r="G228" s="216"/>
    </row>
    <row r="229" spans="7:7">
      <c r="G229" s="216"/>
    </row>
    <row r="230" spans="7:7">
      <c r="G230" s="216"/>
    </row>
    <row r="231" spans="7:7">
      <c r="G231" s="216"/>
    </row>
    <row r="232" spans="7:7">
      <c r="G232" s="216"/>
    </row>
    <row r="233" spans="7:7">
      <c r="G233" s="216"/>
    </row>
    <row r="234" spans="7:7">
      <c r="G234" s="216"/>
    </row>
    <row r="235" spans="7:7">
      <c r="G235" s="216"/>
    </row>
    <row r="236" spans="7:7">
      <c r="G236" s="216"/>
    </row>
    <row r="237" spans="7:7">
      <c r="G237" s="216"/>
    </row>
    <row r="238" spans="7:7">
      <c r="G238" s="216"/>
    </row>
    <row r="239" spans="7:7">
      <c r="G239" s="216"/>
    </row>
    <row r="240" spans="7:7">
      <c r="G240" s="216"/>
    </row>
    <row r="241" spans="7:7">
      <c r="G241" s="216"/>
    </row>
    <row r="242" spans="7:7">
      <c r="G242" s="216"/>
    </row>
    <row r="243" spans="7:7">
      <c r="G243" s="216"/>
    </row>
    <row r="244" spans="7:7">
      <c r="G244" s="216"/>
    </row>
    <row r="245" spans="7:7">
      <c r="G245" s="216"/>
    </row>
    <row r="246" spans="7:7">
      <c r="G246" s="216"/>
    </row>
    <row r="247" spans="7:7">
      <c r="G247" s="216"/>
    </row>
    <row r="248" spans="7:7">
      <c r="G248" s="216"/>
    </row>
    <row r="249" spans="7:7">
      <c r="G249" s="216"/>
    </row>
    <row r="250" spans="7:7">
      <c r="G250" s="216"/>
    </row>
    <row r="251" spans="7:7">
      <c r="G251" s="216"/>
    </row>
    <row r="252" spans="7:7">
      <c r="G252" s="216"/>
    </row>
    <row r="253" spans="7:7">
      <c r="G253" s="216"/>
    </row>
    <row r="254" spans="7:7">
      <c r="G254" s="216"/>
    </row>
    <row r="255" spans="7:7">
      <c r="G255" s="216"/>
    </row>
    <row r="256" spans="7:7">
      <c r="G256" s="216"/>
    </row>
    <row r="257" spans="7:7">
      <c r="G257" s="216"/>
    </row>
    <row r="258" spans="7:7">
      <c r="G258" s="216"/>
    </row>
    <row r="259" spans="7:7">
      <c r="G259" s="216"/>
    </row>
    <row r="260" spans="7:7">
      <c r="G260" s="216"/>
    </row>
    <row r="261" spans="7:7">
      <c r="G261" s="216"/>
    </row>
    <row r="262" spans="7:7">
      <c r="G262" s="216"/>
    </row>
    <row r="263" spans="7:7">
      <c r="G263" s="216"/>
    </row>
    <row r="264" spans="7:7">
      <c r="G264" s="216"/>
    </row>
    <row r="265" spans="7:7">
      <c r="G265" s="216"/>
    </row>
    <row r="266" spans="7:7">
      <c r="G266" s="216"/>
    </row>
    <row r="267" spans="7:7">
      <c r="G267" s="216"/>
    </row>
    <row r="268" spans="7:7">
      <c r="G268" s="216"/>
    </row>
    <row r="269" spans="7:7">
      <c r="G269" s="216"/>
    </row>
    <row r="270" spans="7:7">
      <c r="G270" s="216"/>
    </row>
    <row r="271" spans="7:7">
      <c r="G271" s="216"/>
    </row>
    <row r="272" spans="7:7">
      <c r="G272" s="216"/>
    </row>
    <row r="273" spans="7:7">
      <c r="G273" s="216"/>
    </row>
    <row r="274" spans="7:7">
      <c r="G274" s="216"/>
    </row>
    <row r="275" spans="7:7">
      <c r="G275" s="216"/>
    </row>
    <row r="276" spans="7:7">
      <c r="G276" s="216"/>
    </row>
    <row r="277" spans="7:7">
      <c r="G277" s="216"/>
    </row>
    <row r="278" spans="7:7">
      <c r="G278" s="216"/>
    </row>
    <row r="279" spans="7:7">
      <c r="G279" s="216"/>
    </row>
    <row r="280" spans="7:7">
      <c r="G280" s="216"/>
    </row>
    <row r="281" spans="7:7">
      <c r="G281" s="216"/>
    </row>
    <row r="282" spans="7:7">
      <c r="G282" s="216"/>
    </row>
    <row r="283" spans="7:7">
      <c r="G283" s="216"/>
    </row>
    <row r="284" spans="7:7">
      <c r="G284" s="216"/>
    </row>
    <row r="285" spans="7:7">
      <c r="G285" s="216"/>
    </row>
    <row r="286" spans="7:7">
      <c r="G286" s="216"/>
    </row>
    <row r="287" spans="7:7">
      <c r="G287" s="216"/>
    </row>
    <row r="288" spans="7:7">
      <c r="G288" s="216"/>
    </row>
    <row r="289" spans="7:7">
      <c r="G289" s="216"/>
    </row>
    <row r="290" spans="7:7">
      <c r="G290" s="216"/>
    </row>
    <row r="291" spans="7:7">
      <c r="G291" s="216"/>
    </row>
    <row r="292" spans="7:7">
      <c r="G292" s="216"/>
    </row>
    <row r="293" spans="7:7">
      <c r="G293" s="216"/>
    </row>
    <row r="294" spans="7:7">
      <c r="G294" s="216"/>
    </row>
    <row r="295" spans="7:7">
      <c r="G295" s="216"/>
    </row>
    <row r="296" spans="7:7">
      <c r="G296" s="216"/>
    </row>
    <row r="297" spans="7:7">
      <c r="G297" s="216"/>
    </row>
    <row r="298" spans="7:7">
      <c r="G298" s="216"/>
    </row>
    <row r="299" spans="7:7">
      <c r="G299" s="216"/>
    </row>
    <row r="300" spans="7:7">
      <c r="G300" s="216"/>
    </row>
    <row r="301" spans="7:7">
      <c r="G301" s="216"/>
    </row>
    <row r="302" spans="7:7">
      <c r="G302" s="216"/>
    </row>
    <row r="303" spans="7:7">
      <c r="G303" s="216"/>
    </row>
    <row r="304" spans="7:7">
      <c r="G304" s="216"/>
    </row>
    <row r="305" spans="7:7">
      <c r="G305" s="216"/>
    </row>
    <row r="306" spans="7:7">
      <c r="G306" s="216"/>
    </row>
    <row r="307" spans="7:7">
      <c r="G307" s="216"/>
    </row>
    <row r="308" spans="7:7">
      <c r="G308" s="216"/>
    </row>
    <row r="309" spans="7:7">
      <c r="G309" s="216"/>
    </row>
    <row r="310" spans="7:7">
      <c r="G310" s="216"/>
    </row>
    <row r="311" spans="7:7">
      <c r="G311" s="216"/>
    </row>
    <row r="312" spans="7:7">
      <c r="G312" s="216"/>
    </row>
    <row r="313" spans="7:7">
      <c r="G313" s="216"/>
    </row>
    <row r="314" spans="7:7">
      <c r="G314" s="216"/>
    </row>
    <row r="315" spans="7:7">
      <c r="G315" s="216"/>
    </row>
    <row r="316" spans="7:7">
      <c r="G316" s="216"/>
    </row>
    <row r="317" spans="7:7">
      <c r="G317" s="216"/>
    </row>
    <row r="318" spans="7:7">
      <c r="G318" s="216"/>
    </row>
    <row r="319" spans="7:7">
      <c r="G319" s="216"/>
    </row>
    <row r="320" spans="7:7">
      <c r="G320" s="216"/>
    </row>
    <row r="321" spans="7:7">
      <c r="G321" s="216"/>
    </row>
    <row r="322" spans="7:7">
      <c r="G322" s="216"/>
    </row>
    <row r="323" spans="7:7">
      <c r="G323" s="216"/>
    </row>
    <row r="324" spans="7:7">
      <c r="G324" s="216"/>
    </row>
    <row r="325" spans="7:7">
      <c r="G325" s="216"/>
    </row>
    <row r="326" spans="7:7">
      <c r="G326" s="216"/>
    </row>
    <row r="327" spans="7:7">
      <c r="G327" s="216"/>
    </row>
    <row r="328" spans="7:7">
      <c r="G328" s="216"/>
    </row>
    <row r="329" spans="7:7">
      <c r="G329" s="216"/>
    </row>
    <row r="330" spans="7:7">
      <c r="G330" s="216"/>
    </row>
    <row r="331" spans="7:7">
      <c r="G331" s="216"/>
    </row>
    <row r="332" spans="7:7">
      <c r="G332" s="216"/>
    </row>
    <row r="333" spans="7:7">
      <c r="G333" s="216"/>
    </row>
    <row r="334" spans="7:7">
      <c r="G334" s="216"/>
    </row>
    <row r="335" spans="7:7">
      <c r="G335" s="216"/>
    </row>
    <row r="336" spans="7:7">
      <c r="G336" s="216"/>
    </row>
    <row r="337" spans="7:7">
      <c r="G337" s="216"/>
    </row>
    <row r="338" spans="7:7">
      <c r="G338" s="216"/>
    </row>
    <row r="339" spans="7:7">
      <c r="G339" s="216"/>
    </row>
    <row r="340" spans="7:7">
      <c r="G340" s="216"/>
    </row>
    <row r="341" spans="7:7">
      <c r="G341" s="216"/>
    </row>
    <row r="342" spans="7:7">
      <c r="G342" s="216"/>
    </row>
    <row r="343" spans="7:7">
      <c r="G343" s="216"/>
    </row>
    <row r="344" spans="7:7">
      <c r="G344" s="216"/>
    </row>
    <row r="345" spans="7:7">
      <c r="G345" s="216"/>
    </row>
    <row r="346" spans="7:7">
      <c r="G346" s="216"/>
    </row>
    <row r="347" spans="7:7">
      <c r="G347" s="216"/>
    </row>
    <row r="348" spans="7:7">
      <c r="G348" s="216"/>
    </row>
    <row r="349" spans="7:7">
      <c r="G349" s="216"/>
    </row>
    <row r="350" spans="7:7">
      <c r="G350" s="216"/>
    </row>
    <row r="351" spans="7:7">
      <c r="G351" s="216"/>
    </row>
    <row r="352" spans="7:7">
      <c r="G352" s="216"/>
    </row>
    <row r="353" spans="7:7">
      <c r="G353" s="216"/>
    </row>
  </sheetData>
  <mergeCells count="2">
    <mergeCell ref="D1:E1"/>
    <mergeCell ref="F1:G1"/>
  </mergeCells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2"/>
  <sheetViews>
    <sheetView topLeftCell="B2" workbookViewId="0">
      <selection activeCell="O37" sqref="O37"/>
    </sheetView>
  </sheetViews>
  <sheetFormatPr defaultColWidth="9.140625" defaultRowHeight="12.75"/>
  <cols>
    <col min="1" max="1" width="3" style="210" bestFit="1" customWidth="1"/>
    <col min="2" max="2" width="25.28515625" style="209" customWidth="1"/>
    <col min="3" max="20" width="6.5703125" style="209" customWidth="1"/>
    <col min="21" max="16384" width="9.140625" style="209"/>
  </cols>
  <sheetData>
    <row r="1" spans="1:25" hidden="1">
      <c r="C1" s="3">
        <v>1</v>
      </c>
      <c r="D1" s="3">
        <v>2</v>
      </c>
      <c r="E1" s="3">
        <v>3</v>
      </c>
      <c r="F1" s="3">
        <v>4</v>
      </c>
      <c r="G1" s="3">
        <v>5</v>
      </c>
      <c r="H1" s="3">
        <v>6</v>
      </c>
      <c r="I1" s="3">
        <v>7</v>
      </c>
      <c r="J1" s="3">
        <v>8</v>
      </c>
      <c r="K1" s="3">
        <v>9</v>
      </c>
      <c r="L1" s="3">
        <v>10</v>
      </c>
      <c r="M1" s="3">
        <v>11</v>
      </c>
      <c r="N1" s="3">
        <v>12</v>
      </c>
      <c r="O1" s="3">
        <v>13</v>
      </c>
      <c r="P1" s="3">
        <v>14</v>
      </c>
      <c r="Q1" s="3">
        <v>15</v>
      </c>
      <c r="R1" s="3">
        <v>16</v>
      </c>
      <c r="S1" s="3">
        <v>17</v>
      </c>
      <c r="T1" s="3">
        <v>18</v>
      </c>
    </row>
    <row r="2" spans="1:25">
      <c r="C2" s="3">
        <v>5</v>
      </c>
      <c r="D2" s="3">
        <v>6</v>
      </c>
      <c r="E2" s="3">
        <v>7</v>
      </c>
      <c r="F2" s="3">
        <v>8</v>
      </c>
      <c r="G2" s="3">
        <v>9</v>
      </c>
      <c r="H2" s="3">
        <v>10</v>
      </c>
      <c r="I2" s="3">
        <v>11</v>
      </c>
      <c r="J2" s="3">
        <v>12</v>
      </c>
      <c r="K2" s="3">
        <v>13</v>
      </c>
      <c r="L2" s="3">
        <v>14</v>
      </c>
      <c r="M2" s="3">
        <v>15</v>
      </c>
      <c r="N2" s="3">
        <v>16</v>
      </c>
      <c r="O2" s="3">
        <v>17</v>
      </c>
      <c r="P2" s="3">
        <v>18</v>
      </c>
      <c r="Q2" s="3">
        <v>19</v>
      </c>
      <c r="R2" s="3">
        <v>20</v>
      </c>
      <c r="S2" s="3">
        <v>21</v>
      </c>
      <c r="T2" s="3">
        <v>22</v>
      </c>
    </row>
    <row r="3" spans="1:25">
      <c r="A3" s="210">
        <v>60</v>
      </c>
      <c r="B3" s="210" t="s">
        <v>16</v>
      </c>
      <c r="C3" s="211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</row>
    <row r="4" spans="1:25">
      <c r="A4" s="210">
        <v>2</v>
      </c>
      <c r="B4" s="212" t="s">
        <v>741</v>
      </c>
      <c r="C4" s="213">
        <f>100-SUM(D4:T4)</f>
        <v>63</v>
      </c>
      <c r="D4" s="210">
        <v>2</v>
      </c>
      <c r="E4" s="210">
        <v>2</v>
      </c>
      <c r="F4" s="210">
        <v>2</v>
      </c>
      <c r="G4" s="210">
        <v>2</v>
      </c>
      <c r="H4" s="210">
        <v>2</v>
      </c>
      <c r="I4" s="210">
        <v>2</v>
      </c>
      <c r="J4" s="210">
        <v>2</v>
      </c>
      <c r="K4" s="210">
        <v>2</v>
      </c>
      <c r="L4" s="210">
        <v>2</v>
      </c>
      <c r="M4" s="210">
        <v>2</v>
      </c>
      <c r="N4" s="210">
        <v>2</v>
      </c>
      <c r="O4" s="210">
        <v>2</v>
      </c>
      <c r="P4" s="210">
        <v>2</v>
      </c>
      <c r="Q4" s="210">
        <v>2</v>
      </c>
      <c r="R4" s="210">
        <v>2</v>
      </c>
      <c r="S4" s="210">
        <v>2</v>
      </c>
      <c r="T4" s="210">
        <v>5</v>
      </c>
      <c r="U4" s="210"/>
      <c r="V4" s="210"/>
      <c r="W4" s="210"/>
      <c r="X4" s="210"/>
      <c r="Y4" s="210"/>
    </row>
    <row r="5" spans="1:25">
      <c r="A5" s="210">
        <v>61</v>
      </c>
      <c r="B5" s="210" t="s">
        <v>629</v>
      </c>
      <c r="C5" s="211"/>
      <c r="D5" s="211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</row>
    <row r="6" spans="1:25">
      <c r="A6" s="210">
        <v>4</v>
      </c>
      <c r="B6" s="212" t="s">
        <v>17</v>
      </c>
      <c r="C6" s="213">
        <v>100</v>
      </c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</row>
    <row r="7" spans="1:25">
      <c r="A7" s="210">
        <v>5</v>
      </c>
      <c r="B7" s="212" t="s">
        <v>18</v>
      </c>
      <c r="C7" s="213">
        <v>50</v>
      </c>
      <c r="D7" s="213">
        <v>50</v>
      </c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</row>
    <row r="8" spans="1:25">
      <c r="A8" s="210">
        <v>6</v>
      </c>
      <c r="B8" s="212" t="s">
        <v>19</v>
      </c>
      <c r="C8" s="210"/>
      <c r="D8" s="213">
        <v>100</v>
      </c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</row>
    <row r="9" spans="1:25">
      <c r="A9" s="210">
        <v>62</v>
      </c>
      <c r="B9" s="210" t="s">
        <v>721</v>
      </c>
      <c r="C9" s="210"/>
      <c r="D9" s="211"/>
      <c r="E9" s="211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</row>
    <row r="10" spans="1:25">
      <c r="A10" s="210">
        <v>8</v>
      </c>
      <c r="B10" s="212" t="s">
        <v>17</v>
      </c>
      <c r="C10" s="210"/>
      <c r="D10" s="213">
        <v>100</v>
      </c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</row>
    <row r="11" spans="1:25">
      <c r="A11" s="210">
        <v>9</v>
      </c>
      <c r="B11" s="212" t="s">
        <v>20</v>
      </c>
      <c r="C11" s="210"/>
      <c r="D11" s="213">
        <v>50</v>
      </c>
      <c r="E11" s="213">
        <v>50</v>
      </c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</row>
    <row r="12" spans="1:25">
      <c r="A12" s="210">
        <v>63</v>
      </c>
      <c r="B12" s="210" t="s">
        <v>310</v>
      </c>
      <c r="C12" s="210"/>
      <c r="D12" s="210"/>
      <c r="E12" s="211"/>
      <c r="F12" s="211"/>
      <c r="G12" s="211"/>
      <c r="H12" s="211"/>
      <c r="I12" s="211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</row>
    <row r="13" spans="1:25">
      <c r="A13" s="210">
        <v>11</v>
      </c>
      <c r="B13" s="212" t="s">
        <v>17</v>
      </c>
      <c r="C13" s="210"/>
      <c r="D13" s="210"/>
      <c r="E13" s="213">
        <v>100</v>
      </c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</row>
    <row r="14" spans="1:25">
      <c r="A14" s="210">
        <v>12</v>
      </c>
      <c r="B14" s="212" t="s">
        <v>18</v>
      </c>
      <c r="C14" s="210"/>
      <c r="D14" s="210"/>
      <c r="E14" s="213">
        <v>33</v>
      </c>
      <c r="F14" s="213">
        <v>33</v>
      </c>
      <c r="G14" s="210"/>
      <c r="H14" s="213">
        <v>34</v>
      </c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</row>
    <row r="15" spans="1:25">
      <c r="A15" s="210">
        <v>13</v>
      </c>
      <c r="B15" s="212" t="s">
        <v>21</v>
      </c>
      <c r="C15" s="210"/>
      <c r="D15" s="210"/>
      <c r="E15" s="210"/>
      <c r="F15" s="213">
        <v>33</v>
      </c>
      <c r="G15" s="213">
        <v>33</v>
      </c>
      <c r="H15" s="213">
        <v>34</v>
      </c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</row>
    <row r="16" spans="1:25">
      <c r="A16" s="210">
        <v>64</v>
      </c>
      <c r="B16" s="212" t="s">
        <v>22</v>
      </c>
      <c r="C16" s="210"/>
      <c r="D16" s="210"/>
      <c r="E16" s="210"/>
      <c r="F16" s="210"/>
      <c r="G16" s="210"/>
      <c r="H16" s="213">
        <v>50</v>
      </c>
      <c r="I16" s="213">
        <v>50</v>
      </c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</row>
    <row r="17" spans="1:25">
      <c r="A17" s="210">
        <v>15</v>
      </c>
      <c r="B17" s="212" t="s">
        <v>23</v>
      </c>
      <c r="C17" s="210"/>
      <c r="D17" s="210"/>
      <c r="E17" s="210"/>
      <c r="F17" s="210"/>
      <c r="G17" s="210"/>
      <c r="H17" s="210"/>
      <c r="I17" s="213">
        <v>100</v>
      </c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10"/>
      <c r="X17" s="210"/>
      <c r="Y17" s="210"/>
    </row>
    <row r="18" spans="1:25">
      <c r="A18" s="210">
        <v>65</v>
      </c>
      <c r="B18" s="210" t="s">
        <v>311</v>
      </c>
      <c r="C18" s="210"/>
      <c r="D18" s="210"/>
      <c r="E18" s="210"/>
      <c r="F18" s="210"/>
      <c r="G18" s="211"/>
      <c r="H18" s="211"/>
      <c r="I18" s="211"/>
      <c r="J18" s="211"/>
      <c r="K18" s="211"/>
      <c r="L18" s="210"/>
      <c r="M18" s="210"/>
      <c r="N18" s="210"/>
      <c r="O18" s="210"/>
      <c r="P18" s="210"/>
      <c r="Q18" s="210"/>
      <c r="R18" s="210"/>
      <c r="S18" s="210"/>
      <c r="T18" s="210"/>
      <c r="U18" s="210"/>
      <c r="V18" s="210"/>
      <c r="W18" s="210"/>
      <c r="X18" s="210"/>
      <c r="Y18" s="210"/>
    </row>
    <row r="19" spans="1:25">
      <c r="A19" s="210">
        <v>17</v>
      </c>
      <c r="B19" s="212" t="s">
        <v>17</v>
      </c>
      <c r="C19" s="210"/>
      <c r="D19" s="210"/>
      <c r="E19" s="210"/>
      <c r="F19" s="210"/>
      <c r="G19" s="213">
        <v>100</v>
      </c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210"/>
      <c r="Y19" s="210"/>
    </row>
    <row r="20" spans="1:25">
      <c r="A20" s="210">
        <v>18</v>
      </c>
      <c r="B20" s="212" t="s">
        <v>24</v>
      </c>
      <c r="C20" s="210"/>
      <c r="D20" s="210"/>
      <c r="E20" s="210"/>
      <c r="F20" s="210"/>
      <c r="G20" s="213">
        <v>50</v>
      </c>
      <c r="H20" s="213">
        <v>50</v>
      </c>
      <c r="I20" s="210"/>
      <c r="J20" s="210"/>
      <c r="K20" s="210"/>
      <c r="L20" s="210"/>
      <c r="M20" s="210"/>
      <c r="N20" s="210"/>
      <c r="O20" s="210"/>
      <c r="P20" s="210"/>
      <c r="Q20" s="210"/>
      <c r="R20" s="210"/>
      <c r="S20" s="210"/>
      <c r="T20" s="210"/>
      <c r="U20" s="210"/>
      <c r="V20" s="210"/>
      <c r="W20" s="210"/>
      <c r="X20" s="210"/>
      <c r="Y20" s="210"/>
    </row>
    <row r="21" spans="1:25">
      <c r="A21" s="210">
        <v>19</v>
      </c>
      <c r="B21" s="212" t="s">
        <v>21</v>
      </c>
      <c r="C21" s="210"/>
      <c r="D21" s="210"/>
      <c r="E21" s="210"/>
      <c r="F21" s="210"/>
      <c r="G21" s="210"/>
      <c r="H21" s="213">
        <v>33</v>
      </c>
      <c r="I21" s="213">
        <v>33</v>
      </c>
      <c r="J21" s="213">
        <v>34</v>
      </c>
      <c r="K21" s="210"/>
      <c r="L21" s="210"/>
      <c r="M21" s="210"/>
      <c r="N21" s="210"/>
      <c r="O21" s="210"/>
      <c r="P21" s="210"/>
      <c r="Q21" s="210"/>
      <c r="R21" s="210"/>
      <c r="S21" s="210"/>
      <c r="T21" s="210"/>
      <c r="U21" s="210"/>
      <c r="V21" s="210"/>
      <c r="W21" s="210"/>
      <c r="X21" s="210"/>
      <c r="Y21" s="210"/>
    </row>
    <row r="22" spans="1:25">
      <c r="A22" s="210">
        <v>20</v>
      </c>
      <c r="B22" s="212" t="s">
        <v>22</v>
      </c>
      <c r="C22" s="210"/>
      <c r="D22" s="210"/>
      <c r="E22" s="210"/>
      <c r="F22" s="210"/>
      <c r="G22" s="210"/>
      <c r="H22" s="210"/>
      <c r="I22" s="210"/>
      <c r="J22" s="213">
        <v>50</v>
      </c>
      <c r="K22" s="213">
        <v>50</v>
      </c>
      <c r="L22" s="210"/>
      <c r="M22" s="210"/>
      <c r="N22" s="210"/>
      <c r="O22" s="210"/>
      <c r="P22" s="210"/>
      <c r="Q22" s="210"/>
      <c r="R22" s="210"/>
      <c r="S22" s="210"/>
      <c r="T22" s="210"/>
      <c r="U22" s="210"/>
      <c r="V22" s="210"/>
      <c r="W22" s="210"/>
      <c r="X22" s="210"/>
      <c r="Y22" s="210"/>
    </row>
    <row r="23" spans="1:25">
      <c r="A23" s="210">
        <v>66</v>
      </c>
      <c r="B23" s="210" t="s">
        <v>856</v>
      </c>
      <c r="C23" s="210"/>
      <c r="D23" s="210"/>
      <c r="E23" s="210"/>
      <c r="F23" s="210"/>
      <c r="G23" s="210"/>
      <c r="H23" s="210"/>
      <c r="I23" s="211"/>
      <c r="J23" s="211"/>
      <c r="K23" s="211"/>
      <c r="L23" s="211"/>
      <c r="M23" s="211"/>
      <c r="N23" s="211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</row>
    <row r="24" spans="1:25">
      <c r="A24" s="210">
        <v>22</v>
      </c>
      <c r="B24" s="212" t="s">
        <v>17</v>
      </c>
      <c r="C24" s="210"/>
      <c r="D24" s="210"/>
      <c r="E24" s="210"/>
      <c r="F24" s="210"/>
      <c r="G24" s="210"/>
      <c r="H24" s="210"/>
      <c r="I24" s="213">
        <v>100</v>
      </c>
      <c r="J24" s="210"/>
      <c r="K24" s="210"/>
      <c r="L24" s="210"/>
      <c r="M24" s="210"/>
      <c r="N24" s="210"/>
      <c r="O24" s="210"/>
      <c r="P24" s="210"/>
      <c r="Q24" s="210"/>
      <c r="R24" s="210"/>
      <c r="S24" s="210"/>
      <c r="T24" s="210"/>
      <c r="U24" s="210"/>
      <c r="V24" s="210"/>
      <c r="W24" s="210"/>
      <c r="X24" s="210"/>
      <c r="Y24" s="210"/>
    </row>
    <row r="25" spans="1:25">
      <c r="A25" s="210">
        <v>23</v>
      </c>
      <c r="B25" s="212" t="s">
        <v>24</v>
      </c>
      <c r="C25" s="210"/>
      <c r="D25" s="210"/>
      <c r="E25" s="210"/>
      <c r="F25" s="210"/>
      <c r="G25" s="210"/>
      <c r="H25" s="210"/>
      <c r="I25" s="213">
        <v>50</v>
      </c>
      <c r="J25" s="213">
        <v>50</v>
      </c>
      <c r="K25" s="210"/>
      <c r="L25" s="210"/>
      <c r="M25" s="210"/>
      <c r="N25" s="210"/>
      <c r="O25" s="210"/>
      <c r="P25" s="210"/>
      <c r="Q25" s="210"/>
      <c r="R25" s="210"/>
      <c r="S25" s="210"/>
      <c r="T25" s="210"/>
      <c r="U25" s="210"/>
      <c r="V25" s="210"/>
      <c r="W25" s="210"/>
      <c r="X25" s="210"/>
      <c r="Y25" s="210"/>
    </row>
    <row r="26" spans="1:25">
      <c r="A26" s="210">
        <v>24</v>
      </c>
      <c r="B26" s="212" t="s">
        <v>21</v>
      </c>
      <c r="C26" s="210"/>
      <c r="D26" s="210"/>
      <c r="E26" s="210"/>
      <c r="F26" s="210"/>
      <c r="G26" s="210"/>
      <c r="H26" s="210"/>
      <c r="I26" s="210"/>
      <c r="J26" s="213">
        <v>33</v>
      </c>
      <c r="K26" s="213">
        <v>33</v>
      </c>
      <c r="L26" s="213">
        <v>34</v>
      </c>
      <c r="M26" s="210"/>
      <c r="N26" s="210"/>
      <c r="O26" s="210"/>
      <c r="P26" s="210"/>
      <c r="Q26" s="210"/>
      <c r="R26" s="210"/>
      <c r="S26" s="210"/>
      <c r="T26" s="210"/>
      <c r="U26" s="210"/>
      <c r="V26" s="210"/>
      <c r="W26" s="210"/>
      <c r="X26" s="210"/>
      <c r="Y26" s="210"/>
    </row>
    <row r="27" spans="1:25">
      <c r="A27" s="210">
        <v>25</v>
      </c>
      <c r="B27" s="212" t="s">
        <v>22</v>
      </c>
      <c r="C27" s="210"/>
      <c r="D27" s="210"/>
      <c r="E27" s="210"/>
      <c r="F27" s="210"/>
      <c r="G27" s="210"/>
      <c r="H27" s="210"/>
      <c r="I27" s="210"/>
      <c r="J27" s="210"/>
      <c r="K27" s="210"/>
      <c r="L27" s="213">
        <v>50</v>
      </c>
      <c r="M27" s="213">
        <v>50</v>
      </c>
      <c r="N27" s="210"/>
      <c r="O27" s="210"/>
      <c r="P27" s="210"/>
      <c r="Q27" s="210"/>
      <c r="R27" s="210"/>
      <c r="S27" s="210"/>
      <c r="T27" s="210"/>
      <c r="U27" s="210"/>
      <c r="V27" s="210"/>
      <c r="W27" s="210"/>
      <c r="X27" s="210"/>
      <c r="Y27" s="210"/>
    </row>
    <row r="28" spans="1:25">
      <c r="A28" s="210">
        <v>26</v>
      </c>
      <c r="B28" s="212" t="s">
        <v>23</v>
      </c>
      <c r="C28" s="210"/>
      <c r="D28" s="210"/>
      <c r="E28" s="210"/>
      <c r="F28" s="210"/>
      <c r="G28" s="210"/>
      <c r="H28" s="210"/>
      <c r="I28" s="210"/>
      <c r="J28" s="210"/>
      <c r="K28" s="210"/>
      <c r="L28" s="210"/>
      <c r="M28" s="210"/>
      <c r="N28" s="213">
        <v>100</v>
      </c>
      <c r="O28" s="210"/>
      <c r="P28" s="210"/>
      <c r="Q28" s="210"/>
      <c r="R28" s="210"/>
      <c r="S28" s="210"/>
      <c r="T28" s="210"/>
      <c r="U28" s="210"/>
      <c r="V28" s="210"/>
      <c r="W28" s="210"/>
      <c r="X28" s="210"/>
      <c r="Y28" s="210"/>
    </row>
    <row r="29" spans="1:25">
      <c r="A29" s="210">
        <v>67</v>
      </c>
      <c r="B29" s="210" t="s">
        <v>606</v>
      </c>
      <c r="C29" s="210"/>
      <c r="D29" s="210"/>
      <c r="E29" s="210"/>
      <c r="F29" s="210"/>
      <c r="G29" s="210"/>
      <c r="H29" s="210"/>
      <c r="I29" s="210"/>
      <c r="J29" s="210"/>
      <c r="K29" s="210"/>
      <c r="L29" s="211"/>
      <c r="M29" s="211"/>
      <c r="N29" s="211"/>
      <c r="O29" s="210"/>
      <c r="P29" s="210"/>
      <c r="Q29" s="210"/>
      <c r="R29" s="210"/>
      <c r="S29" s="210"/>
      <c r="T29" s="210"/>
      <c r="U29" s="210"/>
      <c r="V29" s="210"/>
      <c r="W29" s="210"/>
      <c r="X29" s="210"/>
      <c r="Y29" s="210"/>
    </row>
    <row r="30" spans="1:25">
      <c r="A30" s="210">
        <v>28</v>
      </c>
      <c r="B30" s="212" t="s">
        <v>17</v>
      </c>
      <c r="C30" s="210"/>
      <c r="D30" s="210"/>
      <c r="E30" s="210"/>
      <c r="F30" s="210"/>
      <c r="G30" s="210"/>
      <c r="H30" s="210"/>
      <c r="I30" s="210"/>
      <c r="J30" s="210"/>
      <c r="K30" s="210"/>
      <c r="L30" s="213">
        <v>100</v>
      </c>
      <c r="M30" s="210"/>
      <c r="N30" s="210"/>
      <c r="O30" s="210"/>
      <c r="P30" s="210"/>
      <c r="Q30" s="210"/>
      <c r="R30" s="210"/>
      <c r="S30" s="210"/>
      <c r="T30" s="210"/>
      <c r="U30" s="210"/>
      <c r="V30" s="210"/>
      <c r="W30" s="210"/>
      <c r="X30" s="210"/>
      <c r="Y30" s="210"/>
    </row>
    <row r="31" spans="1:25">
      <c r="A31" s="210">
        <v>29</v>
      </c>
      <c r="B31" s="212" t="s">
        <v>21</v>
      </c>
      <c r="C31" s="210"/>
      <c r="D31" s="210"/>
      <c r="E31" s="210"/>
      <c r="F31" s="210"/>
      <c r="G31" s="210"/>
      <c r="H31" s="210"/>
      <c r="I31" s="210"/>
      <c r="J31" s="210"/>
      <c r="K31" s="210"/>
      <c r="L31" s="213">
        <v>33</v>
      </c>
      <c r="M31" s="213">
        <v>33</v>
      </c>
      <c r="N31" s="213">
        <v>34</v>
      </c>
      <c r="O31" s="210"/>
      <c r="P31" s="210"/>
      <c r="Q31" s="210"/>
      <c r="R31" s="210"/>
      <c r="S31" s="210"/>
      <c r="T31" s="210"/>
      <c r="U31" s="210"/>
      <c r="V31" s="210"/>
      <c r="W31" s="210"/>
      <c r="X31" s="210"/>
      <c r="Y31" s="210"/>
    </row>
    <row r="32" spans="1:25">
      <c r="A32" s="210">
        <v>30</v>
      </c>
      <c r="B32" s="212" t="s">
        <v>25</v>
      </c>
      <c r="C32" s="210"/>
      <c r="D32" s="210"/>
      <c r="E32" s="210"/>
      <c r="F32" s="210"/>
      <c r="G32" s="210"/>
      <c r="H32" s="210"/>
      <c r="I32" s="210"/>
      <c r="J32" s="210"/>
      <c r="K32" s="210"/>
      <c r="L32" s="210"/>
      <c r="M32" s="210"/>
      <c r="N32" s="213">
        <v>100</v>
      </c>
      <c r="O32" s="210"/>
      <c r="P32" s="210"/>
      <c r="Q32" s="210"/>
      <c r="R32" s="210"/>
      <c r="S32" s="210"/>
      <c r="T32" s="210"/>
      <c r="U32" s="210"/>
      <c r="V32" s="210"/>
      <c r="W32" s="210"/>
      <c r="X32" s="210"/>
      <c r="Y32" s="210"/>
    </row>
    <row r="33" spans="1:25">
      <c r="A33" s="210">
        <v>68</v>
      </c>
      <c r="B33" s="210" t="s">
        <v>26</v>
      </c>
      <c r="C33" s="210"/>
      <c r="D33" s="210"/>
      <c r="E33" s="210"/>
      <c r="F33" s="210"/>
      <c r="G33" s="210"/>
      <c r="H33" s="210"/>
      <c r="I33" s="210"/>
      <c r="J33" s="210"/>
      <c r="K33" s="210"/>
      <c r="L33" s="210"/>
      <c r="M33" s="210"/>
      <c r="N33" s="211"/>
      <c r="O33" s="211"/>
      <c r="P33" s="210"/>
      <c r="Q33" s="210"/>
      <c r="R33" s="210"/>
      <c r="S33" s="210"/>
      <c r="T33" s="210"/>
      <c r="U33" s="210"/>
      <c r="V33" s="210"/>
      <c r="W33" s="210"/>
      <c r="X33" s="210"/>
      <c r="Y33" s="210"/>
    </row>
    <row r="34" spans="1:25">
      <c r="A34" s="210">
        <v>32</v>
      </c>
      <c r="B34" s="212" t="s">
        <v>18</v>
      </c>
      <c r="C34" s="210"/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3">
        <v>50</v>
      </c>
      <c r="O34" s="213">
        <v>50</v>
      </c>
      <c r="P34" s="210"/>
      <c r="Q34" s="210"/>
      <c r="R34" s="210"/>
      <c r="S34" s="210"/>
      <c r="T34" s="210"/>
      <c r="U34" s="210"/>
      <c r="V34" s="210"/>
      <c r="W34" s="210"/>
      <c r="X34" s="210"/>
      <c r="Y34" s="210"/>
    </row>
    <row r="35" spans="1:25">
      <c r="A35" s="210">
        <v>33</v>
      </c>
      <c r="B35" s="212" t="s">
        <v>22</v>
      </c>
      <c r="C35" s="210"/>
      <c r="D35" s="210"/>
      <c r="E35" s="210"/>
      <c r="F35" s="210"/>
      <c r="G35" s="210"/>
      <c r="H35" s="210"/>
      <c r="I35" s="210"/>
      <c r="J35" s="210"/>
      <c r="K35" s="210"/>
      <c r="L35" s="210"/>
      <c r="M35" s="210"/>
      <c r="N35" s="213">
        <v>50</v>
      </c>
      <c r="O35" s="213">
        <v>50</v>
      </c>
      <c r="P35" s="210"/>
      <c r="Q35" s="210"/>
      <c r="R35" s="210"/>
      <c r="S35" s="210"/>
      <c r="T35" s="210"/>
      <c r="U35" s="210"/>
      <c r="V35" s="210"/>
      <c r="W35" s="210"/>
      <c r="X35" s="210"/>
      <c r="Y35" s="210"/>
    </row>
    <row r="36" spans="1:25">
      <c r="A36" s="210">
        <v>69</v>
      </c>
      <c r="B36" s="210" t="s">
        <v>27</v>
      </c>
      <c r="C36" s="210"/>
      <c r="D36" s="210"/>
      <c r="E36" s="210"/>
      <c r="F36" s="210"/>
      <c r="G36" s="210"/>
      <c r="H36" s="210"/>
      <c r="I36" s="210"/>
      <c r="J36" s="210"/>
      <c r="K36" s="210"/>
      <c r="L36" s="210"/>
      <c r="M36" s="211"/>
      <c r="N36" s="211"/>
      <c r="O36" s="211"/>
      <c r="P36" s="210"/>
      <c r="Q36" s="210"/>
      <c r="R36" s="210"/>
      <c r="S36" s="210"/>
      <c r="T36" s="210"/>
      <c r="U36" s="210"/>
      <c r="V36" s="210"/>
      <c r="W36" s="210"/>
      <c r="X36" s="210"/>
      <c r="Y36" s="210"/>
    </row>
    <row r="37" spans="1:25">
      <c r="A37" s="210">
        <v>35</v>
      </c>
      <c r="B37" s="212" t="s">
        <v>17</v>
      </c>
      <c r="C37" s="210"/>
      <c r="D37" s="210"/>
      <c r="E37" s="210"/>
      <c r="F37" s="210"/>
      <c r="G37" s="210"/>
      <c r="H37" s="210"/>
      <c r="I37" s="210"/>
      <c r="J37" s="210"/>
      <c r="K37" s="210"/>
      <c r="L37" s="210"/>
      <c r="M37" s="213">
        <v>100</v>
      </c>
      <c r="N37" s="210"/>
      <c r="O37" s="210"/>
      <c r="P37" s="210"/>
      <c r="Q37" s="210"/>
      <c r="R37" s="210"/>
      <c r="S37" s="210"/>
      <c r="T37" s="210"/>
      <c r="U37" s="210"/>
      <c r="V37" s="210"/>
      <c r="W37" s="210"/>
      <c r="X37" s="210"/>
      <c r="Y37" s="210"/>
    </row>
    <row r="38" spans="1:25">
      <c r="A38" s="210">
        <v>36</v>
      </c>
      <c r="B38" s="212" t="s">
        <v>18</v>
      </c>
      <c r="C38" s="210"/>
      <c r="D38" s="210"/>
      <c r="E38" s="210"/>
      <c r="F38" s="210"/>
      <c r="G38" s="210"/>
      <c r="H38" s="210"/>
      <c r="I38" s="210"/>
      <c r="J38" s="210"/>
      <c r="K38" s="210"/>
      <c r="L38" s="210"/>
      <c r="M38" s="213">
        <v>33</v>
      </c>
      <c r="N38" s="213">
        <v>33</v>
      </c>
      <c r="O38" s="213">
        <v>34</v>
      </c>
      <c r="P38" s="210"/>
      <c r="Q38" s="210"/>
      <c r="R38" s="210"/>
      <c r="S38" s="210"/>
      <c r="T38" s="210"/>
      <c r="U38" s="210"/>
      <c r="V38" s="210"/>
      <c r="W38" s="210"/>
      <c r="X38" s="210"/>
      <c r="Y38" s="210"/>
    </row>
    <row r="39" spans="1:25">
      <c r="A39" s="210">
        <v>37</v>
      </c>
      <c r="B39" s="212" t="s">
        <v>21</v>
      </c>
      <c r="C39" s="210"/>
      <c r="D39" s="210"/>
      <c r="E39" s="210"/>
      <c r="F39" s="210"/>
      <c r="G39" s="210"/>
      <c r="H39" s="210"/>
      <c r="I39" s="210"/>
      <c r="J39" s="210"/>
      <c r="K39" s="210"/>
      <c r="L39" s="210"/>
      <c r="M39" s="210"/>
      <c r="N39" s="213">
        <v>50</v>
      </c>
      <c r="O39" s="213">
        <v>50</v>
      </c>
      <c r="P39" s="210"/>
      <c r="Q39" s="210"/>
      <c r="R39" s="210"/>
      <c r="S39" s="210"/>
      <c r="T39" s="210"/>
      <c r="U39" s="210"/>
      <c r="V39" s="210"/>
      <c r="W39" s="210"/>
      <c r="X39" s="210"/>
      <c r="Y39" s="210"/>
    </row>
    <row r="40" spans="1:25">
      <c r="A40" s="210">
        <v>38</v>
      </c>
      <c r="B40" s="212" t="s">
        <v>22</v>
      </c>
      <c r="C40" s="210"/>
      <c r="D40" s="210"/>
      <c r="E40" s="210"/>
      <c r="F40" s="210"/>
      <c r="G40" s="210"/>
      <c r="H40" s="210"/>
      <c r="I40" s="210"/>
      <c r="J40" s="210"/>
      <c r="K40" s="210"/>
      <c r="L40" s="210"/>
      <c r="M40" s="210"/>
      <c r="N40" s="213">
        <v>50</v>
      </c>
      <c r="O40" s="213">
        <v>50</v>
      </c>
      <c r="P40" s="210"/>
      <c r="Q40" s="210"/>
      <c r="R40" s="210"/>
      <c r="S40" s="210"/>
      <c r="T40" s="210"/>
      <c r="U40" s="210"/>
      <c r="V40" s="210"/>
      <c r="W40" s="210"/>
      <c r="X40" s="210"/>
      <c r="Y40" s="210"/>
    </row>
    <row r="41" spans="1:25">
      <c r="A41" s="210">
        <v>70</v>
      </c>
      <c r="B41" s="210" t="s">
        <v>736</v>
      </c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1"/>
      <c r="P41" s="211"/>
      <c r="Q41" s="211"/>
      <c r="R41" s="211"/>
      <c r="S41" s="210"/>
      <c r="T41" s="210"/>
      <c r="U41" s="210"/>
      <c r="V41" s="210"/>
      <c r="W41" s="210"/>
      <c r="X41" s="210"/>
      <c r="Y41" s="210"/>
    </row>
    <row r="42" spans="1:25">
      <c r="A42" s="210">
        <v>40</v>
      </c>
      <c r="B42" s="212" t="s">
        <v>17</v>
      </c>
      <c r="C42" s="210"/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  <c r="O42" s="213">
        <v>100</v>
      </c>
      <c r="P42" s="210"/>
      <c r="Q42" s="210"/>
      <c r="R42" s="210"/>
      <c r="S42" s="210"/>
      <c r="T42" s="210"/>
      <c r="U42" s="210"/>
      <c r="V42" s="210"/>
      <c r="W42" s="210"/>
      <c r="X42" s="210"/>
      <c r="Y42" s="210"/>
    </row>
    <row r="43" spans="1:25">
      <c r="A43" s="210">
        <v>41</v>
      </c>
      <c r="B43" s="212" t="s">
        <v>737</v>
      </c>
      <c r="C43" s="210"/>
      <c r="D43" s="210"/>
      <c r="E43" s="210"/>
      <c r="F43" s="210"/>
      <c r="G43" s="210"/>
      <c r="H43" s="210"/>
      <c r="I43" s="210"/>
      <c r="J43" s="210"/>
      <c r="K43" s="210"/>
      <c r="L43" s="210"/>
      <c r="M43" s="210"/>
      <c r="N43" s="210"/>
      <c r="O43" s="213">
        <v>100</v>
      </c>
      <c r="P43" s="210"/>
      <c r="Q43" s="210"/>
      <c r="R43" s="210"/>
      <c r="S43" s="210"/>
      <c r="T43" s="210"/>
      <c r="U43" s="210"/>
      <c r="V43" s="210"/>
      <c r="W43" s="210"/>
      <c r="X43" s="210"/>
      <c r="Y43" s="210"/>
    </row>
    <row r="44" spans="1:25">
      <c r="A44" s="210">
        <v>42</v>
      </c>
      <c r="B44" s="212" t="s">
        <v>738</v>
      </c>
      <c r="C44" s="210"/>
      <c r="D44" s="210"/>
      <c r="E44" s="210"/>
      <c r="F44" s="210"/>
      <c r="G44" s="210"/>
      <c r="H44" s="210"/>
      <c r="I44" s="210"/>
      <c r="J44" s="210"/>
      <c r="K44" s="210"/>
      <c r="L44" s="210"/>
      <c r="M44" s="210"/>
      <c r="N44" s="210"/>
      <c r="O44" s="210"/>
      <c r="P44" s="213">
        <v>50</v>
      </c>
      <c r="Q44" s="213">
        <v>50</v>
      </c>
      <c r="R44" s="210"/>
      <c r="S44" s="210"/>
      <c r="T44" s="210"/>
      <c r="U44" s="210"/>
      <c r="V44" s="210"/>
      <c r="W44" s="210"/>
      <c r="X44" s="210"/>
      <c r="Y44" s="210"/>
    </row>
    <row r="45" spans="1:25">
      <c r="A45" s="210">
        <v>43</v>
      </c>
      <c r="B45" s="212" t="s">
        <v>739</v>
      </c>
      <c r="C45" s="210"/>
      <c r="D45" s="210"/>
      <c r="E45" s="210"/>
      <c r="F45" s="210"/>
      <c r="G45" s="210"/>
      <c r="H45" s="210"/>
      <c r="I45" s="210"/>
      <c r="J45" s="210"/>
      <c r="K45" s="210"/>
      <c r="L45" s="210"/>
      <c r="M45" s="210"/>
      <c r="N45" s="210"/>
      <c r="O45" s="210"/>
      <c r="P45" s="210"/>
      <c r="Q45" s="210"/>
      <c r="R45" s="213">
        <v>100</v>
      </c>
      <c r="S45" s="210"/>
      <c r="T45" s="210"/>
      <c r="U45" s="210"/>
      <c r="V45" s="210"/>
      <c r="W45" s="210"/>
      <c r="X45" s="210"/>
      <c r="Y45" s="210"/>
    </row>
    <row r="46" spans="1:25">
      <c r="A46" s="210">
        <v>71</v>
      </c>
      <c r="B46" s="210" t="s">
        <v>740</v>
      </c>
      <c r="C46" s="210"/>
      <c r="D46" s="210"/>
      <c r="E46" s="210"/>
      <c r="F46" s="210"/>
      <c r="G46" s="210"/>
      <c r="H46" s="210"/>
      <c r="I46" s="210"/>
      <c r="J46" s="210"/>
      <c r="K46" s="210"/>
      <c r="L46" s="210"/>
      <c r="M46" s="210"/>
      <c r="N46" s="210"/>
      <c r="O46" s="210"/>
      <c r="P46" s="210"/>
      <c r="Q46" s="210"/>
      <c r="R46" s="211"/>
      <c r="S46" s="211"/>
      <c r="T46" s="210"/>
      <c r="U46" s="210"/>
      <c r="V46" s="210"/>
      <c r="W46" s="210"/>
      <c r="X46" s="210"/>
      <c r="Y46" s="210"/>
    </row>
    <row r="47" spans="1:25">
      <c r="A47" s="210">
        <v>45</v>
      </c>
      <c r="B47" s="212" t="s">
        <v>17</v>
      </c>
      <c r="C47" s="210"/>
      <c r="D47" s="210"/>
      <c r="E47" s="210"/>
      <c r="F47" s="210"/>
      <c r="G47" s="210"/>
      <c r="H47" s="210"/>
      <c r="I47" s="210"/>
      <c r="J47" s="210"/>
      <c r="K47" s="210"/>
      <c r="L47" s="210"/>
      <c r="M47" s="210"/>
      <c r="N47" s="210"/>
      <c r="O47" s="210"/>
      <c r="P47" s="210"/>
      <c r="Q47" s="210"/>
      <c r="R47" s="213">
        <v>100</v>
      </c>
      <c r="S47" s="210"/>
      <c r="T47" s="210"/>
      <c r="U47" s="210"/>
      <c r="V47" s="210"/>
      <c r="W47" s="210"/>
      <c r="X47" s="210"/>
      <c r="Y47" s="210"/>
    </row>
    <row r="48" spans="1:25">
      <c r="A48" s="210">
        <v>46</v>
      </c>
      <c r="B48" s="212" t="s">
        <v>18</v>
      </c>
      <c r="C48" s="210"/>
      <c r="D48" s="210"/>
      <c r="E48" s="210"/>
      <c r="F48" s="210"/>
      <c r="G48" s="210"/>
      <c r="H48" s="210"/>
      <c r="I48" s="210"/>
      <c r="J48" s="210"/>
      <c r="K48" s="210"/>
      <c r="L48" s="210"/>
      <c r="M48" s="210"/>
      <c r="N48" s="210"/>
      <c r="O48" s="210"/>
      <c r="P48" s="210"/>
      <c r="Q48" s="210"/>
      <c r="R48" s="213">
        <v>50</v>
      </c>
      <c r="S48" s="213">
        <v>50</v>
      </c>
      <c r="T48" s="210"/>
      <c r="U48" s="210"/>
      <c r="V48" s="210"/>
      <c r="W48" s="210"/>
      <c r="X48" s="210"/>
      <c r="Y48" s="210"/>
    </row>
    <row r="49" spans="1:25">
      <c r="A49" s="210">
        <v>47</v>
      </c>
      <c r="B49" s="212" t="s">
        <v>21</v>
      </c>
      <c r="C49" s="210"/>
      <c r="D49" s="210"/>
      <c r="E49" s="210"/>
      <c r="F49" s="210"/>
      <c r="G49" s="210"/>
      <c r="H49" s="210"/>
      <c r="I49" s="210"/>
      <c r="J49" s="210"/>
      <c r="K49" s="210"/>
      <c r="L49" s="210"/>
      <c r="M49" s="210"/>
      <c r="N49" s="210"/>
      <c r="O49" s="210"/>
      <c r="P49" s="210"/>
      <c r="Q49" s="210"/>
      <c r="R49" s="213">
        <v>50</v>
      </c>
      <c r="S49" s="213">
        <v>50</v>
      </c>
      <c r="T49" s="210"/>
      <c r="U49" s="210"/>
      <c r="V49" s="210"/>
      <c r="W49" s="210"/>
      <c r="X49" s="210"/>
      <c r="Y49" s="210"/>
    </row>
    <row r="50" spans="1:25">
      <c r="A50" s="210">
        <v>48</v>
      </c>
      <c r="B50" s="212" t="s">
        <v>22</v>
      </c>
      <c r="C50" s="210"/>
      <c r="D50" s="210"/>
      <c r="E50" s="210"/>
      <c r="F50" s="210"/>
      <c r="G50" s="210"/>
      <c r="H50" s="210"/>
      <c r="I50" s="210"/>
      <c r="J50" s="210"/>
      <c r="K50" s="210"/>
      <c r="L50" s="210"/>
      <c r="M50" s="210"/>
      <c r="N50" s="210"/>
      <c r="O50" s="210"/>
      <c r="P50" s="210"/>
      <c r="Q50" s="210"/>
      <c r="R50" s="213">
        <v>50</v>
      </c>
      <c r="S50" s="213">
        <v>50</v>
      </c>
      <c r="T50" s="210"/>
      <c r="U50" s="210"/>
      <c r="V50" s="210"/>
      <c r="W50" s="210"/>
      <c r="X50" s="210"/>
      <c r="Y50" s="210"/>
    </row>
    <row r="51" spans="1:25">
      <c r="A51" s="210">
        <v>72</v>
      </c>
      <c r="B51" s="210" t="s">
        <v>23</v>
      </c>
      <c r="C51" s="210"/>
      <c r="D51" s="210"/>
      <c r="E51" s="210"/>
      <c r="F51" s="210"/>
      <c r="G51" s="210"/>
      <c r="H51" s="210"/>
      <c r="I51" s="210"/>
      <c r="J51" s="210"/>
      <c r="K51" s="210"/>
      <c r="L51" s="210"/>
      <c r="M51" s="210"/>
      <c r="N51" s="210"/>
      <c r="O51" s="210"/>
      <c r="P51" s="210"/>
      <c r="Q51" s="210"/>
      <c r="R51" s="210"/>
      <c r="S51" s="211"/>
      <c r="T51" s="211"/>
      <c r="U51" s="210"/>
      <c r="V51" s="210"/>
      <c r="W51" s="210"/>
      <c r="X51" s="210"/>
      <c r="Y51" s="210"/>
    </row>
    <row r="52" spans="1:25">
      <c r="A52" s="210">
        <v>50</v>
      </c>
      <c r="B52" s="212" t="s">
        <v>741</v>
      </c>
      <c r="C52" s="210"/>
      <c r="D52" s="210"/>
      <c r="E52" s="210"/>
      <c r="F52" s="210"/>
      <c r="G52" s="210"/>
      <c r="H52" s="210"/>
      <c r="I52" s="210"/>
      <c r="J52" s="210"/>
      <c r="K52" s="210"/>
      <c r="L52" s="210"/>
      <c r="M52" s="210"/>
      <c r="N52" s="210"/>
      <c r="O52" s="210"/>
      <c r="P52" s="210"/>
      <c r="Q52" s="210"/>
      <c r="R52" s="210"/>
      <c r="S52" s="213">
        <v>50</v>
      </c>
      <c r="T52" s="213">
        <v>50</v>
      </c>
      <c r="U52" s="210"/>
      <c r="V52" s="210"/>
      <c r="W52" s="210"/>
      <c r="X52" s="210"/>
      <c r="Y52" s="210"/>
    </row>
  </sheetData>
  <phoneticPr fontId="0" type="noConversion"/>
  <printOptions gridLines="1"/>
  <pageMargins left="0.63" right="0.11811023622047245" top="0.39370078740157483" bottom="0.23622047244094491" header="0.31496062992125984" footer="0.15748031496062992"/>
  <pageSetup paperSize="9" scale="86" fitToWidth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zoomScale="75" workbookViewId="0">
      <selection activeCell="O37" sqref="O37"/>
    </sheetView>
  </sheetViews>
  <sheetFormatPr defaultColWidth="11.42578125" defaultRowHeight="12.75"/>
  <cols>
    <col min="1" max="1" width="7.85546875" customWidth="1"/>
    <col min="2" max="2" width="2" customWidth="1"/>
    <col min="3" max="3" width="32.42578125" customWidth="1"/>
    <col min="4" max="4" width="13.7109375" customWidth="1"/>
    <col min="5" max="5" width="6.7109375" customWidth="1"/>
    <col min="6" max="6" width="14.7109375" customWidth="1"/>
    <col min="7" max="7" width="7.85546875" customWidth="1"/>
    <col min="8" max="8" width="23.140625" customWidth="1"/>
    <col min="9" max="9" width="2" customWidth="1"/>
    <col min="10" max="10" width="15.7109375" style="88" hidden="1" customWidth="1"/>
    <col min="11" max="11" width="7.5703125" style="88" customWidth="1"/>
    <col min="12" max="12" width="18.5703125" customWidth="1"/>
    <col min="13" max="13" width="2.140625" customWidth="1"/>
    <col min="14" max="26" width="11.5703125" customWidth="1"/>
  </cols>
  <sheetData>
    <row r="1" spans="1:13" s="8" customFormat="1" ht="9" customHeight="1" thickBot="1">
      <c r="J1" s="9"/>
      <c r="K1" s="9"/>
    </row>
    <row r="2" spans="1:13" s="8" customFormat="1" ht="15.6" customHeight="1">
      <c r="E2" s="10" t="s">
        <v>146</v>
      </c>
      <c r="F2" s="11"/>
      <c r="G2" s="12"/>
      <c r="H2" s="12"/>
      <c r="I2" s="11"/>
      <c r="J2" s="11"/>
      <c r="K2" s="11"/>
      <c r="L2" s="13" t="s">
        <v>147</v>
      </c>
      <c r="M2" s="14"/>
    </row>
    <row r="3" spans="1:13" s="8" customFormat="1" ht="13.15" customHeight="1">
      <c r="E3" s="15"/>
      <c r="F3" s="16" t="s">
        <v>148</v>
      </c>
      <c r="G3" s="16"/>
      <c r="H3" s="16"/>
      <c r="I3" s="16"/>
      <c r="J3" s="16"/>
      <c r="K3" s="16"/>
      <c r="L3" s="17"/>
      <c r="M3" s="18"/>
    </row>
    <row r="4" spans="1:13" s="8" customFormat="1" ht="15.6" customHeight="1">
      <c r="E4" s="19" t="s">
        <v>621</v>
      </c>
      <c r="F4" s="20"/>
      <c r="G4" s="21" t="s">
        <v>622</v>
      </c>
      <c r="H4" s="21"/>
      <c r="I4" s="21"/>
      <c r="J4" s="22"/>
      <c r="K4" s="22"/>
      <c r="L4" s="23" t="s">
        <v>623</v>
      </c>
      <c r="M4" s="24"/>
    </row>
    <row r="5" spans="1:13" s="8" customFormat="1" ht="15" customHeight="1" thickBot="1">
      <c r="E5" s="25"/>
      <c r="F5" s="26">
        <v>38504</v>
      </c>
      <c r="G5" s="27" t="s">
        <v>149</v>
      </c>
      <c r="H5" s="27"/>
      <c r="I5" s="27"/>
      <c r="J5" s="27"/>
      <c r="K5" s="27"/>
      <c r="L5" s="28"/>
      <c r="M5" s="29"/>
    </row>
    <row r="6" spans="1:13" s="8" customFormat="1" ht="9" customHeight="1" thickBot="1">
      <c r="J6" s="9"/>
      <c r="K6" s="9"/>
    </row>
    <row r="7" spans="1:13" s="8" customFormat="1" ht="19.5" customHeight="1">
      <c r="A7" s="30" t="s">
        <v>150</v>
      </c>
      <c r="B7" s="872" t="s">
        <v>151</v>
      </c>
      <c r="C7" s="873"/>
      <c r="D7" s="873"/>
      <c r="E7" s="873"/>
      <c r="F7" s="874"/>
      <c r="G7" s="32" t="s">
        <v>152</v>
      </c>
      <c r="H7" s="875" t="s">
        <v>153</v>
      </c>
      <c r="I7" s="876"/>
      <c r="J7" s="876"/>
      <c r="K7" s="876"/>
      <c r="L7" s="876"/>
      <c r="M7" s="33"/>
    </row>
    <row r="8" spans="1:13" ht="13.15" customHeight="1">
      <c r="A8" s="34"/>
      <c r="B8" s="35"/>
      <c r="C8" s="36"/>
      <c r="D8" s="36"/>
      <c r="E8" s="36"/>
      <c r="F8" s="36"/>
      <c r="G8" s="37"/>
      <c r="H8" s="38"/>
      <c r="I8" s="39"/>
      <c r="J8" s="40"/>
      <c r="K8" s="39"/>
      <c r="L8" s="41" t="str">
        <f>IF(J8=0," ",IF(J8=" -"," -",H8*J8))</f>
        <v xml:space="preserve"> </v>
      </c>
      <c r="M8" s="42"/>
    </row>
    <row r="9" spans="1:13" ht="13.15" customHeight="1">
      <c r="A9" s="34"/>
      <c r="B9" s="35"/>
      <c r="C9" s="43" t="s">
        <v>149</v>
      </c>
      <c r="D9" s="36"/>
      <c r="E9" s="36"/>
      <c r="F9" s="36"/>
      <c r="G9" s="37"/>
      <c r="H9" s="44"/>
      <c r="I9" s="45"/>
      <c r="J9" s="46"/>
      <c r="K9" s="45"/>
      <c r="L9" s="41"/>
      <c r="M9" s="42"/>
    </row>
    <row r="10" spans="1:13" ht="13.15" customHeight="1">
      <c r="A10" s="34"/>
      <c r="B10" s="35"/>
      <c r="C10" s="36"/>
      <c r="D10" s="36"/>
      <c r="E10" s="36"/>
      <c r="F10" s="36"/>
      <c r="G10" s="37"/>
      <c r="H10" s="44"/>
      <c r="I10" s="45"/>
      <c r="J10" s="46"/>
      <c r="K10" s="45"/>
      <c r="L10" s="41"/>
      <c r="M10" s="42"/>
    </row>
    <row r="11" spans="1:13" ht="13.15" customHeight="1">
      <c r="A11" s="34">
        <v>1</v>
      </c>
      <c r="B11" s="35"/>
      <c r="C11" s="47" t="s">
        <v>154</v>
      </c>
      <c r="D11" s="48"/>
      <c r="E11" s="49"/>
      <c r="F11" s="49"/>
      <c r="G11" s="37"/>
      <c r="H11" s="41"/>
      <c r="I11" s="45"/>
      <c r="J11" s="46"/>
      <c r="K11" s="45"/>
      <c r="L11" s="41"/>
      <c r="M11" s="42"/>
    </row>
    <row r="12" spans="1:13" ht="13.15" customHeight="1">
      <c r="A12" s="50"/>
      <c r="B12" s="51"/>
      <c r="C12" s="49"/>
      <c r="D12" s="49"/>
      <c r="E12" s="49"/>
      <c r="F12" s="49"/>
      <c r="G12" s="37"/>
      <c r="H12" s="44"/>
      <c r="I12" s="45"/>
      <c r="J12" s="46"/>
      <c r="K12" s="45"/>
      <c r="L12" s="41"/>
      <c r="M12" s="42"/>
    </row>
    <row r="13" spans="1:13" ht="13.15" customHeight="1">
      <c r="A13" s="34">
        <v>1.1000000000000001</v>
      </c>
      <c r="B13" s="35"/>
      <c r="C13" s="47" t="s">
        <v>155</v>
      </c>
      <c r="D13" s="47"/>
      <c r="E13" s="47"/>
      <c r="F13" s="47"/>
      <c r="G13" s="37" t="s">
        <v>156</v>
      </c>
      <c r="H13" s="44"/>
      <c r="I13" s="45"/>
      <c r="J13" s="46"/>
      <c r="K13" s="45"/>
      <c r="L13" s="41">
        <f>'Interceptor(mão-de-obra)'!L167</f>
        <v>131565.54164350004</v>
      </c>
      <c r="M13" s="42"/>
    </row>
    <row r="14" spans="1:13" ht="13.15" customHeight="1">
      <c r="A14" s="34"/>
      <c r="B14" s="35"/>
      <c r="C14" s="47"/>
      <c r="D14" s="47"/>
      <c r="E14" s="47"/>
      <c r="F14" s="47"/>
      <c r="G14" s="37"/>
      <c r="H14" s="44"/>
      <c r="I14" s="45"/>
      <c r="J14" s="46"/>
      <c r="K14" s="45"/>
      <c r="L14" s="41"/>
      <c r="M14" s="42"/>
    </row>
    <row r="15" spans="1:13" ht="13.15" customHeight="1">
      <c r="A15" s="34">
        <v>1.2</v>
      </c>
      <c r="B15" s="35"/>
      <c r="C15" s="47" t="s">
        <v>157</v>
      </c>
      <c r="D15" s="47"/>
      <c r="E15" s="47"/>
      <c r="F15" s="47"/>
      <c r="G15" s="37" t="s">
        <v>156</v>
      </c>
      <c r="H15" s="52"/>
      <c r="I15" s="45"/>
      <c r="J15" s="46"/>
      <c r="K15" s="45"/>
      <c r="L15" s="41">
        <f>'Interceptor (materiais)'!L157</f>
        <v>264928.59288464999</v>
      </c>
      <c r="M15" s="42"/>
    </row>
    <row r="16" spans="1:13">
      <c r="A16" s="34"/>
      <c r="B16" s="35"/>
      <c r="C16" s="47"/>
      <c r="D16" s="47"/>
      <c r="E16" s="53"/>
      <c r="F16" s="53"/>
      <c r="G16" s="37"/>
      <c r="H16" s="44"/>
      <c r="I16" s="45"/>
      <c r="J16" s="46"/>
      <c r="K16" s="45"/>
      <c r="L16" s="41"/>
      <c r="M16" s="42"/>
    </row>
    <row r="17" spans="1:13" ht="13.15" customHeight="1">
      <c r="A17" s="34"/>
      <c r="B17" s="35"/>
      <c r="C17" s="47"/>
      <c r="D17" s="47"/>
      <c r="E17" s="53"/>
      <c r="F17" s="53"/>
      <c r="G17" s="37"/>
      <c r="H17" s="54"/>
      <c r="I17" s="45"/>
      <c r="J17" s="46"/>
      <c r="K17" s="45"/>
      <c r="L17" s="41"/>
      <c r="M17" s="42"/>
    </row>
    <row r="18" spans="1:13" ht="13.15" customHeight="1">
      <c r="A18" s="34"/>
      <c r="B18" s="35"/>
      <c r="C18" s="47"/>
      <c r="D18" s="47"/>
      <c r="E18" s="53"/>
      <c r="F18" s="53"/>
      <c r="G18" s="37"/>
      <c r="H18" s="54"/>
      <c r="I18" s="45"/>
      <c r="J18" s="46"/>
      <c r="K18" s="45"/>
      <c r="L18" s="41"/>
      <c r="M18" s="42"/>
    </row>
    <row r="19" spans="1:13" ht="13.15" customHeight="1">
      <c r="A19" s="34"/>
      <c r="B19" s="35"/>
      <c r="C19" s="55" t="s">
        <v>66</v>
      </c>
      <c r="D19" s="47"/>
      <c r="E19" s="53"/>
      <c r="F19" s="56"/>
      <c r="G19" s="37"/>
      <c r="H19" s="57"/>
      <c r="I19" s="58"/>
      <c r="J19" s="59"/>
      <c r="K19" s="58"/>
      <c r="L19" s="60">
        <f>SUM(L11:L18)</f>
        <v>396494.13452815003</v>
      </c>
      <c r="M19" s="42"/>
    </row>
    <row r="20" spans="1:13" ht="13.15" customHeight="1">
      <c r="A20" s="34"/>
      <c r="B20" s="35"/>
      <c r="C20" s="55"/>
      <c r="D20" s="47"/>
      <c r="E20" s="53"/>
      <c r="F20" s="53"/>
      <c r="G20" s="37"/>
      <c r="H20" s="54"/>
      <c r="I20" s="45"/>
      <c r="J20" s="46"/>
      <c r="K20" s="45"/>
      <c r="L20" s="60"/>
      <c r="M20" s="42"/>
    </row>
    <row r="21" spans="1:13" ht="13.15" customHeight="1">
      <c r="A21" s="34"/>
      <c r="B21" s="35"/>
      <c r="C21" s="55" t="s">
        <v>919</v>
      </c>
      <c r="D21" s="47"/>
      <c r="E21" s="53"/>
      <c r="F21" s="53"/>
      <c r="G21" s="37"/>
      <c r="H21" s="54"/>
      <c r="I21" s="45"/>
      <c r="J21" s="46"/>
      <c r="K21" s="45"/>
      <c r="L21" s="60"/>
      <c r="M21" s="42"/>
    </row>
    <row r="22" spans="1:13" ht="13.15" customHeight="1">
      <c r="A22" s="34"/>
      <c r="B22" s="35"/>
      <c r="C22" s="47" t="s">
        <v>920</v>
      </c>
      <c r="D22" s="47"/>
      <c r="E22" s="61"/>
      <c r="F22" s="62"/>
      <c r="G22" s="37"/>
      <c r="H22" s="54"/>
      <c r="I22" s="45"/>
      <c r="J22" s="46"/>
      <c r="K22" s="45"/>
      <c r="L22" s="63"/>
      <c r="M22" s="42"/>
    </row>
    <row r="23" spans="1:13" ht="13.15" customHeight="1">
      <c r="A23" s="34"/>
      <c r="B23" s="35"/>
      <c r="C23" s="47" t="s">
        <v>921</v>
      </c>
      <c r="D23" s="47"/>
      <c r="E23" s="61"/>
      <c r="F23" s="62"/>
      <c r="G23" s="37"/>
      <c r="H23" s="54"/>
      <c r="I23" s="45"/>
      <c r="J23" s="46"/>
      <c r="K23" s="45"/>
      <c r="L23" s="63"/>
      <c r="M23" s="42"/>
    </row>
    <row r="24" spans="1:13" ht="13.15" customHeight="1">
      <c r="A24" s="34"/>
      <c r="B24" s="35"/>
      <c r="C24" s="47" t="s">
        <v>0</v>
      </c>
      <c r="D24" s="47"/>
      <c r="E24" s="61"/>
      <c r="F24" s="62"/>
      <c r="G24" s="37"/>
      <c r="H24" s="54"/>
      <c r="I24" s="45"/>
      <c r="J24" s="46"/>
      <c r="K24" s="45"/>
      <c r="L24" s="63"/>
      <c r="M24" s="42"/>
    </row>
    <row r="25" spans="1:13" ht="13.15" customHeight="1">
      <c r="A25" s="34"/>
      <c r="B25" s="35"/>
      <c r="C25" s="64"/>
      <c r="D25" s="47"/>
      <c r="E25" s="61"/>
      <c r="F25" s="62"/>
      <c r="G25" s="37"/>
      <c r="H25" s="54"/>
      <c r="I25" s="45"/>
      <c r="J25" s="46"/>
      <c r="K25" s="45"/>
      <c r="L25" s="63"/>
      <c r="M25" s="42"/>
    </row>
    <row r="26" spans="1:13" ht="13.15" customHeight="1">
      <c r="A26" s="34"/>
      <c r="B26" s="35"/>
      <c r="C26" s="64"/>
      <c r="D26" s="47"/>
      <c r="E26" s="61"/>
      <c r="F26" s="62"/>
      <c r="G26" s="37"/>
      <c r="H26" s="54"/>
      <c r="I26" s="45"/>
      <c r="J26" s="46"/>
      <c r="K26" s="45"/>
      <c r="L26" s="63"/>
      <c r="M26" s="42"/>
    </row>
    <row r="27" spans="1:13" ht="13.15" customHeight="1">
      <c r="A27" s="34"/>
      <c r="B27" s="35"/>
      <c r="C27" s="47"/>
      <c r="D27" s="47"/>
      <c r="E27" s="61"/>
      <c r="F27" s="62"/>
      <c r="G27" s="37"/>
      <c r="H27" s="54"/>
      <c r="I27" s="45"/>
      <c r="J27" s="46"/>
      <c r="K27" s="45"/>
      <c r="L27" s="63"/>
      <c r="M27" s="42"/>
    </row>
    <row r="28" spans="1:13" ht="13.15" customHeight="1">
      <c r="A28" s="34"/>
      <c r="B28" s="35"/>
      <c r="C28" s="47"/>
      <c r="D28" s="47"/>
      <c r="E28" s="61"/>
      <c r="F28" s="62"/>
      <c r="G28" s="37"/>
      <c r="H28" s="54"/>
      <c r="I28" s="45"/>
      <c r="J28" s="46"/>
      <c r="K28" s="45"/>
      <c r="L28" s="63"/>
      <c r="M28" s="42"/>
    </row>
    <row r="29" spans="1:13" ht="13.15" customHeight="1">
      <c r="A29" s="34"/>
      <c r="B29" s="35"/>
      <c r="C29" s="47"/>
      <c r="D29" s="47"/>
      <c r="E29" s="61"/>
      <c r="F29" s="62"/>
      <c r="G29" s="37"/>
      <c r="H29" s="54"/>
      <c r="I29" s="45"/>
      <c r="J29" s="46"/>
      <c r="K29" s="45"/>
      <c r="L29" s="63"/>
      <c r="M29" s="42"/>
    </row>
    <row r="30" spans="1:13" ht="13.15" customHeight="1">
      <c r="A30" s="34"/>
      <c r="B30" s="35"/>
      <c r="C30" s="65"/>
      <c r="D30" s="47"/>
      <c r="E30" s="61"/>
      <c r="F30" s="62"/>
      <c r="G30" s="37"/>
      <c r="H30" s="54"/>
      <c r="I30" s="45"/>
      <c r="J30" s="46"/>
      <c r="K30" s="45"/>
      <c r="L30" s="63"/>
      <c r="M30" s="42"/>
    </row>
    <row r="31" spans="1:13" ht="13.15" customHeight="1">
      <c r="A31" s="34"/>
      <c r="B31" s="35"/>
      <c r="C31" s="47"/>
      <c r="D31" s="47"/>
      <c r="E31" s="61"/>
      <c r="F31" s="62"/>
      <c r="G31" s="37"/>
      <c r="H31" s="54"/>
      <c r="I31" s="45"/>
      <c r="J31" s="46"/>
      <c r="K31" s="45"/>
      <c r="L31" s="63"/>
      <c r="M31" s="42"/>
    </row>
    <row r="32" spans="1:13" ht="13.15" customHeight="1">
      <c r="A32" s="34"/>
      <c r="B32" s="35"/>
      <c r="C32" s="55"/>
      <c r="D32" s="47"/>
      <c r="E32" s="66"/>
      <c r="F32" s="62"/>
      <c r="G32" s="37"/>
      <c r="H32" s="54"/>
      <c r="I32" s="45"/>
      <c r="J32" s="46"/>
      <c r="K32" s="45"/>
      <c r="L32" s="60"/>
      <c r="M32" s="42"/>
    </row>
    <row r="33" spans="1:13" ht="13.15" customHeight="1">
      <c r="A33" s="34"/>
      <c r="B33" s="35"/>
      <c r="C33" s="55"/>
      <c r="D33" s="47"/>
      <c r="E33" s="66"/>
      <c r="F33" s="62"/>
      <c r="G33" s="37"/>
      <c r="H33" s="54"/>
      <c r="I33" s="45"/>
      <c r="J33" s="46"/>
      <c r="K33" s="45"/>
      <c r="L33" s="60"/>
      <c r="M33" s="42"/>
    </row>
    <row r="34" spans="1:13" ht="13.15" customHeight="1">
      <c r="A34" s="34"/>
      <c r="B34" s="35"/>
      <c r="C34" s="55"/>
      <c r="D34" s="67"/>
      <c r="E34" s="61"/>
      <c r="F34" s="62"/>
      <c r="G34" s="37"/>
      <c r="H34" s="54"/>
      <c r="I34" s="45"/>
      <c r="J34" s="46"/>
      <c r="K34" s="45"/>
      <c r="L34" s="60"/>
      <c r="M34" s="42"/>
    </row>
    <row r="35" spans="1:13" ht="13.15" customHeight="1">
      <c r="A35" s="34"/>
      <c r="B35" s="35"/>
      <c r="C35" s="55"/>
      <c r="D35" s="67"/>
      <c r="E35" s="61"/>
      <c r="F35" s="62"/>
      <c r="G35" s="37"/>
      <c r="H35" s="54"/>
      <c r="I35" s="45"/>
      <c r="J35" s="46"/>
      <c r="K35" s="45"/>
      <c r="L35" s="60"/>
      <c r="M35" s="42"/>
    </row>
    <row r="36" spans="1:13" ht="13.7" customHeight="1" thickBot="1">
      <c r="A36" s="68"/>
      <c r="B36" s="69"/>
      <c r="C36" s="70"/>
      <c r="D36" s="70"/>
      <c r="E36" s="70"/>
      <c r="F36" s="70"/>
      <c r="G36" s="71"/>
      <c r="H36" s="72"/>
      <c r="I36" s="70"/>
      <c r="J36" s="73"/>
      <c r="K36" s="70"/>
      <c r="L36" s="73" t="str">
        <f>IF(J36=0," ",IF(J36=" -"," -",H36*J36))</f>
        <v xml:space="preserve"> </v>
      </c>
      <c r="M36" s="74"/>
    </row>
    <row r="37" spans="1:13" ht="6" customHeight="1" thickBot="1">
      <c r="A37" s="75"/>
      <c r="B37" s="75"/>
      <c r="C37" s="45"/>
      <c r="D37" s="45"/>
      <c r="E37" s="45"/>
      <c r="F37" s="45"/>
      <c r="G37" s="75"/>
      <c r="H37" s="76"/>
      <c r="I37" s="45"/>
      <c r="J37" s="46"/>
      <c r="K37" s="45"/>
      <c r="L37" s="46"/>
      <c r="M37" s="45"/>
    </row>
    <row r="38" spans="1:13" ht="14.25">
      <c r="A38" s="77" t="s">
        <v>1</v>
      </c>
      <c r="B38" s="78"/>
      <c r="C38" s="79"/>
      <c r="D38" s="80" t="s">
        <v>2</v>
      </c>
      <c r="E38" s="78"/>
      <c r="F38" s="78"/>
      <c r="G38" s="81" t="s">
        <v>236</v>
      </c>
      <c r="H38" s="82"/>
      <c r="I38" s="80" t="s">
        <v>237</v>
      </c>
      <c r="J38" s="83"/>
      <c r="K38" s="84"/>
      <c r="L38" s="85"/>
      <c r="M38" s="86"/>
    </row>
    <row r="39" spans="1:13" ht="13.5" thickBot="1">
      <c r="A39" s="866"/>
      <c r="B39" s="867"/>
      <c r="C39" s="868"/>
      <c r="D39" s="869"/>
      <c r="E39" s="870"/>
      <c r="F39" s="871"/>
      <c r="G39" s="69"/>
      <c r="H39" s="87"/>
      <c r="I39" s="70"/>
      <c r="J39" s="73"/>
      <c r="K39" s="70"/>
      <c r="L39" s="73"/>
      <c r="M39" s="74"/>
    </row>
  </sheetData>
  <dataConsolidate/>
  <mergeCells count="4">
    <mergeCell ref="A39:C39"/>
    <mergeCell ref="D39:F39"/>
    <mergeCell ref="B7:F7"/>
    <mergeCell ref="H7:L7"/>
  </mergeCells>
  <phoneticPr fontId="0" type="noConversion"/>
  <printOptions horizontalCentered="1" verticalCentered="1"/>
  <pageMargins left="0.39370078740157483" right="0.39370078740157483" top="0.70866141732283472" bottom="0.62992125984251968" header="0.94488188976377963" footer="0.39370078740157483"/>
  <pageSetup paperSize="9" orientation="landscape" horizontalDpi="4294967294" verticalDpi="360" r:id="rId1"/>
  <headerFooter alignWithMargins="0">
    <oddHeader>&amp;R&amp;9&amp;P&amp;D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1"/>
  <sheetViews>
    <sheetView workbookViewId="0">
      <selection activeCell="O37" sqref="O37"/>
    </sheetView>
  </sheetViews>
  <sheetFormatPr defaultRowHeight="12.75"/>
  <cols>
    <col min="10" max="10" width="14.42578125" customWidth="1"/>
    <col min="11" max="11" width="17.140625" customWidth="1"/>
    <col min="12" max="12" width="19.140625" customWidth="1"/>
    <col min="14" max="14" width="14.42578125" hidden="1" customWidth="1"/>
    <col min="15" max="15" width="17.140625" hidden="1" customWidth="1"/>
  </cols>
  <sheetData>
    <row r="1" spans="1:15">
      <c r="G1" s="89" t="s">
        <v>238</v>
      </c>
      <c r="H1" s="90"/>
      <c r="I1" s="90"/>
      <c r="J1" s="90"/>
      <c r="K1" s="90"/>
      <c r="L1" s="91" t="s">
        <v>239</v>
      </c>
      <c r="N1" s="90"/>
      <c r="O1" s="90"/>
    </row>
    <row r="2" spans="1:15" ht="15">
      <c r="G2" s="881" t="s">
        <v>240</v>
      </c>
      <c r="H2" s="882"/>
      <c r="I2" s="882"/>
      <c r="J2" s="882"/>
      <c r="K2" s="92"/>
      <c r="L2" s="93"/>
      <c r="O2" s="92"/>
    </row>
    <row r="3" spans="1:15">
      <c r="G3" s="94" t="s">
        <v>241</v>
      </c>
      <c r="H3" s="88"/>
      <c r="I3" s="88"/>
      <c r="J3" s="88"/>
      <c r="K3" s="88"/>
      <c r="L3" s="95" t="s">
        <v>242</v>
      </c>
      <c r="N3" s="88"/>
      <c r="O3" s="88"/>
    </row>
    <row r="4" spans="1:15" ht="15.75" thickBot="1">
      <c r="G4" s="883" t="s">
        <v>154</v>
      </c>
      <c r="H4" s="884"/>
      <c r="I4" s="884"/>
      <c r="J4" s="884"/>
      <c r="K4" s="885"/>
      <c r="L4" s="96">
        <v>38504</v>
      </c>
    </row>
    <row r="5" spans="1:15" ht="5.25" customHeight="1" thickBot="1"/>
    <row r="6" spans="1:15">
      <c r="A6" s="97" t="s">
        <v>150</v>
      </c>
      <c r="B6" s="873" t="s">
        <v>151</v>
      </c>
      <c r="C6" s="873"/>
      <c r="D6" s="873"/>
      <c r="E6" s="873"/>
      <c r="F6" s="873"/>
      <c r="G6" s="873"/>
      <c r="H6" s="873"/>
      <c r="I6" s="98" t="s">
        <v>152</v>
      </c>
      <c r="J6" s="31" t="s">
        <v>243</v>
      </c>
      <c r="K6" s="98" t="s">
        <v>244</v>
      </c>
      <c r="L6" s="33" t="s">
        <v>245</v>
      </c>
      <c r="N6" s="31" t="s">
        <v>243</v>
      </c>
      <c r="O6" s="98" t="s">
        <v>244</v>
      </c>
    </row>
    <row r="7" spans="1:15">
      <c r="A7" s="99"/>
      <c r="B7" s="100"/>
      <c r="C7" s="88"/>
      <c r="D7" s="88"/>
      <c r="E7" s="88"/>
      <c r="F7" s="88"/>
      <c r="G7" s="88"/>
      <c r="H7" s="88"/>
      <c r="I7" s="101"/>
      <c r="J7" s="102"/>
      <c r="K7" s="101"/>
      <c r="L7" s="103"/>
      <c r="N7" s="102"/>
      <c r="O7" s="101"/>
    </row>
    <row r="8" spans="1:15">
      <c r="A8" s="104"/>
      <c r="B8" s="105"/>
      <c r="C8" s="88"/>
      <c r="D8" s="88"/>
      <c r="E8" s="88"/>
      <c r="F8" s="88"/>
      <c r="G8" s="88"/>
      <c r="H8" s="106"/>
      <c r="I8" s="107"/>
      <c r="J8" s="108"/>
      <c r="K8" s="107"/>
      <c r="L8" s="109"/>
      <c r="N8" s="102"/>
      <c r="O8" s="88"/>
    </row>
    <row r="9" spans="1:15" ht="12.75" customHeight="1">
      <c r="A9" s="110" t="s">
        <v>246</v>
      </c>
      <c r="B9" s="111" t="s">
        <v>154</v>
      </c>
      <c r="C9" s="65"/>
      <c r="D9" s="65"/>
      <c r="E9" s="65"/>
      <c r="F9" s="65"/>
      <c r="G9" s="65"/>
      <c r="H9" s="112"/>
      <c r="I9" s="113"/>
      <c r="J9" s="108"/>
      <c r="K9" s="114"/>
      <c r="L9" s="115" t="str">
        <f t="shared" ref="L9:L17" si="0">IF(K9=0," ",IF(K9=" -"," -",J9*K9))</f>
        <v xml:space="preserve"> </v>
      </c>
      <c r="N9" s="108"/>
      <c r="O9" s="114"/>
    </row>
    <row r="10" spans="1:15">
      <c r="A10" s="116"/>
      <c r="B10" s="117"/>
      <c r="C10" s="65"/>
      <c r="D10" s="65"/>
      <c r="E10" s="65"/>
      <c r="F10" s="65"/>
      <c r="G10" s="65"/>
      <c r="H10" s="112"/>
      <c r="I10" s="113"/>
      <c r="J10" s="118"/>
      <c r="K10" s="114"/>
      <c r="L10" s="115" t="str">
        <f t="shared" si="0"/>
        <v xml:space="preserve"> </v>
      </c>
      <c r="N10" s="108"/>
      <c r="O10" s="114"/>
    </row>
    <row r="11" spans="1:15">
      <c r="A11" s="116"/>
      <c r="B11" s="119" t="s">
        <v>247</v>
      </c>
      <c r="C11" s="65"/>
      <c r="D11" s="65"/>
      <c r="E11" s="65"/>
      <c r="F11" s="65"/>
      <c r="G11" s="65"/>
      <c r="H11" s="112"/>
      <c r="I11" s="113"/>
      <c r="J11" s="120"/>
      <c r="K11" s="114"/>
      <c r="L11" s="115" t="str">
        <f t="shared" si="0"/>
        <v xml:space="preserve"> </v>
      </c>
      <c r="N11" s="108"/>
      <c r="O11" s="114"/>
    </row>
    <row r="12" spans="1:15">
      <c r="A12" s="116"/>
      <c r="B12" s="117"/>
      <c r="C12" s="65"/>
      <c r="D12" s="65"/>
      <c r="E12" s="65"/>
      <c r="F12" s="65"/>
      <c r="G12" s="65"/>
      <c r="H12" s="112"/>
      <c r="I12" s="113"/>
      <c r="J12" s="120"/>
      <c r="K12" s="114"/>
      <c r="L12" s="115" t="str">
        <f t="shared" si="0"/>
        <v xml:space="preserve"> </v>
      </c>
      <c r="N12" s="108"/>
      <c r="O12" s="114"/>
    </row>
    <row r="13" spans="1:15">
      <c r="A13" s="116"/>
      <c r="B13" s="117" t="s">
        <v>249</v>
      </c>
      <c r="C13" s="65"/>
      <c r="D13" s="65"/>
      <c r="E13" s="65"/>
      <c r="F13" s="65"/>
      <c r="G13" s="65"/>
      <c r="H13" s="112"/>
      <c r="I13" s="121" t="s">
        <v>250</v>
      </c>
      <c r="J13" s="120">
        <v>886</v>
      </c>
      <c r="K13" s="122"/>
      <c r="L13" s="123" t="str">
        <f t="shared" si="0"/>
        <v xml:space="preserve"> </v>
      </c>
      <c r="N13" s="124">
        <v>886</v>
      </c>
      <c r="O13" s="122">
        <v>1.03</v>
      </c>
    </row>
    <row r="14" spans="1:15">
      <c r="A14" s="116"/>
      <c r="B14" s="117" t="s">
        <v>251</v>
      </c>
      <c r="C14" s="65"/>
      <c r="D14" s="65"/>
      <c r="E14" s="65"/>
      <c r="F14" s="65"/>
      <c r="G14" s="65"/>
      <c r="H14" s="112"/>
      <c r="I14" s="121" t="s">
        <v>252</v>
      </c>
      <c r="J14" s="125">
        <f>886*0.000144</f>
        <v>0.127584</v>
      </c>
      <c r="K14" s="122">
        <v>3977.6</v>
      </c>
      <c r="L14" s="115">
        <f t="shared" si="0"/>
        <v>507.47811840000003</v>
      </c>
      <c r="N14" s="124"/>
      <c r="O14" s="122"/>
    </row>
    <row r="15" spans="1:15">
      <c r="A15" s="116"/>
      <c r="B15" s="117" t="s">
        <v>253</v>
      </c>
      <c r="C15" s="65"/>
      <c r="D15" s="65"/>
      <c r="E15" s="65"/>
      <c r="F15" s="65"/>
      <c r="G15" s="65"/>
      <c r="H15" s="112"/>
      <c r="I15" s="121" t="s">
        <v>252</v>
      </c>
      <c r="J15" s="125">
        <f>886*0.000288</f>
        <v>0.25516800000000001</v>
      </c>
      <c r="K15" s="126">
        <v>648.67999999999995</v>
      </c>
      <c r="L15" s="115">
        <f t="shared" si="0"/>
        <v>165.52237823999999</v>
      </c>
      <c r="N15" s="124"/>
      <c r="O15" s="122"/>
    </row>
    <row r="16" spans="1:15">
      <c r="A16" s="116"/>
      <c r="B16" s="117" t="s">
        <v>254</v>
      </c>
      <c r="C16" s="65"/>
      <c r="D16" s="65"/>
      <c r="E16" s="65"/>
      <c r="F16" s="65"/>
      <c r="G16" s="65"/>
      <c r="H16" s="112"/>
      <c r="I16" s="113" t="s">
        <v>252</v>
      </c>
      <c r="J16" s="125">
        <f>886*0.000144</f>
        <v>0.127584</v>
      </c>
      <c r="K16" s="122">
        <v>1733.16</v>
      </c>
      <c r="L16" s="115">
        <f t="shared" si="0"/>
        <v>221.12348544000002</v>
      </c>
      <c r="N16" s="108"/>
      <c r="O16" s="122"/>
    </row>
    <row r="17" spans="1:15">
      <c r="A17" s="116"/>
      <c r="B17" s="117" t="s">
        <v>255</v>
      </c>
      <c r="C17" s="65"/>
      <c r="D17" s="65"/>
      <c r="E17" s="65"/>
      <c r="F17" s="65"/>
      <c r="G17" s="65"/>
      <c r="H17" s="112"/>
      <c r="I17" s="113" t="s">
        <v>252</v>
      </c>
      <c r="J17" s="125">
        <f>(886*0.000144)</f>
        <v>0.127584</v>
      </c>
      <c r="K17" s="122">
        <v>139.01</v>
      </c>
      <c r="L17" s="115">
        <f t="shared" si="0"/>
        <v>17.73545184</v>
      </c>
      <c r="N17" s="108"/>
      <c r="O17" s="122"/>
    </row>
    <row r="18" spans="1:15">
      <c r="A18" s="116"/>
      <c r="B18" s="117"/>
      <c r="C18" s="65"/>
      <c r="D18" s="65"/>
      <c r="E18" s="65"/>
      <c r="F18" s="65"/>
      <c r="G18" s="65"/>
      <c r="H18" s="112"/>
      <c r="I18" s="113"/>
      <c r="J18" s="125"/>
      <c r="K18" s="122"/>
      <c r="L18" s="123"/>
      <c r="N18" s="108"/>
      <c r="O18" s="122"/>
    </row>
    <row r="19" spans="1:15">
      <c r="A19" s="116"/>
      <c r="B19" s="117"/>
      <c r="C19" s="65"/>
      <c r="D19" s="65"/>
      <c r="E19" s="65"/>
      <c r="F19" s="65"/>
      <c r="G19" s="65"/>
      <c r="H19" s="112"/>
      <c r="I19" s="113"/>
      <c r="J19" s="108"/>
      <c r="K19" s="127"/>
      <c r="L19" s="128"/>
      <c r="N19" s="108"/>
      <c r="O19" s="122"/>
    </row>
    <row r="20" spans="1:15">
      <c r="A20" s="116"/>
      <c r="B20" s="119" t="s">
        <v>256</v>
      </c>
      <c r="C20" s="65"/>
      <c r="D20" s="65"/>
      <c r="E20" s="65"/>
      <c r="F20" s="65"/>
      <c r="G20" s="65"/>
      <c r="H20" s="112"/>
      <c r="I20" s="113" t="s">
        <v>257</v>
      </c>
      <c r="J20" s="120">
        <v>400</v>
      </c>
      <c r="K20" s="122"/>
      <c r="L20" s="123" t="str">
        <f>IF(K20=0," ",IF(K20=" -"," -",J20*K20))</f>
        <v xml:space="preserve"> </v>
      </c>
      <c r="N20" s="108">
        <v>400</v>
      </c>
      <c r="O20" s="122">
        <v>100.01</v>
      </c>
    </row>
    <row r="21" spans="1:15">
      <c r="A21" s="116"/>
      <c r="B21" s="119" t="s">
        <v>258</v>
      </c>
      <c r="C21" s="65"/>
      <c r="D21" s="65"/>
      <c r="E21" s="65"/>
      <c r="F21" s="65"/>
      <c r="G21" s="65"/>
      <c r="H21" s="112"/>
      <c r="I21" s="113" t="s">
        <v>259</v>
      </c>
      <c r="J21" s="129">
        <f>400*1.12</f>
        <v>448.00000000000006</v>
      </c>
      <c r="K21" s="122">
        <v>5.79</v>
      </c>
      <c r="L21" s="115">
        <f>IF(K21=0," ",IF(K21=" -"," -",J21*K21))</f>
        <v>2593.9200000000005</v>
      </c>
      <c r="N21" s="108"/>
      <c r="O21" s="122"/>
    </row>
    <row r="22" spans="1:15">
      <c r="A22" s="116"/>
      <c r="B22" s="119" t="s">
        <v>260</v>
      </c>
      <c r="C22" s="65"/>
      <c r="D22" s="65"/>
      <c r="E22" s="65"/>
      <c r="F22" s="65"/>
      <c r="G22" s="65"/>
      <c r="H22" s="112"/>
      <c r="I22" s="113" t="s">
        <v>259</v>
      </c>
      <c r="J22" s="129">
        <f>400*13.611</f>
        <v>5444.4000000000005</v>
      </c>
      <c r="K22" s="122">
        <v>3.72</v>
      </c>
      <c r="L22" s="115">
        <f>IF(K22=0," ",IF(K22=" -"," -",J22*K22))</f>
        <v>20253.168000000001</v>
      </c>
      <c r="N22" s="108"/>
      <c r="O22" s="122"/>
    </row>
    <row r="23" spans="1:15">
      <c r="A23" s="116"/>
      <c r="B23" s="117"/>
      <c r="C23" s="65"/>
      <c r="D23" s="65"/>
      <c r="E23" s="65"/>
      <c r="F23" s="65"/>
      <c r="G23" s="65"/>
      <c r="H23" s="112"/>
      <c r="I23" s="113"/>
      <c r="J23" s="130"/>
      <c r="K23" s="122"/>
      <c r="L23" s="115"/>
      <c r="N23" s="108"/>
      <c r="O23" s="122"/>
    </row>
    <row r="24" spans="1:15">
      <c r="A24" s="116"/>
      <c r="B24" s="119" t="s">
        <v>261</v>
      </c>
      <c r="C24" s="65"/>
      <c r="D24" s="65"/>
      <c r="E24" s="65"/>
      <c r="F24" s="65"/>
      <c r="G24" s="65"/>
      <c r="H24" s="112"/>
      <c r="I24" s="113"/>
      <c r="J24" s="131"/>
      <c r="K24" s="122"/>
      <c r="L24" s="123"/>
      <c r="N24" s="108"/>
      <c r="O24" s="122"/>
    </row>
    <row r="25" spans="1:15">
      <c r="A25" s="116"/>
      <c r="B25" s="117"/>
      <c r="C25" s="65"/>
      <c r="D25" s="65"/>
      <c r="E25" s="65"/>
      <c r="F25" s="65"/>
      <c r="G25" s="65"/>
      <c r="H25" s="112"/>
      <c r="I25" s="113"/>
      <c r="J25" s="108"/>
      <c r="K25" s="122"/>
      <c r="L25" s="115"/>
      <c r="N25" s="108"/>
      <c r="O25" s="122"/>
    </row>
    <row r="26" spans="1:15">
      <c r="A26" s="116"/>
      <c r="B26" s="117" t="s">
        <v>262</v>
      </c>
      <c r="C26" s="65"/>
      <c r="D26" s="65"/>
      <c r="E26" s="65"/>
      <c r="F26" s="65"/>
      <c r="G26" s="65"/>
      <c r="H26" s="112"/>
      <c r="I26" s="113"/>
      <c r="J26" s="108"/>
      <c r="K26" s="122"/>
      <c r="L26" s="115" t="str">
        <f t="shared" ref="L26:L35" si="1">IF(K26=0," ",IF(K26=" -"," -",J26*K26))</f>
        <v xml:space="preserve"> </v>
      </c>
      <c r="N26" s="108"/>
      <c r="O26" s="122"/>
    </row>
    <row r="27" spans="1:15">
      <c r="A27" s="116"/>
      <c r="B27" s="117" t="s">
        <v>263</v>
      </c>
      <c r="C27" s="65"/>
      <c r="D27" s="65"/>
      <c r="E27" s="65"/>
      <c r="F27" s="65"/>
      <c r="G27" s="65"/>
      <c r="H27" s="112"/>
      <c r="I27" s="113" t="s">
        <v>257</v>
      </c>
      <c r="J27" s="120">
        <v>250</v>
      </c>
      <c r="K27" s="122"/>
      <c r="L27" s="123" t="str">
        <f t="shared" si="1"/>
        <v xml:space="preserve"> </v>
      </c>
      <c r="N27" s="108">
        <v>16</v>
      </c>
      <c r="O27" s="122">
        <v>14.47</v>
      </c>
    </row>
    <row r="28" spans="1:15">
      <c r="A28" s="116"/>
      <c r="B28" s="117" t="s">
        <v>264</v>
      </c>
      <c r="C28" s="65"/>
      <c r="D28" s="65"/>
      <c r="E28" s="65"/>
      <c r="F28" s="65"/>
      <c r="G28" s="65"/>
      <c r="H28" s="112"/>
      <c r="I28" s="113" t="s">
        <v>259</v>
      </c>
      <c r="J28" s="129">
        <f>(250*3.8898)</f>
        <v>972.45</v>
      </c>
      <c r="K28" s="122">
        <v>3.72</v>
      </c>
      <c r="L28" s="123">
        <f t="shared" si="1"/>
        <v>3617.5140000000006</v>
      </c>
      <c r="N28" s="132">
        <v>0.5</v>
      </c>
      <c r="O28" s="122">
        <v>18.04</v>
      </c>
    </row>
    <row r="29" spans="1:15">
      <c r="A29" s="116"/>
      <c r="B29" s="117"/>
      <c r="C29" s="65"/>
      <c r="D29" s="65"/>
      <c r="E29" s="65"/>
      <c r="F29" s="65"/>
      <c r="G29" s="65"/>
      <c r="H29" s="112"/>
      <c r="I29" s="113"/>
      <c r="J29" s="108"/>
      <c r="K29" s="133"/>
      <c r="L29" s="115" t="str">
        <f t="shared" si="1"/>
        <v xml:space="preserve"> </v>
      </c>
      <c r="N29" s="108"/>
      <c r="O29" s="122"/>
    </row>
    <row r="30" spans="1:15">
      <c r="A30" s="116"/>
      <c r="B30" s="117" t="s">
        <v>265</v>
      </c>
      <c r="C30" s="65"/>
      <c r="D30" s="65"/>
      <c r="E30" s="65"/>
      <c r="F30" s="65"/>
      <c r="G30" s="65"/>
      <c r="H30" s="112"/>
      <c r="I30" s="113"/>
      <c r="J30" s="108"/>
      <c r="K30" s="122"/>
      <c r="L30" s="115" t="str">
        <f t="shared" si="1"/>
        <v xml:space="preserve"> </v>
      </c>
      <c r="N30" s="108"/>
      <c r="O30" s="122"/>
    </row>
    <row r="31" spans="1:15">
      <c r="A31" s="116"/>
      <c r="B31" s="117" t="s">
        <v>266</v>
      </c>
      <c r="C31" s="65"/>
      <c r="D31" s="65"/>
      <c r="E31" s="65"/>
      <c r="F31" s="65"/>
      <c r="G31" s="65"/>
      <c r="H31" s="112"/>
      <c r="I31" s="113" t="s">
        <v>257</v>
      </c>
      <c r="J31" s="120">
        <v>370</v>
      </c>
      <c r="K31" s="122"/>
      <c r="L31" s="123" t="str">
        <f t="shared" si="1"/>
        <v xml:space="preserve"> </v>
      </c>
      <c r="N31" s="108">
        <v>771</v>
      </c>
      <c r="O31" s="122">
        <v>18.059999999999999</v>
      </c>
    </row>
    <row r="32" spans="1:15">
      <c r="A32" s="116"/>
      <c r="B32" s="117" t="s">
        <v>267</v>
      </c>
      <c r="C32" s="65"/>
      <c r="D32" s="65"/>
      <c r="E32" s="65"/>
      <c r="F32" s="65"/>
      <c r="G32" s="65"/>
      <c r="H32" s="112"/>
      <c r="I32" s="113" t="s">
        <v>259</v>
      </c>
      <c r="J32" s="129">
        <f>(370*4.85484)</f>
        <v>1796.2908</v>
      </c>
      <c r="K32" s="122">
        <v>3.72</v>
      </c>
      <c r="L32" s="123">
        <f t="shared" si="1"/>
        <v>6682.2017759999999</v>
      </c>
      <c r="N32" s="132">
        <v>0.5</v>
      </c>
      <c r="O32" s="122">
        <v>18.04</v>
      </c>
    </row>
    <row r="33" spans="1:15">
      <c r="A33" s="116"/>
      <c r="B33" s="117"/>
      <c r="C33" s="65"/>
      <c r="D33" s="65"/>
      <c r="E33" s="65"/>
      <c r="F33" s="65"/>
      <c r="G33" s="65"/>
      <c r="H33" s="112"/>
      <c r="I33" s="113"/>
      <c r="J33" s="108"/>
      <c r="K33" s="134"/>
      <c r="L33" s="115" t="str">
        <f t="shared" si="1"/>
        <v xml:space="preserve"> </v>
      </c>
      <c r="N33" s="108"/>
      <c r="O33" s="122"/>
    </row>
    <row r="34" spans="1:15">
      <c r="A34" s="116"/>
      <c r="B34" s="117" t="s">
        <v>268</v>
      </c>
      <c r="C34" s="65"/>
      <c r="D34" s="65"/>
      <c r="E34" s="65"/>
      <c r="F34" s="65"/>
      <c r="G34" s="65"/>
      <c r="H34" s="112"/>
      <c r="I34" s="113" t="s">
        <v>257</v>
      </c>
      <c r="J34" s="120">
        <v>16</v>
      </c>
      <c r="K34" s="122"/>
      <c r="L34" s="123" t="str">
        <f t="shared" si="1"/>
        <v xml:space="preserve"> </v>
      </c>
      <c r="N34" s="108">
        <v>11</v>
      </c>
      <c r="O34" s="122">
        <v>22.5</v>
      </c>
    </row>
    <row r="35" spans="1:15">
      <c r="A35" s="116"/>
      <c r="B35" s="117" t="s">
        <v>269</v>
      </c>
      <c r="C35" s="65"/>
      <c r="D35" s="65"/>
      <c r="E35" s="65"/>
      <c r="F35" s="65"/>
      <c r="G35" s="65"/>
      <c r="H35" s="112"/>
      <c r="I35" s="113" t="s">
        <v>259</v>
      </c>
      <c r="J35" s="129">
        <f>(16*6.0484)</f>
        <v>96.7744</v>
      </c>
      <c r="K35" s="122">
        <v>3.72</v>
      </c>
      <c r="L35" s="123">
        <f t="shared" si="1"/>
        <v>360.00076799999999</v>
      </c>
      <c r="N35" s="108"/>
      <c r="O35" s="122"/>
    </row>
    <row r="36" spans="1:15">
      <c r="A36" s="116"/>
      <c r="B36" s="117"/>
      <c r="C36" s="65"/>
      <c r="D36" s="65"/>
      <c r="E36" s="65"/>
      <c r="F36" s="65"/>
      <c r="G36" s="65"/>
      <c r="H36" s="112"/>
      <c r="I36" s="113"/>
      <c r="J36" s="129"/>
      <c r="K36" s="122"/>
      <c r="L36" s="123"/>
      <c r="N36" s="108"/>
      <c r="O36" s="122"/>
    </row>
    <row r="37" spans="1:15">
      <c r="A37" s="116"/>
      <c r="B37" s="117"/>
      <c r="C37" s="65"/>
      <c r="D37" s="65"/>
      <c r="E37" s="65"/>
      <c r="F37" s="65"/>
      <c r="G37" s="65"/>
      <c r="H37" s="112"/>
      <c r="I37" s="113"/>
      <c r="J37" s="129"/>
      <c r="K37" s="122"/>
      <c r="L37" s="123"/>
      <c r="N37" s="108"/>
      <c r="O37" s="122"/>
    </row>
    <row r="38" spans="1:15" ht="13.5" thickBot="1">
      <c r="A38" s="135"/>
      <c r="B38" s="136"/>
      <c r="C38" s="137"/>
      <c r="D38" s="137"/>
      <c r="E38" s="137"/>
      <c r="F38" s="137"/>
      <c r="G38" s="137"/>
      <c r="H38" s="138"/>
      <c r="I38" s="139"/>
      <c r="J38" s="140"/>
      <c r="K38" s="141"/>
      <c r="L38" s="142"/>
      <c r="N38" s="140"/>
      <c r="O38" s="141"/>
    </row>
    <row r="39" spans="1:15" ht="5.25" customHeight="1" thickBot="1">
      <c r="A39" s="143"/>
      <c r="B39" s="143"/>
      <c r="C39" s="143"/>
      <c r="D39" s="143"/>
      <c r="E39" s="143"/>
      <c r="F39" s="143"/>
      <c r="G39" s="143"/>
      <c r="H39" s="143"/>
      <c r="I39" s="143"/>
      <c r="J39" s="144"/>
      <c r="K39" s="143"/>
      <c r="L39" s="143"/>
      <c r="N39" s="144"/>
      <c r="O39" s="143"/>
    </row>
    <row r="40" spans="1:15">
      <c r="A40" s="94" t="s">
        <v>270</v>
      </c>
      <c r="B40" s="88"/>
      <c r="C40" s="88"/>
      <c r="D40" s="88"/>
      <c r="E40" s="145" t="s">
        <v>271</v>
      </c>
      <c r="F40" s="88"/>
      <c r="G40" s="88"/>
      <c r="H40" s="106"/>
      <c r="I40" s="45" t="s">
        <v>272</v>
      </c>
      <c r="J40" s="146"/>
      <c r="K40" s="145" t="s">
        <v>273</v>
      </c>
      <c r="L40" s="147"/>
      <c r="N40" s="146"/>
      <c r="O40" s="145" t="s">
        <v>273</v>
      </c>
    </row>
    <row r="41" spans="1:15" ht="13.5" customHeight="1" thickBot="1">
      <c r="A41" s="877"/>
      <c r="B41" s="867"/>
      <c r="C41" s="867"/>
      <c r="D41" s="867"/>
      <c r="E41" s="878"/>
      <c r="F41" s="867"/>
      <c r="G41" s="867"/>
      <c r="H41" s="868"/>
      <c r="I41" s="148"/>
      <c r="J41" s="149"/>
      <c r="K41" s="136"/>
      <c r="L41" s="150"/>
      <c r="N41" s="149"/>
      <c r="O41" s="136"/>
    </row>
    <row r="42" spans="1:15">
      <c r="A42" s="116"/>
      <c r="B42" s="117"/>
      <c r="C42" s="65"/>
      <c r="D42" s="65"/>
      <c r="E42" s="65"/>
      <c r="F42" s="65"/>
      <c r="G42" s="65"/>
      <c r="H42" s="112"/>
      <c r="I42" s="113"/>
      <c r="J42" s="108"/>
      <c r="K42" s="151"/>
      <c r="L42" s="115" t="str">
        <f t="shared" ref="L42:L49" si="2">IF(K42=0," ",IF(K42=" -"," -",J42*K42))</f>
        <v xml:space="preserve"> </v>
      </c>
      <c r="N42" s="108"/>
      <c r="O42" s="151"/>
    </row>
    <row r="43" spans="1:15">
      <c r="A43" s="152"/>
      <c r="B43" s="879"/>
      <c r="C43" s="879"/>
      <c r="D43" s="879"/>
      <c r="E43" s="879"/>
      <c r="F43" s="879"/>
      <c r="G43" s="879"/>
      <c r="H43" s="886"/>
      <c r="I43" s="154"/>
      <c r="J43" s="155"/>
      <c r="K43" s="156"/>
      <c r="L43" s="115" t="str">
        <f t="shared" si="2"/>
        <v xml:space="preserve"> </v>
      </c>
      <c r="N43" s="155"/>
      <c r="O43" s="156"/>
    </row>
    <row r="44" spans="1:15">
      <c r="A44" s="152"/>
      <c r="B44" s="879" t="s">
        <v>274</v>
      </c>
      <c r="C44" s="879"/>
      <c r="D44" s="879"/>
      <c r="E44" s="879"/>
      <c r="F44" s="879"/>
      <c r="G44" s="879"/>
      <c r="H44" s="886"/>
      <c r="I44" s="154"/>
      <c r="J44" s="155"/>
      <c r="K44" s="156"/>
      <c r="L44" s="115" t="str">
        <f t="shared" si="2"/>
        <v xml:space="preserve"> </v>
      </c>
      <c r="N44" s="155"/>
      <c r="O44" s="156"/>
    </row>
    <row r="45" spans="1:15">
      <c r="A45" s="152"/>
      <c r="B45" t="s">
        <v>275</v>
      </c>
      <c r="I45" s="154" t="s">
        <v>257</v>
      </c>
      <c r="J45" s="157">
        <v>346</v>
      </c>
      <c r="K45" s="156"/>
      <c r="L45" s="123" t="str">
        <f t="shared" si="2"/>
        <v xml:space="preserve"> </v>
      </c>
      <c r="N45" s="158">
        <v>510</v>
      </c>
      <c r="O45" s="156">
        <v>6.2</v>
      </c>
    </row>
    <row r="46" spans="1:15">
      <c r="A46" s="116"/>
      <c r="B46" s="117" t="s">
        <v>276</v>
      </c>
      <c r="H46" s="112"/>
      <c r="I46" s="113" t="s">
        <v>259</v>
      </c>
      <c r="J46" s="129">
        <f>346*1.1873</f>
        <v>410.80580000000003</v>
      </c>
      <c r="K46" s="151">
        <v>3.72</v>
      </c>
      <c r="L46" s="115">
        <f t="shared" si="2"/>
        <v>1528.1975760000003</v>
      </c>
      <c r="N46" s="158"/>
      <c r="O46" s="159"/>
    </row>
    <row r="47" spans="1:15">
      <c r="A47" s="116"/>
      <c r="B47" s="117" t="s">
        <v>277</v>
      </c>
      <c r="H47" s="112"/>
      <c r="I47" s="113" t="s">
        <v>278</v>
      </c>
      <c r="J47" s="129">
        <f>346*0.004</f>
        <v>1.3840000000000001</v>
      </c>
      <c r="K47" s="151">
        <v>62.67</v>
      </c>
      <c r="L47" s="115">
        <f t="shared" si="2"/>
        <v>86.735280000000003</v>
      </c>
      <c r="N47" s="158"/>
      <c r="O47" s="159"/>
    </row>
    <row r="48" spans="1:15">
      <c r="A48" s="116"/>
      <c r="B48" s="117" t="s">
        <v>279</v>
      </c>
      <c r="H48" s="112"/>
      <c r="I48" s="113" t="s">
        <v>259</v>
      </c>
      <c r="J48" s="129">
        <f>346*0.405485</f>
        <v>140.29781</v>
      </c>
      <c r="K48" s="151">
        <v>3.68</v>
      </c>
      <c r="L48" s="115">
        <f t="shared" si="2"/>
        <v>516.29594080000004</v>
      </c>
      <c r="N48" s="158"/>
      <c r="O48" s="159"/>
    </row>
    <row r="49" spans="1:15">
      <c r="A49" s="116"/>
      <c r="B49" s="117" t="s">
        <v>280</v>
      </c>
      <c r="H49" s="112"/>
      <c r="I49" s="113" t="s">
        <v>259</v>
      </c>
      <c r="J49" s="129">
        <f>346*0.001</f>
        <v>0.34600000000000003</v>
      </c>
      <c r="K49" s="151">
        <v>40.380000000000003</v>
      </c>
      <c r="L49" s="115">
        <f t="shared" si="2"/>
        <v>13.971480000000001</v>
      </c>
      <c r="N49" s="158"/>
      <c r="O49" s="159"/>
    </row>
    <row r="50" spans="1:15">
      <c r="A50" s="116"/>
      <c r="B50" s="117"/>
      <c r="H50" s="112"/>
      <c r="I50" s="113"/>
      <c r="J50" s="129"/>
      <c r="K50" s="151"/>
      <c r="L50" s="115"/>
      <c r="N50" s="158"/>
      <c r="O50" s="159"/>
    </row>
    <row r="51" spans="1:15">
      <c r="A51" s="116"/>
      <c r="B51" s="117"/>
      <c r="H51" s="112"/>
      <c r="I51" s="113"/>
      <c r="J51" s="108"/>
      <c r="K51" s="151"/>
      <c r="L51" s="123"/>
      <c r="N51" s="158"/>
      <c r="O51" s="159"/>
    </row>
    <row r="52" spans="1:15">
      <c r="A52" s="152"/>
      <c r="B52" s="160" t="s">
        <v>809</v>
      </c>
      <c r="C52" s="65"/>
      <c r="D52" s="65"/>
      <c r="I52" s="107"/>
      <c r="J52" s="107"/>
      <c r="K52" s="161"/>
      <c r="L52" s="115" t="str">
        <f>IF(K52=0," ",IF(K52=" -"," -",J52*K52))</f>
        <v xml:space="preserve"> </v>
      </c>
      <c r="N52" s="107"/>
      <c r="O52" s="162"/>
    </row>
    <row r="53" spans="1:15">
      <c r="A53" s="152"/>
      <c r="I53" s="154"/>
      <c r="J53" s="163"/>
      <c r="K53" s="164"/>
      <c r="L53" s="115" t="str">
        <f>IF(K53=0," ",IF(K53=" -"," -",J53*K53))</f>
        <v xml:space="preserve"> </v>
      </c>
      <c r="N53" s="163"/>
      <c r="O53" s="165"/>
    </row>
    <row r="54" spans="1:15">
      <c r="A54" s="152"/>
      <c r="B54" s="160" t="s">
        <v>810</v>
      </c>
      <c r="C54" s="65"/>
      <c r="D54" s="65"/>
      <c r="E54" s="65"/>
      <c r="F54" s="65"/>
      <c r="G54" s="65"/>
      <c r="H54" s="65"/>
      <c r="I54" s="154" t="s">
        <v>257</v>
      </c>
      <c r="J54" s="166">
        <v>385</v>
      </c>
      <c r="K54" s="167"/>
      <c r="L54" s="123" t="str">
        <f>IF(K54=0," ",IF(K54=" -"," -",J54*K54))</f>
        <v xml:space="preserve"> </v>
      </c>
      <c r="N54" s="168">
        <v>9600</v>
      </c>
      <c r="O54" s="167">
        <v>1.51</v>
      </c>
    </row>
    <row r="55" spans="1:15">
      <c r="A55" s="152"/>
      <c r="B55" s="160" t="s">
        <v>811</v>
      </c>
      <c r="C55" s="65"/>
      <c r="D55" s="65"/>
      <c r="E55" s="65"/>
      <c r="F55" s="65"/>
      <c r="G55" s="65"/>
      <c r="H55" s="65"/>
      <c r="I55" s="154" t="s">
        <v>259</v>
      </c>
      <c r="J55" s="169">
        <f>385*0.009948</f>
        <v>3.8299799999999999</v>
      </c>
      <c r="K55" s="167">
        <v>3.72</v>
      </c>
      <c r="L55" s="115">
        <f>IF(K55=0," ",IF(K55=" -"," -",J55*K55))</f>
        <v>14.247525600000001</v>
      </c>
      <c r="N55" s="168"/>
      <c r="O55" s="167"/>
    </row>
    <row r="56" spans="1:15">
      <c r="A56" s="152"/>
      <c r="B56" s="160" t="s">
        <v>7</v>
      </c>
      <c r="C56" s="65"/>
      <c r="D56" s="65"/>
      <c r="E56" s="65"/>
      <c r="F56" s="65"/>
      <c r="G56" s="65"/>
      <c r="H56" s="65"/>
      <c r="I56" s="154" t="s">
        <v>259</v>
      </c>
      <c r="J56" s="169">
        <f>385*0.02</f>
        <v>7.7</v>
      </c>
      <c r="K56" s="167">
        <v>73.650000000000006</v>
      </c>
      <c r="L56" s="115">
        <f>IF(K56=0," ",IF(K56=" -"," -",J56*K56))</f>
        <v>567.10500000000002</v>
      </c>
      <c r="N56" s="168"/>
      <c r="O56" s="167"/>
    </row>
    <row r="57" spans="1:15">
      <c r="A57" s="152"/>
      <c r="B57" s="160"/>
      <c r="C57" s="65"/>
      <c r="D57" s="65"/>
      <c r="E57" s="65"/>
      <c r="F57" s="65"/>
      <c r="G57" s="65"/>
      <c r="H57" s="65"/>
      <c r="I57" s="154"/>
      <c r="J57" s="168"/>
      <c r="K57" s="167"/>
      <c r="L57" s="115"/>
      <c r="N57" s="168"/>
      <c r="O57" s="167"/>
    </row>
    <row r="58" spans="1:15">
      <c r="A58" s="152"/>
      <c r="B58" s="160" t="s">
        <v>867</v>
      </c>
      <c r="C58" s="65"/>
      <c r="D58" s="65"/>
      <c r="E58" s="65"/>
      <c r="F58" s="65"/>
      <c r="G58" s="65"/>
      <c r="H58" s="65"/>
      <c r="I58" s="154" t="s">
        <v>257</v>
      </c>
      <c r="J58" s="166">
        <v>500</v>
      </c>
      <c r="K58" s="167"/>
      <c r="L58" s="123" t="str">
        <f>IF(K58=0," ",IF(K58=" -"," -",J58*K58))</f>
        <v xml:space="preserve"> </v>
      </c>
      <c r="N58" s="168">
        <v>1017</v>
      </c>
      <c r="O58" s="167">
        <v>0.52</v>
      </c>
    </row>
    <row r="59" spans="1:15">
      <c r="A59" s="152"/>
      <c r="B59" s="160" t="s">
        <v>868</v>
      </c>
      <c r="C59" s="65"/>
      <c r="D59" s="65"/>
      <c r="E59" s="65"/>
      <c r="F59" s="65"/>
      <c r="G59" s="65"/>
      <c r="H59" s="65"/>
      <c r="I59" s="154" t="s">
        <v>259</v>
      </c>
      <c r="J59" s="169">
        <f>500*0.729144</f>
        <v>364.572</v>
      </c>
      <c r="K59" s="167">
        <v>3.72</v>
      </c>
      <c r="L59" s="115">
        <f>IF(K59=0," ",IF(K59=" -"," -",J59*K59))</f>
        <v>1356.20784</v>
      </c>
      <c r="N59" s="168"/>
      <c r="O59" s="167"/>
    </row>
    <row r="60" spans="1:15">
      <c r="A60" s="152"/>
      <c r="B60" s="160" t="s">
        <v>869</v>
      </c>
      <c r="C60" s="65"/>
      <c r="D60" s="65"/>
      <c r="E60" s="65"/>
      <c r="F60" s="65"/>
      <c r="G60" s="65"/>
      <c r="H60" s="65"/>
      <c r="I60" s="154" t="s">
        <v>259</v>
      </c>
      <c r="J60" s="169">
        <f>500*0.0056</f>
        <v>2.8</v>
      </c>
      <c r="K60" s="167">
        <v>15.64</v>
      </c>
      <c r="L60" s="115">
        <f>IF(K60=0," ",IF(K60=" -"," -",J60*K60))</f>
        <v>43.792000000000002</v>
      </c>
      <c r="N60" s="168"/>
      <c r="O60" s="167"/>
    </row>
    <row r="61" spans="1:15">
      <c r="A61" s="152"/>
      <c r="B61" s="160"/>
      <c r="C61" s="65"/>
      <c r="D61" s="65"/>
      <c r="E61" s="65"/>
      <c r="F61" s="65"/>
      <c r="G61" s="65"/>
      <c r="H61" s="65"/>
      <c r="I61" s="154"/>
      <c r="J61" s="168"/>
      <c r="K61" s="170"/>
      <c r="L61" s="115"/>
      <c r="N61" s="168"/>
      <c r="O61" s="167"/>
    </row>
    <row r="62" spans="1:15">
      <c r="A62" s="152"/>
      <c r="B62" s="160" t="s">
        <v>870</v>
      </c>
      <c r="C62" s="65"/>
      <c r="D62" s="65"/>
      <c r="E62" s="65"/>
      <c r="F62" s="65"/>
      <c r="G62" s="65"/>
      <c r="H62" s="65"/>
      <c r="I62" s="154" t="s">
        <v>257</v>
      </c>
      <c r="J62" s="166">
        <v>500</v>
      </c>
      <c r="K62" s="167"/>
      <c r="L62" s="123" t="str">
        <f>IF(K62=0," ",IF(K62=" -"," -",J62*K62))</f>
        <v xml:space="preserve"> </v>
      </c>
      <c r="N62" s="168">
        <v>1017</v>
      </c>
      <c r="O62" s="167">
        <v>0.72</v>
      </c>
    </row>
    <row r="63" spans="1:15">
      <c r="A63" s="152"/>
      <c r="B63" s="160" t="s">
        <v>871</v>
      </c>
      <c r="C63" s="65"/>
      <c r="D63" s="65"/>
      <c r="E63" s="65"/>
      <c r="F63" s="65"/>
      <c r="G63" s="65"/>
      <c r="H63" s="65"/>
      <c r="I63" s="154" t="s">
        <v>259</v>
      </c>
      <c r="J63" s="169">
        <f>500*4.551075</f>
        <v>2275.5374999999999</v>
      </c>
      <c r="K63" s="171">
        <v>3.72</v>
      </c>
      <c r="L63" s="123">
        <f>IF(K63=0," ",IF(K63=" -"," -",J63*K63))</f>
        <v>8464.9994999999999</v>
      </c>
      <c r="N63" s="168"/>
      <c r="O63" s="167"/>
    </row>
    <row r="64" spans="1:15">
      <c r="A64" s="152"/>
      <c r="B64" s="160"/>
      <c r="C64" s="65"/>
      <c r="D64" s="65"/>
      <c r="E64" s="65"/>
      <c r="F64" s="65"/>
      <c r="G64" s="65"/>
      <c r="H64" s="65"/>
      <c r="I64" s="154"/>
      <c r="J64" s="169"/>
      <c r="K64" s="171"/>
      <c r="L64" s="128"/>
      <c r="N64" s="168"/>
      <c r="O64" s="167"/>
    </row>
    <row r="65" spans="1:15">
      <c r="A65" s="152"/>
      <c r="B65" s="879" t="s">
        <v>872</v>
      </c>
      <c r="C65" s="703"/>
      <c r="D65" s="703"/>
      <c r="E65" s="703"/>
      <c r="F65" s="703"/>
      <c r="G65" s="703"/>
      <c r="H65" s="880"/>
      <c r="I65" s="154" t="s">
        <v>873</v>
      </c>
      <c r="J65" s="166">
        <v>5000</v>
      </c>
      <c r="K65" s="167"/>
      <c r="L65" s="123" t="str">
        <f>IF(K65=0," ",IF(K65=" -"," -",J65*K65))</f>
        <v xml:space="preserve"> </v>
      </c>
      <c r="N65" s="168">
        <v>10170</v>
      </c>
      <c r="O65" s="167">
        <v>0.78</v>
      </c>
    </row>
    <row r="66" spans="1:15">
      <c r="A66" s="152"/>
      <c r="B66" s="160" t="s">
        <v>874</v>
      </c>
      <c r="C66" s="172"/>
      <c r="D66" s="172"/>
      <c r="E66" s="172"/>
      <c r="F66" s="172"/>
      <c r="G66" s="172"/>
      <c r="H66" s="173"/>
      <c r="I66" s="154" t="s">
        <v>259</v>
      </c>
      <c r="J66" s="169">
        <f>5000*0.02345862</f>
        <v>117.2931</v>
      </c>
      <c r="K66" s="167">
        <v>33.25</v>
      </c>
      <c r="L66" s="123">
        <f>IF(K66=0," ",IF(K66=" -"," -",J66*K66))</f>
        <v>3899.9955749999999</v>
      </c>
      <c r="N66" s="168"/>
      <c r="O66" s="167"/>
    </row>
    <row r="67" spans="1:15">
      <c r="A67" s="152"/>
      <c r="B67" s="160"/>
      <c r="C67" s="172"/>
      <c r="D67" s="172"/>
      <c r="E67" s="172"/>
      <c r="F67" s="172"/>
      <c r="G67" s="172"/>
      <c r="H67" s="173"/>
      <c r="I67" s="154"/>
      <c r="J67" s="169"/>
      <c r="K67" s="167"/>
      <c r="L67" s="123"/>
      <c r="N67" s="168"/>
      <c r="O67" s="167"/>
    </row>
    <row r="68" spans="1:15">
      <c r="A68" s="152"/>
      <c r="B68" s="153"/>
      <c r="C68" s="172"/>
      <c r="D68" s="172"/>
      <c r="E68" s="172"/>
      <c r="F68" s="172"/>
      <c r="G68" s="172"/>
      <c r="H68" s="173"/>
      <c r="I68" s="154"/>
      <c r="J68" s="174"/>
      <c r="K68" s="167"/>
      <c r="L68" s="123"/>
      <c r="N68" s="168"/>
      <c r="O68" s="167"/>
    </row>
    <row r="69" spans="1:15">
      <c r="A69" s="152"/>
      <c r="B69" s="879" t="s">
        <v>875</v>
      </c>
      <c r="C69" s="703"/>
      <c r="D69" s="703"/>
      <c r="E69" s="703"/>
      <c r="F69" s="703"/>
      <c r="G69" s="703"/>
      <c r="H69" s="880"/>
      <c r="I69" s="154" t="s">
        <v>257</v>
      </c>
      <c r="J69" s="166">
        <v>500</v>
      </c>
      <c r="K69" s="156"/>
      <c r="L69" s="123" t="str">
        <f>IF(K69=0," ",IF(K69=" -"," -",J69*K69))</f>
        <v xml:space="preserve"> </v>
      </c>
      <c r="N69" s="168">
        <v>1017</v>
      </c>
      <c r="O69" s="156">
        <v>0.65</v>
      </c>
    </row>
    <row r="70" spans="1:15">
      <c r="A70" s="152"/>
      <c r="B70" s="160" t="s">
        <v>876</v>
      </c>
      <c r="C70" s="172"/>
      <c r="D70" s="172"/>
      <c r="E70" s="172"/>
      <c r="F70" s="172"/>
      <c r="G70" s="172"/>
      <c r="H70" s="173"/>
      <c r="I70" s="154" t="s">
        <v>259</v>
      </c>
      <c r="J70" s="169">
        <f>500*0.0088255</f>
        <v>4.41275</v>
      </c>
      <c r="K70" s="167">
        <v>73.650000000000006</v>
      </c>
      <c r="L70" s="123">
        <f>IF(K70=0," ",IF(K70=" -"," -",J70*K70))</f>
        <v>324.99903750000004</v>
      </c>
      <c r="N70" s="168"/>
      <c r="O70" s="159"/>
    </row>
    <row r="71" spans="1:15">
      <c r="A71" s="152"/>
      <c r="B71" s="153"/>
      <c r="C71" s="172"/>
      <c r="D71" s="172"/>
      <c r="E71" s="172"/>
      <c r="F71" s="172"/>
      <c r="G71" s="172"/>
      <c r="H71" s="173"/>
      <c r="I71" s="154"/>
      <c r="J71" s="166"/>
      <c r="K71" s="159"/>
      <c r="L71" s="115"/>
      <c r="N71" s="168"/>
      <c r="O71" s="159"/>
    </row>
    <row r="72" spans="1:15">
      <c r="A72" s="152"/>
      <c r="B72" s="153"/>
      <c r="C72" s="172"/>
      <c r="D72" s="172"/>
      <c r="E72" s="172"/>
      <c r="F72" s="172"/>
      <c r="G72" s="172"/>
      <c r="H72" s="175"/>
      <c r="I72" s="154"/>
      <c r="J72" s="168"/>
      <c r="K72" s="159"/>
      <c r="L72" s="115" t="str">
        <f>IF(K72=0," ",IF(K72=" -"," -",J72*K72))</f>
        <v xml:space="preserve"> </v>
      </c>
      <c r="N72" s="168"/>
      <c r="O72" s="159"/>
    </row>
    <row r="73" spans="1:15" ht="13.5" thickBot="1">
      <c r="A73" s="135"/>
      <c r="B73" s="136"/>
      <c r="C73" s="137"/>
      <c r="D73" s="137"/>
      <c r="E73" s="137"/>
      <c r="F73" s="137"/>
      <c r="G73" s="137"/>
      <c r="H73" s="138"/>
      <c r="I73" s="139"/>
      <c r="J73" s="140"/>
      <c r="K73" s="141"/>
      <c r="L73" s="142"/>
      <c r="N73" s="140"/>
      <c r="O73" s="141"/>
    </row>
    <row r="74" spans="1:15" ht="5.25" customHeight="1" thickBot="1">
      <c r="A74" s="143"/>
      <c r="B74" s="143"/>
      <c r="C74" s="143"/>
      <c r="D74" s="143"/>
      <c r="E74" s="143"/>
      <c r="F74" s="143"/>
      <c r="G74" s="143"/>
      <c r="H74" s="143"/>
      <c r="I74" s="143"/>
      <c r="J74" s="144"/>
      <c r="K74" s="143"/>
      <c r="L74" s="143"/>
      <c r="N74" s="144"/>
      <c r="O74" s="143"/>
    </row>
    <row r="75" spans="1:15">
      <c r="A75" s="94" t="s">
        <v>270</v>
      </c>
      <c r="B75" s="88"/>
      <c r="C75" s="88"/>
      <c r="D75" s="88"/>
      <c r="E75" s="145" t="s">
        <v>271</v>
      </c>
      <c r="F75" s="88"/>
      <c r="G75" s="88"/>
      <c r="H75" s="106"/>
      <c r="I75" s="45" t="s">
        <v>272</v>
      </c>
      <c r="J75" s="146"/>
      <c r="K75" s="145" t="s">
        <v>273</v>
      </c>
      <c r="L75" s="147"/>
      <c r="N75" s="146"/>
      <c r="O75" s="145" t="s">
        <v>273</v>
      </c>
    </row>
    <row r="76" spans="1:15" ht="13.5" customHeight="1" thickBot="1">
      <c r="A76" s="877"/>
      <c r="B76" s="867"/>
      <c r="C76" s="867"/>
      <c r="D76" s="867"/>
      <c r="E76" s="878"/>
      <c r="F76" s="867"/>
      <c r="G76" s="867"/>
      <c r="H76" s="868"/>
      <c r="I76" s="148"/>
      <c r="J76" s="149"/>
      <c r="K76" s="136"/>
      <c r="L76" s="150"/>
      <c r="N76" s="149"/>
      <c r="O76" s="136"/>
    </row>
    <row r="77" spans="1:15">
      <c r="A77" s="116"/>
      <c r="B77" s="117"/>
      <c r="C77" s="65"/>
      <c r="D77" s="65"/>
      <c r="E77" s="65"/>
      <c r="F77" s="65"/>
      <c r="G77" s="65"/>
      <c r="H77" s="112"/>
      <c r="I77" s="113"/>
      <c r="J77" s="108"/>
      <c r="K77" s="151"/>
      <c r="L77" s="115"/>
      <c r="N77" s="108"/>
      <c r="O77" s="151"/>
    </row>
    <row r="78" spans="1:15">
      <c r="A78" s="116"/>
      <c r="B78" s="117"/>
      <c r="C78" s="65"/>
      <c r="D78" s="65"/>
      <c r="E78" s="65"/>
      <c r="F78" s="65"/>
      <c r="G78" s="65"/>
      <c r="H78" s="112"/>
      <c r="I78" s="113"/>
      <c r="J78" s="108"/>
      <c r="K78" s="151"/>
      <c r="L78" s="115"/>
      <c r="N78" s="108"/>
      <c r="O78" s="151"/>
    </row>
    <row r="79" spans="1:15">
      <c r="A79" s="116"/>
      <c r="B79" s="117" t="s">
        <v>877</v>
      </c>
      <c r="C79" s="65"/>
      <c r="D79" s="65"/>
      <c r="E79" s="65"/>
      <c r="F79" s="65"/>
      <c r="G79" s="65"/>
      <c r="H79" s="112"/>
      <c r="I79" s="113"/>
      <c r="J79" s="108"/>
      <c r="K79" s="151"/>
      <c r="L79" s="115" t="str">
        <f t="shared" ref="L79:L84" si="3">IF(K79=0," ",IF(K79=" -"," -",J79*K79))</f>
        <v xml:space="preserve"> </v>
      </c>
      <c r="N79" s="108"/>
      <c r="O79" s="151"/>
    </row>
    <row r="80" spans="1:15">
      <c r="A80" s="116"/>
      <c r="B80" s="117"/>
      <c r="C80" s="65"/>
      <c r="D80" s="65"/>
      <c r="E80" s="65"/>
      <c r="F80" s="65"/>
      <c r="G80" s="65"/>
      <c r="H80" s="112"/>
      <c r="I80" s="113"/>
      <c r="J80" s="108"/>
      <c r="K80" s="151"/>
      <c r="L80" s="115" t="str">
        <f t="shared" si="3"/>
        <v xml:space="preserve"> </v>
      </c>
      <c r="N80" s="108"/>
      <c r="O80" s="151"/>
    </row>
    <row r="81" spans="1:15">
      <c r="A81" s="116"/>
      <c r="B81" s="117" t="s">
        <v>878</v>
      </c>
      <c r="C81" s="65"/>
      <c r="D81" s="65"/>
      <c r="E81" s="65"/>
      <c r="F81" s="65"/>
      <c r="G81" s="65"/>
      <c r="H81" s="112"/>
      <c r="I81" s="113"/>
      <c r="J81" s="108"/>
      <c r="K81" s="122"/>
      <c r="L81" s="115" t="str">
        <f t="shared" si="3"/>
        <v xml:space="preserve"> </v>
      </c>
      <c r="N81" s="108"/>
      <c r="O81" s="122"/>
    </row>
    <row r="82" spans="1:15">
      <c r="A82" s="152"/>
      <c r="B82" s="117" t="s">
        <v>879</v>
      </c>
      <c r="C82" s="65"/>
      <c r="D82" s="65"/>
      <c r="E82" s="65"/>
      <c r="F82" s="65"/>
      <c r="G82" s="65"/>
      <c r="H82" s="112"/>
      <c r="I82" s="113" t="s">
        <v>250</v>
      </c>
      <c r="J82" s="176">
        <v>344.83</v>
      </c>
      <c r="K82" s="122"/>
      <c r="L82" s="123" t="str">
        <f t="shared" si="3"/>
        <v xml:space="preserve"> </v>
      </c>
      <c r="N82" s="108">
        <v>345</v>
      </c>
      <c r="O82" s="122">
        <v>51.8</v>
      </c>
    </row>
    <row r="83" spans="1:15">
      <c r="A83" s="152"/>
      <c r="B83" s="177" t="s">
        <v>880</v>
      </c>
      <c r="C83" s="65"/>
      <c r="D83" s="65"/>
      <c r="E83" s="65"/>
      <c r="F83" s="65"/>
      <c r="G83" s="65"/>
      <c r="H83" s="112"/>
      <c r="I83" s="113" t="s">
        <v>259</v>
      </c>
      <c r="J83" s="129">
        <f>344.83*4.1553</f>
        <v>1432.8720990000002</v>
      </c>
      <c r="K83" s="122">
        <v>3.72</v>
      </c>
      <c r="L83" s="115">
        <f t="shared" si="3"/>
        <v>5330.2842082800007</v>
      </c>
      <c r="N83" s="108"/>
      <c r="O83" s="122"/>
    </row>
    <row r="84" spans="1:15">
      <c r="A84" s="152"/>
      <c r="B84" s="117" t="s">
        <v>5</v>
      </c>
      <c r="C84" s="65"/>
      <c r="D84" s="65"/>
      <c r="E84" s="65"/>
      <c r="F84" s="65"/>
      <c r="G84" s="65"/>
      <c r="H84" s="112"/>
      <c r="I84" s="113" t="s">
        <v>259</v>
      </c>
      <c r="J84" s="129">
        <f>344.83*0.4321</f>
        <v>149.00104299999998</v>
      </c>
      <c r="K84" s="122">
        <v>2.37</v>
      </c>
      <c r="L84" s="115">
        <f t="shared" si="3"/>
        <v>353.13247190999999</v>
      </c>
      <c r="N84" s="108"/>
      <c r="O84" s="122"/>
    </row>
    <row r="85" spans="1:15">
      <c r="A85" s="116"/>
      <c r="B85" s="117"/>
      <c r="C85" s="65"/>
      <c r="D85" s="65"/>
      <c r="E85" s="65"/>
      <c r="F85" s="65"/>
      <c r="G85" s="65"/>
      <c r="H85" s="112"/>
      <c r="I85" s="113"/>
      <c r="J85" s="129"/>
      <c r="K85" s="122"/>
      <c r="L85" s="115"/>
      <c r="N85" s="108"/>
      <c r="O85" s="122"/>
    </row>
    <row r="86" spans="1:15">
      <c r="A86" s="116"/>
      <c r="B86" s="117"/>
      <c r="C86" s="65"/>
      <c r="D86" s="65"/>
      <c r="E86" s="65"/>
      <c r="F86" s="65"/>
      <c r="G86" s="65"/>
      <c r="H86" s="112"/>
      <c r="I86" s="113"/>
      <c r="J86" s="108"/>
      <c r="K86" s="122"/>
      <c r="L86" s="115"/>
      <c r="N86" s="108"/>
      <c r="O86" s="122"/>
    </row>
    <row r="87" spans="1:15">
      <c r="A87" s="116"/>
      <c r="B87" s="117" t="s">
        <v>6</v>
      </c>
      <c r="C87" s="65"/>
      <c r="D87" s="65"/>
      <c r="E87" s="65"/>
      <c r="F87" s="65"/>
      <c r="G87" s="65"/>
      <c r="H87" s="112"/>
      <c r="I87" s="113"/>
      <c r="J87" s="108"/>
      <c r="K87" s="122"/>
      <c r="L87" s="123"/>
      <c r="N87" s="108"/>
      <c r="O87" s="122"/>
    </row>
    <row r="88" spans="1:15">
      <c r="A88" s="116"/>
      <c r="B88" s="117"/>
      <c r="C88" s="65"/>
      <c r="D88" s="65"/>
      <c r="E88" s="65"/>
      <c r="F88" s="65"/>
      <c r="G88" s="65"/>
      <c r="H88" s="112"/>
      <c r="I88" s="113"/>
      <c r="J88" s="108"/>
      <c r="K88" s="122"/>
      <c r="L88" s="115" t="str">
        <f>IF(K88=0," ",IF(K88=" -"," -",J88*K88))</f>
        <v xml:space="preserve"> </v>
      </c>
      <c r="N88" s="108"/>
      <c r="O88" s="122"/>
    </row>
    <row r="89" spans="1:15">
      <c r="A89" s="116"/>
      <c r="B89" s="117" t="s">
        <v>826</v>
      </c>
      <c r="C89" s="65"/>
      <c r="D89" s="65"/>
      <c r="E89" s="65"/>
      <c r="F89" s="65"/>
      <c r="G89" s="65"/>
      <c r="H89" s="112"/>
      <c r="I89" s="113" t="s">
        <v>827</v>
      </c>
      <c r="J89" s="176">
        <v>1009.5</v>
      </c>
      <c r="K89" s="122"/>
      <c r="L89" s="123" t="str">
        <f>IF(K89=0," ",IF(K89=" -"," -",J89*K89))</f>
        <v xml:space="preserve"> </v>
      </c>
      <c r="N89" s="108">
        <v>1002</v>
      </c>
      <c r="O89" s="122">
        <v>21.07</v>
      </c>
    </row>
    <row r="90" spans="1:15">
      <c r="A90" s="116"/>
      <c r="B90" s="117" t="s">
        <v>828</v>
      </c>
      <c r="C90" s="65"/>
      <c r="D90" s="65"/>
      <c r="E90" s="65"/>
      <c r="F90" s="65"/>
      <c r="G90" s="65"/>
      <c r="H90" s="112"/>
      <c r="I90" s="113" t="s">
        <v>259</v>
      </c>
      <c r="J90" s="178">
        <f>1009.5*1.494</f>
        <v>1508.193</v>
      </c>
      <c r="K90" s="122">
        <v>5.79</v>
      </c>
      <c r="L90" s="115">
        <f>IF(K90=0," ",IF(K90=" -"," -",J90*K90))</f>
        <v>8732.4374700000008</v>
      </c>
      <c r="N90" s="108"/>
      <c r="O90" s="122"/>
    </row>
    <row r="91" spans="1:15">
      <c r="A91" s="116"/>
      <c r="B91" s="117" t="s">
        <v>829</v>
      </c>
      <c r="C91" s="65"/>
      <c r="D91" s="65"/>
      <c r="E91" s="65"/>
      <c r="F91" s="65"/>
      <c r="G91" s="65"/>
      <c r="H91" s="112"/>
      <c r="I91" s="113" t="s">
        <v>259</v>
      </c>
      <c r="J91" s="178">
        <f>1009.5*1.4973</f>
        <v>1511.5243500000001</v>
      </c>
      <c r="K91" s="122">
        <v>3.72</v>
      </c>
      <c r="L91" s="115">
        <f>IF(K91=0," ",IF(K91=" -"," -",J91*K91))</f>
        <v>5622.8705820000005</v>
      </c>
      <c r="N91" s="108"/>
      <c r="O91" s="122"/>
    </row>
    <row r="92" spans="1:15">
      <c r="A92" s="116"/>
      <c r="B92" s="117"/>
      <c r="C92" s="65"/>
      <c r="D92" s="65"/>
      <c r="E92" s="65"/>
      <c r="F92" s="65"/>
      <c r="G92" s="65"/>
      <c r="H92" s="112"/>
      <c r="I92" s="113"/>
      <c r="J92" s="179"/>
      <c r="K92" s="122"/>
      <c r="L92" s="115"/>
      <c r="N92" s="108"/>
      <c r="O92" s="122"/>
    </row>
    <row r="93" spans="1:15">
      <c r="A93" s="116"/>
      <c r="B93" s="117" t="s">
        <v>161</v>
      </c>
      <c r="C93" s="65"/>
      <c r="D93" s="65"/>
      <c r="E93" s="65"/>
      <c r="F93" s="65"/>
      <c r="G93" s="65"/>
      <c r="H93" s="112"/>
      <c r="I93" s="113" t="s">
        <v>827</v>
      </c>
      <c r="J93" s="176">
        <v>16.86</v>
      </c>
      <c r="K93" s="122"/>
      <c r="L93" s="123" t="str">
        <f>IF(K93=0," ",IF(K93=" -"," -",J93*K93))</f>
        <v xml:space="preserve"> </v>
      </c>
      <c r="N93" s="108">
        <v>17</v>
      </c>
      <c r="O93" s="122">
        <v>34.58</v>
      </c>
    </row>
    <row r="94" spans="1:15">
      <c r="A94" s="116"/>
      <c r="B94" s="117" t="s">
        <v>162</v>
      </c>
      <c r="C94" s="65"/>
      <c r="D94" s="65"/>
      <c r="E94" s="65"/>
      <c r="F94" s="65"/>
      <c r="G94" s="65"/>
      <c r="H94" s="112"/>
      <c r="I94" s="113" t="s">
        <v>259</v>
      </c>
      <c r="J94" s="178">
        <f>16.86*1.9724</f>
        <v>33.254663999999998</v>
      </c>
      <c r="K94" s="122">
        <v>5.79</v>
      </c>
      <c r="L94" s="115">
        <f>IF(K94=0," ",IF(K94=" -"," -",J94*K94))</f>
        <v>192.54450455999998</v>
      </c>
      <c r="N94" s="108"/>
      <c r="O94" s="122"/>
    </row>
    <row r="95" spans="1:15">
      <c r="A95" s="116"/>
      <c r="B95" s="117" t="s">
        <v>163</v>
      </c>
      <c r="C95" s="65"/>
      <c r="D95" s="65"/>
      <c r="E95" s="65"/>
      <c r="F95" s="65"/>
      <c r="G95" s="65"/>
      <c r="H95" s="112"/>
      <c r="I95" s="113" t="s">
        <v>259</v>
      </c>
      <c r="J95" s="178">
        <f>16.86*1.9731</f>
        <v>33.266466000000001</v>
      </c>
      <c r="K95" s="122">
        <v>3.72</v>
      </c>
      <c r="L95" s="115">
        <f>IF(K95=0," ",IF(K95=" -"," -",J95*K95))</f>
        <v>123.75125352000001</v>
      </c>
      <c r="N95" s="108"/>
      <c r="O95" s="122"/>
    </row>
    <row r="96" spans="1:15">
      <c r="A96" s="116"/>
      <c r="B96" s="117"/>
      <c r="C96" s="65"/>
      <c r="D96" s="65"/>
      <c r="E96" s="65"/>
      <c r="F96" s="65"/>
      <c r="G96" s="65"/>
      <c r="H96" s="112"/>
      <c r="I96" s="113"/>
      <c r="J96" s="176"/>
      <c r="K96" s="122"/>
      <c r="L96" s="115"/>
      <c r="N96" s="108"/>
      <c r="O96" s="122"/>
    </row>
    <row r="97" spans="1:15">
      <c r="A97" s="116"/>
      <c r="B97" s="117" t="s">
        <v>164</v>
      </c>
      <c r="C97" s="65"/>
      <c r="D97" s="65"/>
      <c r="E97" s="65"/>
      <c r="F97" s="65"/>
      <c r="G97" s="65"/>
      <c r="H97" s="112"/>
      <c r="I97" s="113"/>
      <c r="J97" s="130"/>
      <c r="K97" s="122"/>
      <c r="L97" s="115" t="str">
        <f>IF(K97=0," ",IF(K97=" -"," -",J97*K97))</f>
        <v xml:space="preserve"> </v>
      </c>
      <c r="N97" s="108"/>
      <c r="O97" s="122"/>
    </row>
    <row r="98" spans="1:15">
      <c r="A98" s="116"/>
      <c r="B98" s="117" t="s">
        <v>165</v>
      </c>
      <c r="C98" s="65"/>
      <c r="D98" s="65"/>
      <c r="E98" s="65"/>
      <c r="F98" s="65"/>
      <c r="G98" s="65"/>
      <c r="H98" s="112"/>
      <c r="I98" s="113" t="s">
        <v>827</v>
      </c>
      <c r="J98" s="176">
        <v>952.81</v>
      </c>
      <c r="K98" s="122"/>
      <c r="L98" s="123" t="str">
        <f>IF(K98=0," ",IF(K98=" -"," -",J98*K98))</f>
        <v xml:space="preserve"> </v>
      </c>
      <c r="N98" s="108">
        <v>477</v>
      </c>
      <c r="O98" s="122">
        <v>39.29</v>
      </c>
    </row>
    <row r="99" spans="1:15">
      <c r="A99" s="116"/>
      <c r="B99" s="117" t="s">
        <v>166</v>
      </c>
      <c r="C99" s="65"/>
      <c r="D99" s="65"/>
      <c r="E99" s="65"/>
      <c r="F99" s="65"/>
      <c r="G99" s="65"/>
      <c r="H99" s="112"/>
      <c r="I99" s="113" t="s">
        <v>259</v>
      </c>
      <c r="J99" s="178">
        <f>952.81*1.9931</f>
        <v>1899.045611</v>
      </c>
      <c r="K99" s="122">
        <v>5.79</v>
      </c>
      <c r="L99" s="115">
        <f>IF(K99=0," ",IF(K99=" -"," -",J99*K99))</f>
        <v>10995.47408769</v>
      </c>
      <c r="N99" s="108"/>
      <c r="O99" s="122"/>
    </row>
    <row r="100" spans="1:15">
      <c r="A100" s="116"/>
      <c r="B100" s="117" t="s">
        <v>167</v>
      </c>
      <c r="C100" s="65"/>
      <c r="D100" s="65"/>
      <c r="E100" s="65"/>
      <c r="F100" s="65"/>
      <c r="G100" s="65"/>
      <c r="H100" s="112"/>
      <c r="I100" s="113" t="s">
        <v>259</v>
      </c>
      <c r="J100" s="178">
        <f>952.81*1.9946</f>
        <v>1900.4748259999999</v>
      </c>
      <c r="K100" s="122">
        <v>3.72</v>
      </c>
      <c r="L100" s="115">
        <f>IF(K100=0," ",IF(K100=" -"," -",J100*K100))</f>
        <v>7069.7663527200002</v>
      </c>
      <c r="N100" s="108"/>
      <c r="O100" s="122"/>
    </row>
    <row r="101" spans="1:15">
      <c r="A101" s="152"/>
      <c r="B101" s="117"/>
      <c r="C101" s="65"/>
      <c r="D101" s="65"/>
      <c r="E101" s="65"/>
      <c r="F101" s="65"/>
      <c r="G101" s="65"/>
      <c r="H101" s="112"/>
      <c r="I101" s="113"/>
      <c r="J101" s="130"/>
      <c r="K101" s="122"/>
      <c r="L101" s="115"/>
      <c r="N101" s="108"/>
      <c r="O101" s="122"/>
    </row>
    <row r="102" spans="1:15">
      <c r="A102" s="152"/>
      <c r="B102" s="117"/>
      <c r="C102" s="65"/>
      <c r="D102" s="65"/>
      <c r="E102" s="65"/>
      <c r="F102" s="65"/>
      <c r="G102" s="65"/>
      <c r="H102" s="112"/>
      <c r="I102" s="113"/>
      <c r="J102" s="130"/>
      <c r="K102" s="122"/>
      <c r="L102" s="115"/>
      <c r="N102" s="108"/>
      <c r="O102" s="122"/>
    </row>
    <row r="103" spans="1:15">
      <c r="A103" s="152"/>
      <c r="B103" s="119" t="s">
        <v>168</v>
      </c>
      <c r="C103" s="65"/>
      <c r="D103" s="65"/>
      <c r="E103" s="65"/>
      <c r="F103" s="65"/>
      <c r="G103" s="65"/>
      <c r="H103" s="112"/>
      <c r="I103" s="113" t="s">
        <v>169</v>
      </c>
      <c r="J103" s="176">
        <v>14188</v>
      </c>
      <c r="K103" s="122"/>
      <c r="L103" s="123" t="str">
        <f>IF(K103=0," ",IF(K103=" -"," -",J103*K103))</f>
        <v xml:space="preserve"> </v>
      </c>
      <c r="N103" s="108">
        <v>11520</v>
      </c>
      <c r="O103" s="122">
        <v>4.3</v>
      </c>
    </row>
    <row r="104" spans="1:15">
      <c r="A104" s="152"/>
      <c r="B104" s="119" t="s">
        <v>170</v>
      </c>
      <c r="C104" s="65"/>
      <c r="D104" s="65"/>
      <c r="E104" s="65"/>
      <c r="F104" s="65"/>
      <c r="G104" s="65"/>
      <c r="H104" s="112"/>
      <c r="I104" s="113" t="s">
        <v>259</v>
      </c>
      <c r="J104" s="178">
        <f>14188*0.1002</f>
        <v>1421.6376</v>
      </c>
      <c r="K104" s="122">
        <v>5.79</v>
      </c>
      <c r="L104" s="115">
        <f>IF(K104=0," ",IF(K104=" -"," -",J104*K104))</f>
        <v>8231.2817040000009</v>
      </c>
      <c r="N104" s="108"/>
      <c r="O104" s="122"/>
    </row>
    <row r="105" spans="1:15">
      <c r="A105" s="152"/>
      <c r="B105" s="119" t="s">
        <v>171</v>
      </c>
      <c r="C105" s="65"/>
      <c r="D105" s="65"/>
      <c r="E105" s="65"/>
      <c r="F105" s="65"/>
      <c r="G105" s="65"/>
      <c r="H105" s="112"/>
      <c r="I105" s="113" t="s">
        <v>259</v>
      </c>
      <c r="J105" s="178">
        <f>14188*0.0894</f>
        <v>1268.4071999999999</v>
      </c>
      <c r="K105" s="122">
        <v>4.3600000000000003</v>
      </c>
      <c r="L105" s="115">
        <f>IF(K105=0," ",IF(K105=" -"," -",J105*K105))</f>
        <v>5530.255392</v>
      </c>
      <c r="N105" s="108"/>
      <c r="O105" s="122"/>
    </row>
    <row r="106" spans="1:15">
      <c r="A106" s="152"/>
      <c r="B106" s="119"/>
      <c r="C106" s="65"/>
      <c r="D106" s="65"/>
      <c r="E106" s="65"/>
      <c r="F106" s="65"/>
      <c r="G106" s="65"/>
      <c r="H106" s="112"/>
      <c r="I106" s="113"/>
      <c r="J106" s="178"/>
      <c r="K106" s="122"/>
      <c r="L106" s="115"/>
      <c r="N106" s="108"/>
      <c r="O106" s="122"/>
    </row>
    <row r="107" spans="1:15">
      <c r="A107" s="152"/>
      <c r="B107" s="119"/>
      <c r="C107" s="65"/>
      <c r="D107" s="65"/>
      <c r="E107" s="65"/>
      <c r="F107" s="65"/>
      <c r="G107" s="65"/>
      <c r="H107" s="112"/>
      <c r="I107" s="113"/>
      <c r="J107" s="178"/>
      <c r="K107" s="122"/>
      <c r="L107" s="115"/>
      <c r="N107" s="108"/>
      <c r="O107" s="122"/>
    </row>
    <row r="108" spans="1:15" ht="13.5" thickBot="1">
      <c r="A108" s="135"/>
      <c r="B108" s="136"/>
      <c r="C108" s="137"/>
      <c r="D108" s="137"/>
      <c r="E108" s="137"/>
      <c r="F108" s="137"/>
      <c r="G108" s="137"/>
      <c r="H108" s="138"/>
      <c r="I108" s="139"/>
      <c r="J108" s="140"/>
      <c r="K108" s="141"/>
      <c r="L108" s="142"/>
      <c r="N108" s="140"/>
      <c r="O108" s="141"/>
    </row>
    <row r="109" spans="1:15" ht="5.25" customHeight="1" thickBot="1">
      <c r="A109" s="143"/>
      <c r="B109" s="143"/>
      <c r="C109" s="143"/>
      <c r="D109" s="143"/>
      <c r="E109" s="143"/>
      <c r="F109" s="143"/>
      <c r="G109" s="143"/>
      <c r="H109" s="143"/>
      <c r="I109" s="143"/>
      <c r="J109" s="144"/>
      <c r="K109" s="143"/>
      <c r="L109" s="143"/>
      <c r="N109" s="144"/>
      <c r="O109" s="143"/>
    </row>
    <row r="110" spans="1:15">
      <c r="A110" s="94" t="s">
        <v>270</v>
      </c>
      <c r="B110" s="88"/>
      <c r="C110" s="88"/>
      <c r="D110" s="88"/>
      <c r="E110" s="145" t="s">
        <v>271</v>
      </c>
      <c r="F110" s="88"/>
      <c r="G110" s="88"/>
      <c r="H110" s="106"/>
      <c r="I110" s="45" t="s">
        <v>272</v>
      </c>
      <c r="J110" s="146"/>
      <c r="K110" s="145" t="s">
        <v>273</v>
      </c>
      <c r="L110" s="147"/>
      <c r="N110" s="146"/>
      <c r="O110" s="145" t="s">
        <v>273</v>
      </c>
    </row>
    <row r="111" spans="1:15" ht="13.5" customHeight="1" thickBot="1">
      <c r="A111" s="877"/>
      <c r="B111" s="867"/>
      <c r="C111" s="867"/>
      <c r="D111" s="867"/>
      <c r="E111" s="878"/>
      <c r="F111" s="867"/>
      <c r="G111" s="867"/>
      <c r="H111" s="868"/>
      <c r="I111" s="148"/>
      <c r="J111" s="149"/>
      <c r="K111" s="136"/>
      <c r="L111" s="150"/>
      <c r="N111" s="149"/>
      <c r="O111" s="136"/>
    </row>
    <row r="112" spans="1:15">
      <c r="A112" s="152"/>
      <c r="B112" s="119"/>
      <c r="C112" s="65"/>
      <c r="D112" s="65"/>
      <c r="E112" s="65"/>
      <c r="F112" s="65"/>
      <c r="G112" s="65"/>
      <c r="H112" s="112"/>
      <c r="I112" s="113"/>
      <c r="J112" s="178"/>
      <c r="K112" s="122"/>
      <c r="L112" s="115"/>
      <c r="N112" s="108"/>
      <c r="O112" s="122"/>
    </row>
    <row r="113" spans="1:15">
      <c r="A113" s="152"/>
      <c r="B113" s="117" t="s">
        <v>172</v>
      </c>
      <c r="C113" s="65"/>
      <c r="D113" s="65"/>
      <c r="E113" s="65"/>
      <c r="F113" s="65"/>
      <c r="G113" s="65"/>
      <c r="H113" s="112"/>
      <c r="I113" s="113"/>
      <c r="J113" s="178"/>
      <c r="K113" s="122"/>
      <c r="L113" s="115"/>
      <c r="N113" s="108"/>
      <c r="O113" s="122"/>
    </row>
    <row r="114" spans="1:15">
      <c r="A114" s="152"/>
      <c r="B114" s="117"/>
      <c r="C114" s="65"/>
      <c r="D114" s="65"/>
      <c r="E114" s="65"/>
      <c r="F114" s="65"/>
      <c r="G114" s="65"/>
      <c r="H114" s="112"/>
      <c r="I114" s="113"/>
      <c r="J114" s="178"/>
      <c r="K114" s="122"/>
      <c r="L114" s="115"/>
      <c r="N114" s="108"/>
      <c r="O114" s="122"/>
    </row>
    <row r="115" spans="1:15">
      <c r="A115" s="152"/>
      <c r="B115" s="117" t="s">
        <v>173</v>
      </c>
      <c r="C115" s="65"/>
      <c r="D115" s="65"/>
      <c r="E115" s="65"/>
      <c r="F115" s="65"/>
      <c r="G115" s="65"/>
      <c r="H115" s="112"/>
      <c r="I115" s="113" t="s">
        <v>257</v>
      </c>
      <c r="J115" s="176">
        <v>193</v>
      </c>
      <c r="K115" s="122"/>
      <c r="L115" s="123" t="str">
        <f t="shared" ref="L115:L125" si="4">IF(K115=0," ",IF(K115=" -"," -",J115*K115))</f>
        <v xml:space="preserve"> </v>
      </c>
      <c r="N115" s="108">
        <v>192</v>
      </c>
      <c r="O115" s="122">
        <v>256.13</v>
      </c>
    </row>
    <row r="116" spans="1:15">
      <c r="A116" s="152"/>
      <c r="B116" s="117" t="s">
        <v>174</v>
      </c>
      <c r="C116" s="65"/>
      <c r="D116" s="65"/>
      <c r="E116" s="65"/>
      <c r="F116" s="65"/>
      <c r="G116" s="65"/>
      <c r="H116" s="112"/>
      <c r="I116" s="113" t="s">
        <v>259</v>
      </c>
      <c r="J116" s="178">
        <f>193*3.4801</f>
        <v>671.65930000000003</v>
      </c>
      <c r="K116" s="122">
        <v>5.79</v>
      </c>
      <c r="L116" s="115">
        <f t="shared" si="4"/>
        <v>3888.9073470000003</v>
      </c>
      <c r="N116" s="108"/>
      <c r="O116" s="122"/>
    </row>
    <row r="117" spans="1:15">
      <c r="A117" s="152"/>
      <c r="B117" s="117" t="s">
        <v>175</v>
      </c>
      <c r="C117" s="65"/>
      <c r="D117" s="65"/>
      <c r="E117" s="65"/>
      <c r="F117" s="65"/>
      <c r="G117" s="65"/>
      <c r="H117" s="112"/>
      <c r="I117" s="113" t="s">
        <v>259</v>
      </c>
      <c r="J117" s="178">
        <f>193*15.0134</f>
        <v>2897.5862000000002</v>
      </c>
      <c r="K117" s="122">
        <v>3.72</v>
      </c>
      <c r="L117" s="115">
        <f t="shared" si="4"/>
        <v>10779.020664000001</v>
      </c>
      <c r="N117" s="108"/>
      <c r="O117" s="122"/>
    </row>
    <row r="118" spans="1:15">
      <c r="A118" s="152"/>
      <c r="B118" s="117" t="s">
        <v>176</v>
      </c>
      <c r="C118" s="65"/>
      <c r="D118" s="65"/>
      <c r="E118" s="65"/>
      <c r="F118" s="65"/>
      <c r="G118" s="65"/>
      <c r="H118" s="112"/>
      <c r="I118" s="113" t="s">
        <v>259</v>
      </c>
      <c r="J118" s="178">
        <f>193*2.1983</f>
        <v>424.27190000000002</v>
      </c>
      <c r="K118" s="122">
        <v>2.37</v>
      </c>
      <c r="L118" s="115">
        <f t="shared" si="4"/>
        <v>1005.5244030000001</v>
      </c>
      <c r="N118" s="108"/>
      <c r="O118" s="122"/>
    </row>
    <row r="119" spans="1:15">
      <c r="A119" s="152"/>
      <c r="B119" s="117" t="s">
        <v>293</v>
      </c>
      <c r="C119" s="65"/>
      <c r="D119" s="65"/>
      <c r="E119" s="65"/>
      <c r="F119" s="65"/>
      <c r="G119" s="65"/>
      <c r="H119" s="112"/>
      <c r="I119" s="113" t="s">
        <v>259</v>
      </c>
      <c r="J119" s="178">
        <f>193*5.8868</f>
        <v>1136.1523999999999</v>
      </c>
      <c r="K119" s="122">
        <v>1.06</v>
      </c>
      <c r="L119" s="115">
        <f t="shared" si="4"/>
        <v>1204.3215439999999</v>
      </c>
      <c r="N119" s="108"/>
      <c r="O119" s="122"/>
    </row>
    <row r="120" spans="1:15">
      <c r="A120" s="152"/>
      <c r="B120" s="117"/>
      <c r="C120" s="65"/>
      <c r="D120" s="65"/>
      <c r="E120" s="65"/>
      <c r="F120" s="65"/>
      <c r="G120" s="65"/>
      <c r="H120" s="112"/>
      <c r="I120" s="113"/>
      <c r="J120" s="179"/>
      <c r="K120" s="122"/>
      <c r="L120" s="115" t="str">
        <f t="shared" si="4"/>
        <v xml:space="preserve"> </v>
      </c>
      <c r="N120" s="108"/>
      <c r="O120" s="122"/>
    </row>
    <row r="121" spans="1:15">
      <c r="A121" s="152"/>
      <c r="B121" s="117" t="s">
        <v>294</v>
      </c>
      <c r="C121" s="65"/>
      <c r="D121" s="65"/>
      <c r="E121" s="65"/>
      <c r="F121" s="65"/>
      <c r="G121" s="65"/>
      <c r="H121" s="112"/>
      <c r="I121" s="113" t="s">
        <v>257</v>
      </c>
      <c r="J121" s="176">
        <v>44</v>
      </c>
      <c r="K121" s="122"/>
      <c r="L121" s="123" t="str">
        <f t="shared" si="4"/>
        <v xml:space="preserve"> </v>
      </c>
      <c r="N121" s="108">
        <v>44</v>
      </c>
      <c r="O121" s="122">
        <v>324.22000000000003</v>
      </c>
    </row>
    <row r="122" spans="1:15">
      <c r="A122" s="152"/>
      <c r="B122" s="117" t="s">
        <v>295</v>
      </c>
      <c r="C122" s="65"/>
      <c r="D122" s="65"/>
      <c r="E122" s="65"/>
      <c r="F122" s="65"/>
      <c r="G122" s="65"/>
      <c r="H122" s="112"/>
      <c r="I122" s="113" t="s">
        <v>259</v>
      </c>
      <c r="J122" s="178">
        <f>44*3.4801</f>
        <v>153.12440000000001</v>
      </c>
      <c r="K122" s="122">
        <v>5.79</v>
      </c>
      <c r="L122" s="115">
        <f t="shared" si="4"/>
        <v>886.59027600000002</v>
      </c>
      <c r="N122" s="108"/>
      <c r="O122" s="122"/>
    </row>
    <row r="123" spans="1:15">
      <c r="A123" s="152"/>
      <c r="B123" s="117" t="s">
        <v>296</v>
      </c>
      <c r="C123" s="65"/>
      <c r="D123" s="65"/>
      <c r="E123" s="65"/>
      <c r="F123" s="65"/>
      <c r="G123" s="65"/>
      <c r="H123" s="112"/>
      <c r="I123" s="113" t="s">
        <v>259</v>
      </c>
      <c r="J123" s="178">
        <f>44*15.0134</f>
        <v>660.58960000000002</v>
      </c>
      <c r="K123" s="122">
        <v>3.72</v>
      </c>
      <c r="L123" s="115">
        <f t="shared" si="4"/>
        <v>2457.3933120000002</v>
      </c>
      <c r="N123" s="108"/>
      <c r="O123" s="122"/>
    </row>
    <row r="124" spans="1:15">
      <c r="A124" s="152"/>
      <c r="B124" s="117" t="s">
        <v>297</v>
      </c>
      <c r="C124" s="65"/>
      <c r="D124" s="65"/>
      <c r="E124" s="65"/>
      <c r="F124" s="65"/>
      <c r="G124" s="65"/>
      <c r="H124" s="112"/>
      <c r="I124" s="113" t="s">
        <v>259</v>
      </c>
      <c r="J124" s="178">
        <f>44*2.1983</f>
        <v>96.725200000000001</v>
      </c>
      <c r="K124" s="122">
        <v>2.37</v>
      </c>
      <c r="L124" s="115">
        <f t="shared" si="4"/>
        <v>229.23872400000002</v>
      </c>
      <c r="N124" s="108"/>
      <c r="O124" s="122"/>
    </row>
    <row r="125" spans="1:15">
      <c r="A125" s="152"/>
      <c r="B125" s="117" t="s">
        <v>830</v>
      </c>
      <c r="C125" s="65"/>
      <c r="D125" s="65"/>
      <c r="E125" s="65"/>
      <c r="F125" s="65"/>
      <c r="G125" s="65"/>
      <c r="H125" s="112"/>
      <c r="I125" s="113" t="s">
        <v>259</v>
      </c>
      <c r="J125" s="178">
        <f>44*5.8868</f>
        <v>259.01920000000001</v>
      </c>
      <c r="K125" s="122">
        <v>1.06</v>
      </c>
      <c r="L125" s="115">
        <f t="shared" si="4"/>
        <v>274.56035200000002</v>
      </c>
      <c r="N125" s="108"/>
      <c r="O125" s="122"/>
    </row>
    <row r="126" spans="1:15">
      <c r="A126" s="152"/>
      <c r="B126" s="117"/>
      <c r="C126" s="65"/>
      <c r="D126" s="65"/>
      <c r="E126" s="65"/>
      <c r="F126" s="65"/>
      <c r="G126" s="65"/>
      <c r="H126" s="112"/>
      <c r="I126" s="113"/>
      <c r="J126" s="130"/>
      <c r="K126" s="122"/>
      <c r="L126" s="123"/>
      <c r="N126" s="108"/>
      <c r="O126" s="122"/>
    </row>
    <row r="127" spans="1:15">
      <c r="A127" s="152"/>
      <c r="B127" s="879" t="s">
        <v>831</v>
      </c>
      <c r="C127" s="703"/>
      <c r="D127" s="703"/>
      <c r="E127" s="703"/>
      <c r="F127" s="703"/>
      <c r="G127" s="703"/>
      <c r="H127" s="880"/>
      <c r="I127" s="107"/>
      <c r="J127" s="180"/>
      <c r="K127" s="181"/>
      <c r="L127" s="123"/>
      <c r="N127" s="182"/>
      <c r="O127" s="181"/>
    </row>
    <row r="128" spans="1:15">
      <c r="A128" s="152"/>
      <c r="I128" s="154"/>
      <c r="J128" s="183"/>
      <c r="K128" s="184"/>
      <c r="L128" s="115" t="str">
        <f t="shared" ref="L128:L133" si="5">IF(K128=0," ",IF(K128=" -"," -",J128*K128))</f>
        <v xml:space="preserve"> </v>
      </c>
      <c r="N128" s="185"/>
      <c r="O128" s="184"/>
    </row>
    <row r="129" spans="1:15">
      <c r="A129" s="152"/>
      <c r="B129" s="879" t="s">
        <v>624</v>
      </c>
      <c r="C129" s="703"/>
      <c r="D129" s="703"/>
      <c r="E129" s="703"/>
      <c r="F129" s="703"/>
      <c r="G129" s="703"/>
      <c r="H129" s="880"/>
      <c r="I129" s="154" t="s">
        <v>827</v>
      </c>
      <c r="J129" s="186">
        <v>433</v>
      </c>
      <c r="K129" s="184"/>
      <c r="L129" s="123" t="str">
        <f t="shared" si="5"/>
        <v xml:space="preserve"> </v>
      </c>
      <c r="N129" s="185">
        <v>420</v>
      </c>
      <c r="O129" s="184">
        <v>13.77</v>
      </c>
    </row>
    <row r="130" spans="1:15">
      <c r="A130" s="116"/>
      <c r="B130" s="117" t="s">
        <v>832</v>
      </c>
      <c r="C130" s="172"/>
      <c r="D130" s="172"/>
      <c r="E130" s="172"/>
      <c r="F130" s="172"/>
      <c r="G130" s="172"/>
      <c r="H130" s="112"/>
      <c r="I130" s="113" t="s">
        <v>259</v>
      </c>
      <c r="J130" s="129">
        <f>433*0.6079</f>
        <v>263.22070000000002</v>
      </c>
      <c r="K130" s="122">
        <v>5.79</v>
      </c>
      <c r="L130" s="115">
        <f t="shared" si="5"/>
        <v>1524.047853</v>
      </c>
      <c r="N130" s="185"/>
      <c r="O130" s="187"/>
    </row>
    <row r="131" spans="1:15">
      <c r="A131" s="116"/>
      <c r="B131" s="117" t="s">
        <v>833</v>
      </c>
      <c r="C131" s="172"/>
      <c r="D131" s="172"/>
      <c r="E131" s="172"/>
      <c r="F131" s="172"/>
      <c r="G131" s="172"/>
      <c r="H131" s="112"/>
      <c r="I131" s="113" t="s">
        <v>259</v>
      </c>
      <c r="J131" s="129">
        <f>433*0.241</f>
        <v>104.35299999999999</v>
      </c>
      <c r="K131" s="122">
        <v>4.3600000000000003</v>
      </c>
      <c r="L131" s="115">
        <f t="shared" si="5"/>
        <v>454.97908000000001</v>
      </c>
      <c r="N131" s="185"/>
      <c r="O131" s="187"/>
    </row>
    <row r="132" spans="1:15">
      <c r="A132" s="116"/>
      <c r="B132" s="117" t="s">
        <v>834</v>
      </c>
      <c r="C132" s="172"/>
      <c r="D132" s="172"/>
      <c r="E132" s="172"/>
      <c r="F132" s="172"/>
      <c r="G132" s="172"/>
      <c r="H132" s="112"/>
      <c r="I132" s="113" t="s">
        <v>259</v>
      </c>
      <c r="J132" s="129">
        <f>433*0.5376</f>
        <v>232.7808</v>
      </c>
      <c r="K132" s="122">
        <v>3.72</v>
      </c>
      <c r="L132" s="115">
        <f t="shared" si="5"/>
        <v>865.9445760000001</v>
      </c>
      <c r="N132" s="185"/>
      <c r="O132" s="187"/>
    </row>
    <row r="133" spans="1:15">
      <c r="A133" s="116"/>
      <c r="B133" s="117" t="s">
        <v>835</v>
      </c>
      <c r="C133" s="172"/>
      <c r="D133" s="172"/>
      <c r="E133" s="172"/>
      <c r="F133" s="172"/>
      <c r="G133" s="172"/>
      <c r="H133" s="112"/>
      <c r="I133" s="113" t="s">
        <v>259</v>
      </c>
      <c r="J133" s="129">
        <f>433*0.0374</f>
        <v>16.194200000000002</v>
      </c>
      <c r="K133" s="122">
        <v>36.630000000000003</v>
      </c>
      <c r="L133" s="115">
        <f t="shared" si="5"/>
        <v>593.19354600000008</v>
      </c>
      <c r="N133" s="185"/>
      <c r="O133" s="187"/>
    </row>
    <row r="134" spans="1:15">
      <c r="A134" s="116"/>
      <c r="B134" s="117"/>
      <c r="C134" s="65"/>
      <c r="D134" s="65"/>
      <c r="E134" s="65"/>
      <c r="F134" s="65"/>
      <c r="G134" s="65"/>
      <c r="H134" s="112"/>
      <c r="I134" s="113"/>
      <c r="J134" s="130"/>
      <c r="K134" s="122"/>
      <c r="L134" s="115"/>
      <c r="N134" s="108"/>
      <c r="O134" s="122"/>
    </row>
    <row r="135" spans="1:15">
      <c r="A135" s="152"/>
      <c r="B135" s="879" t="s">
        <v>836</v>
      </c>
      <c r="C135" s="703"/>
      <c r="D135" s="703"/>
      <c r="E135" s="703"/>
      <c r="F135" s="703"/>
      <c r="G135" s="703"/>
      <c r="H135" s="880"/>
      <c r="I135" s="188"/>
      <c r="J135" s="130"/>
      <c r="K135" s="181"/>
      <c r="L135" s="123"/>
      <c r="N135" s="108"/>
      <c r="O135" s="181"/>
    </row>
    <row r="136" spans="1:15">
      <c r="A136" s="116"/>
      <c r="B136" s="117"/>
      <c r="C136" s="65"/>
      <c r="D136" s="65"/>
      <c r="E136" s="65"/>
      <c r="F136" s="65"/>
      <c r="G136" s="65"/>
      <c r="H136" s="112"/>
      <c r="I136" s="113"/>
      <c r="J136" s="130"/>
      <c r="K136" s="122"/>
      <c r="L136" s="115" t="str">
        <f t="shared" ref="L136:L142" si="6">IF(K136=0," ",IF(K136=" -"," -",J136*K136))</f>
        <v xml:space="preserve"> </v>
      </c>
      <c r="N136" s="108"/>
      <c r="O136" s="122"/>
    </row>
    <row r="137" spans="1:15">
      <c r="A137" s="116"/>
      <c r="B137" s="117" t="s">
        <v>837</v>
      </c>
      <c r="C137" s="65"/>
      <c r="D137" s="65"/>
      <c r="E137" s="65"/>
      <c r="F137" s="65"/>
      <c r="G137" s="65"/>
      <c r="H137" s="112"/>
      <c r="I137" s="113"/>
      <c r="J137" s="130"/>
      <c r="K137" s="122"/>
      <c r="L137" s="115" t="str">
        <f t="shared" si="6"/>
        <v xml:space="preserve"> </v>
      </c>
      <c r="N137" s="108"/>
      <c r="O137" s="122"/>
    </row>
    <row r="138" spans="1:15">
      <c r="A138" s="116"/>
      <c r="B138" s="117" t="s">
        <v>838</v>
      </c>
      <c r="C138" s="65"/>
      <c r="D138" s="65"/>
      <c r="E138" s="65"/>
      <c r="F138" s="65"/>
      <c r="G138" s="65"/>
      <c r="H138" s="112"/>
      <c r="I138" s="113"/>
      <c r="J138" s="130"/>
      <c r="K138" s="122"/>
      <c r="L138" s="115" t="str">
        <f t="shared" si="6"/>
        <v xml:space="preserve"> </v>
      </c>
      <c r="N138" s="108"/>
      <c r="O138" s="122"/>
    </row>
    <row r="139" spans="1:15">
      <c r="A139" s="116"/>
      <c r="B139" s="117"/>
      <c r="C139" s="65"/>
      <c r="D139" s="65"/>
      <c r="E139" s="65"/>
      <c r="F139" s="65"/>
      <c r="G139" s="65"/>
      <c r="H139" s="112"/>
      <c r="I139" s="113"/>
      <c r="J139" s="130"/>
      <c r="K139" s="122"/>
      <c r="L139" s="115" t="str">
        <f t="shared" si="6"/>
        <v xml:space="preserve"> </v>
      </c>
      <c r="N139" s="108"/>
      <c r="O139" s="122"/>
    </row>
    <row r="140" spans="1:15">
      <c r="A140" s="152"/>
      <c r="B140" s="117" t="s">
        <v>839</v>
      </c>
      <c r="C140" s="65"/>
      <c r="D140" s="65"/>
      <c r="E140" s="65"/>
      <c r="F140" s="65"/>
      <c r="G140" s="65"/>
      <c r="H140" s="112"/>
      <c r="I140" s="113" t="s">
        <v>250</v>
      </c>
      <c r="J140" s="176">
        <v>574</v>
      </c>
      <c r="K140" s="122"/>
      <c r="L140" s="123" t="str">
        <f t="shared" si="6"/>
        <v xml:space="preserve"> </v>
      </c>
      <c r="N140" s="108">
        <v>557</v>
      </c>
      <c r="O140" s="122">
        <v>121.58</v>
      </c>
    </row>
    <row r="141" spans="1:15">
      <c r="A141" s="152"/>
      <c r="B141" s="117" t="s">
        <v>840</v>
      </c>
      <c r="C141" s="65"/>
      <c r="D141" s="65"/>
      <c r="E141" s="65"/>
      <c r="F141" s="65"/>
      <c r="G141" s="65"/>
      <c r="H141" s="112"/>
      <c r="I141" s="113" t="s">
        <v>259</v>
      </c>
      <c r="J141" s="178">
        <f>574*0.228</f>
        <v>130.87200000000001</v>
      </c>
      <c r="K141" s="122">
        <v>5.79</v>
      </c>
      <c r="L141" s="115">
        <f t="shared" si="6"/>
        <v>757.7488800000001</v>
      </c>
      <c r="N141" s="108"/>
      <c r="O141" s="122"/>
    </row>
    <row r="142" spans="1:15">
      <c r="A142" s="152"/>
      <c r="B142" s="117" t="s">
        <v>841</v>
      </c>
      <c r="C142" s="65"/>
      <c r="D142" s="65"/>
      <c r="E142" s="65"/>
      <c r="F142" s="65"/>
      <c r="G142" s="65"/>
      <c r="H142" s="112"/>
      <c r="I142" s="113" t="s">
        <v>259</v>
      </c>
      <c r="J142" s="178">
        <f>574*0.406</f>
        <v>233.04400000000001</v>
      </c>
      <c r="K142" s="122">
        <v>4.3600000000000003</v>
      </c>
      <c r="L142" s="115">
        <f t="shared" si="6"/>
        <v>1016.0718400000002</v>
      </c>
      <c r="N142" s="108"/>
      <c r="O142" s="122"/>
    </row>
    <row r="143" spans="1:15" ht="13.5" thickBot="1">
      <c r="A143" s="135"/>
      <c r="B143" s="136"/>
      <c r="C143" s="137"/>
      <c r="D143" s="137"/>
      <c r="E143" s="137"/>
      <c r="F143" s="137"/>
      <c r="G143" s="137"/>
      <c r="H143" s="138"/>
      <c r="I143" s="189"/>
      <c r="J143" s="139"/>
      <c r="K143" s="190"/>
      <c r="L143" s="142"/>
      <c r="N143" s="139"/>
      <c r="O143" s="190"/>
    </row>
    <row r="144" spans="1:15" ht="5.25" customHeight="1" thickBot="1">
      <c r="A144" s="143"/>
      <c r="B144" s="143"/>
      <c r="C144" s="143"/>
      <c r="D144" s="143"/>
      <c r="E144" s="143"/>
      <c r="F144" s="143"/>
      <c r="G144" s="143"/>
      <c r="H144" s="143"/>
      <c r="I144" s="143"/>
      <c r="J144" s="143"/>
      <c r="K144" s="143"/>
      <c r="L144" s="143"/>
      <c r="N144" s="143"/>
      <c r="O144" s="143"/>
    </row>
    <row r="145" spans="1:15">
      <c r="A145" s="94" t="s">
        <v>270</v>
      </c>
      <c r="B145" s="88"/>
      <c r="C145" s="88"/>
      <c r="D145" s="88"/>
      <c r="E145" s="145" t="s">
        <v>271</v>
      </c>
      <c r="F145" s="88"/>
      <c r="G145" s="88"/>
      <c r="H145" s="106"/>
      <c r="I145" s="45" t="s">
        <v>272</v>
      </c>
      <c r="J145" s="88"/>
      <c r="K145" s="145" t="s">
        <v>273</v>
      </c>
      <c r="L145" s="147"/>
      <c r="N145" s="88"/>
      <c r="O145" s="145" t="s">
        <v>273</v>
      </c>
    </row>
    <row r="146" spans="1:15" ht="13.5" customHeight="1" thickBot="1">
      <c r="A146" s="877"/>
      <c r="B146" s="867"/>
      <c r="C146" s="867"/>
      <c r="D146" s="867"/>
      <c r="E146" s="878"/>
      <c r="F146" s="867"/>
      <c r="G146" s="867"/>
      <c r="H146" s="868"/>
      <c r="I146" s="148"/>
      <c r="J146" s="148"/>
      <c r="K146" s="136"/>
      <c r="L146" s="150"/>
      <c r="N146" s="148"/>
      <c r="O146" s="136"/>
    </row>
    <row r="147" spans="1:15">
      <c r="A147" s="152"/>
      <c r="B147" s="117"/>
      <c r="C147" s="65"/>
      <c r="D147" s="65"/>
      <c r="E147" s="65"/>
      <c r="F147" s="65"/>
      <c r="G147" s="65"/>
      <c r="H147" s="112"/>
      <c r="I147" s="113"/>
      <c r="J147" s="178"/>
      <c r="K147" s="122"/>
      <c r="L147" s="115"/>
      <c r="N147" s="108"/>
      <c r="O147" s="122"/>
    </row>
    <row r="148" spans="1:15">
      <c r="A148" s="152"/>
      <c r="B148" s="117"/>
      <c r="C148" s="65"/>
      <c r="D148" s="65"/>
      <c r="E148" s="65"/>
      <c r="F148" s="65"/>
      <c r="G148" s="65"/>
      <c r="H148" s="112"/>
      <c r="I148" s="113"/>
      <c r="J148" s="179"/>
      <c r="K148" s="122"/>
      <c r="L148" s="115"/>
      <c r="N148" s="108"/>
      <c r="O148" s="122"/>
    </row>
    <row r="149" spans="1:15">
      <c r="A149" s="152"/>
      <c r="B149" s="117" t="s">
        <v>842</v>
      </c>
      <c r="C149" s="65"/>
      <c r="D149" s="65"/>
      <c r="E149" s="65"/>
      <c r="F149" s="65"/>
      <c r="G149" s="65"/>
      <c r="H149" s="112"/>
      <c r="I149" s="113" t="s">
        <v>250</v>
      </c>
      <c r="J149" s="176">
        <v>329</v>
      </c>
      <c r="K149" s="122"/>
      <c r="L149" s="123" t="str">
        <f>IF(K149=0," ",IF(K149=" -"," -",J149*K149))</f>
        <v xml:space="preserve"> </v>
      </c>
      <c r="N149" s="108">
        <v>319</v>
      </c>
      <c r="O149" s="122">
        <v>147.02000000000001</v>
      </c>
    </row>
    <row r="150" spans="1:15">
      <c r="A150" s="152"/>
      <c r="B150" s="117" t="s">
        <v>843</v>
      </c>
      <c r="C150" s="65"/>
      <c r="D150" s="65"/>
      <c r="E150" s="65"/>
      <c r="F150" s="65"/>
      <c r="G150" s="65"/>
      <c r="H150" s="112"/>
      <c r="I150" s="113" t="s">
        <v>259</v>
      </c>
      <c r="J150" s="178">
        <f>329*0.2453</f>
        <v>80.703699999999998</v>
      </c>
      <c r="K150" s="122">
        <v>5.79</v>
      </c>
      <c r="L150" s="115">
        <f>IF(K150=0," ",IF(K150=" -"," -",J150*K150))</f>
        <v>467.27442300000001</v>
      </c>
      <c r="N150" s="108"/>
      <c r="O150" s="122"/>
    </row>
    <row r="151" spans="1:15">
      <c r="A151" s="152"/>
      <c r="B151" s="117" t="s">
        <v>844</v>
      </c>
      <c r="C151" s="65"/>
      <c r="D151" s="65"/>
      <c r="E151" s="65"/>
      <c r="F151" s="65"/>
      <c r="G151" s="65"/>
      <c r="H151" s="112"/>
      <c r="I151" s="113" t="s">
        <v>259</v>
      </c>
      <c r="J151" s="178">
        <f>329*0.4404</f>
        <v>144.89160000000001</v>
      </c>
      <c r="K151" s="122">
        <v>4.3600000000000003</v>
      </c>
      <c r="L151" s="115">
        <f>IF(K151=0," ",IF(K151=" -"," -",J151*K151))</f>
        <v>631.72737600000005</v>
      </c>
      <c r="N151" s="108"/>
      <c r="O151" s="122"/>
    </row>
    <row r="152" spans="1:15">
      <c r="A152" s="152"/>
      <c r="B152" s="117"/>
      <c r="C152" s="65"/>
      <c r="D152" s="65"/>
      <c r="E152" s="65"/>
      <c r="F152" s="65"/>
      <c r="G152" s="65"/>
      <c r="H152" s="112"/>
      <c r="I152" s="113"/>
      <c r="J152" s="176"/>
      <c r="K152" s="122"/>
      <c r="L152" s="115"/>
      <c r="N152" s="108"/>
      <c r="O152" s="122"/>
    </row>
    <row r="153" spans="1:15">
      <c r="A153" s="191"/>
      <c r="B153" s="105" t="s">
        <v>845</v>
      </c>
      <c r="C153" s="65"/>
      <c r="D153" s="65"/>
      <c r="E153" s="65"/>
      <c r="F153" s="65"/>
      <c r="G153" s="65"/>
      <c r="H153" s="112"/>
      <c r="I153" s="113"/>
      <c r="J153" s="108"/>
      <c r="K153" s="122"/>
      <c r="L153" s="115" t="str">
        <f>IF(K153=0," ",IF(K153=" -"," -",J153*K153))</f>
        <v xml:space="preserve"> </v>
      </c>
      <c r="N153" s="108"/>
      <c r="O153" s="122"/>
    </row>
    <row r="154" spans="1:15">
      <c r="A154" s="191"/>
      <c r="B154" s="105" t="s">
        <v>846</v>
      </c>
      <c r="C154" s="65"/>
      <c r="D154" s="65"/>
      <c r="E154" s="65"/>
      <c r="F154" s="65"/>
      <c r="G154" s="65"/>
      <c r="H154" s="112"/>
      <c r="I154" s="188" t="s">
        <v>250</v>
      </c>
      <c r="J154" s="120">
        <v>10</v>
      </c>
      <c r="K154" s="192"/>
      <c r="L154" s="123" t="str">
        <f>IF(K154=0," ",IF(K154=" -"," -",J154*K154))</f>
        <v xml:space="preserve"> </v>
      </c>
      <c r="N154" s="108">
        <v>10</v>
      </c>
      <c r="O154" s="192">
        <v>138.66</v>
      </c>
    </row>
    <row r="155" spans="1:15">
      <c r="A155" s="193"/>
      <c r="B155" s="105" t="s">
        <v>847</v>
      </c>
      <c r="C155" s="65"/>
      <c r="D155" s="65"/>
      <c r="E155" s="65"/>
      <c r="F155" s="65"/>
      <c r="G155" s="65"/>
      <c r="H155" s="112"/>
      <c r="I155" s="188" t="s">
        <v>259</v>
      </c>
      <c r="J155" s="178">
        <f>10*3.5472</f>
        <v>35.472000000000001</v>
      </c>
      <c r="K155" s="192">
        <v>5.79</v>
      </c>
      <c r="L155" s="115">
        <f>IF(K155=0," ",IF(K155=" -"," -",J155*K155))</f>
        <v>205.38288</v>
      </c>
      <c r="N155" s="108"/>
      <c r="O155" s="192"/>
    </row>
    <row r="156" spans="1:15">
      <c r="A156" s="193"/>
      <c r="B156" s="105" t="s">
        <v>848</v>
      </c>
      <c r="C156" s="65"/>
      <c r="D156" s="65"/>
      <c r="E156" s="65"/>
      <c r="F156" s="65"/>
      <c r="G156" s="65"/>
      <c r="H156" s="112"/>
      <c r="I156" s="188" t="s">
        <v>259</v>
      </c>
      <c r="J156" s="178">
        <f>10*7.0944</f>
        <v>70.944000000000003</v>
      </c>
      <c r="K156" s="192">
        <v>4.3600000000000003</v>
      </c>
      <c r="L156" s="115">
        <f>IF(K156=0," ",IF(K156=" -"," -",J156*K156))</f>
        <v>309.31584000000004</v>
      </c>
      <c r="N156" s="108"/>
      <c r="O156" s="192"/>
    </row>
    <row r="157" spans="1:15">
      <c r="A157" s="193"/>
      <c r="B157" s="105"/>
      <c r="C157" s="65"/>
      <c r="D157" s="65"/>
      <c r="E157" s="65"/>
      <c r="F157" s="65"/>
      <c r="G157" s="65"/>
      <c r="H157" s="112"/>
      <c r="I157" s="113"/>
      <c r="J157" s="178"/>
      <c r="K157" s="122"/>
      <c r="L157" s="115"/>
      <c r="N157" s="108"/>
      <c r="O157" s="122"/>
    </row>
    <row r="158" spans="1:15">
      <c r="A158" s="193"/>
      <c r="B158" s="105"/>
      <c r="C158" s="65"/>
      <c r="D158" s="65"/>
      <c r="E158" s="65"/>
      <c r="F158" s="65"/>
      <c r="G158" s="65"/>
      <c r="H158" s="112"/>
      <c r="I158" s="113"/>
      <c r="J158" s="178"/>
      <c r="K158" s="122"/>
      <c r="L158" s="115"/>
      <c r="N158" s="108"/>
      <c r="O158" s="122"/>
    </row>
    <row r="159" spans="1:15">
      <c r="A159" s="116"/>
      <c r="B159" s="117" t="s">
        <v>849</v>
      </c>
      <c r="C159" s="65"/>
      <c r="D159" s="65"/>
      <c r="E159" s="65"/>
      <c r="F159" s="65"/>
      <c r="G159" s="65"/>
      <c r="H159" s="112"/>
      <c r="I159" s="113"/>
      <c r="J159" s="194"/>
      <c r="K159" s="122"/>
      <c r="L159" s="115" t="str">
        <f>IF(K159=0," ",IF(K159=" -"," -",J159*K159))</f>
        <v xml:space="preserve"> </v>
      </c>
      <c r="N159" s="195"/>
      <c r="O159" s="122"/>
    </row>
    <row r="160" spans="1:15">
      <c r="A160" s="116"/>
      <c r="B160" s="117"/>
      <c r="C160" s="65"/>
      <c r="D160" s="65"/>
      <c r="E160" s="65"/>
      <c r="F160" s="65"/>
      <c r="G160" s="65"/>
      <c r="H160" s="112"/>
      <c r="I160" s="113"/>
      <c r="J160" s="194"/>
      <c r="K160" s="122"/>
      <c r="L160" s="115" t="str">
        <f>IF(K160=0," ",IF(K160=" -"," -",J160*K160))</f>
        <v xml:space="preserve"> </v>
      </c>
      <c r="N160" s="195"/>
      <c r="O160" s="122"/>
    </row>
    <row r="161" spans="1:15">
      <c r="A161" s="116"/>
      <c r="B161" s="117" t="s">
        <v>850</v>
      </c>
      <c r="C161" s="65"/>
      <c r="D161" s="65"/>
      <c r="E161" s="65"/>
      <c r="F161" s="65"/>
      <c r="G161" s="65"/>
      <c r="H161" s="112"/>
      <c r="I161" s="113" t="s">
        <v>851</v>
      </c>
      <c r="J161" s="120">
        <v>33</v>
      </c>
      <c r="K161" s="122"/>
      <c r="L161" s="115" t="str">
        <f>IF(K161=0," ",IF(K161=" -"," -",J161*K161))</f>
        <v xml:space="preserve"> </v>
      </c>
      <c r="N161" s="108">
        <v>33</v>
      </c>
      <c r="O161" s="122">
        <v>190.02</v>
      </c>
    </row>
    <row r="162" spans="1:15">
      <c r="A162" s="116"/>
      <c r="B162" s="117" t="s">
        <v>852</v>
      </c>
      <c r="C162" s="65"/>
      <c r="D162" s="65"/>
      <c r="E162" s="65"/>
      <c r="F162" s="65"/>
      <c r="G162" s="65"/>
      <c r="H162" s="112"/>
      <c r="I162" s="113" t="s">
        <v>259</v>
      </c>
      <c r="J162" s="178">
        <f>33*0.7424</f>
        <v>24.499199999999998</v>
      </c>
      <c r="K162" s="122">
        <v>5.79</v>
      </c>
      <c r="L162" s="115">
        <f>IF(K162=0," ",IF(K162=" -"," -",J162*K162))</f>
        <v>141.850368</v>
      </c>
      <c r="N162" s="108"/>
      <c r="O162" s="122"/>
    </row>
    <row r="163" spans="1:15">
      <c r="A163" s="116"/>
      <c r="B163" s="117" t="s">
        <v>853</v>
      </c>
      <c r="C163" s="65"/>
      <c r="D163" s="65"/>
      <c r="E163" s="65"/>
      <c r="F163" s="65"/>
      <c r="G163" s="65"/>
      <c r="H163" s="112"/>
      <c r="I163" s="113" t="s">
        <v>259</v>
      </c>
      <c r="J163" s="178">
        <f>33*3.71</f>
        <v>122.42999999999999</v>
      </c>
      <c r="K163" s="122">
        <v>3.72</v>
      </c>
      <c r="L163" s="115">
        <f>IF(K163=0," ",IF(K163=" -"," -",J163*K163))</f>
        <v>455.43959999999998</v>
      </c>
      <c r="N163" s="108"/>
      <c r="O163" s="122"/>
    </row>
    <row r="164" spans="1:15">
      <c r="A164" s="116"/>
      <c r="B164" s="117"/>
      <c r="C164" s="65"/>
      <c r="D164" s="65"/>
      <c r="E164" s="65"/>
      <c r="F164" s="65"/>
      <c r="G164" s="65"/>
      <c r="H164" s="112"/>
      <c r="I164" s="113"/>
      <c r="J164" s="178"/>
      <c r="K164" s="122"/>
      <c r="L164" s="115"/>
      <c r="N164" s="108"/>
      <c r="O164" s="122"/>
    </row>
    <row r="165" spans="1:15">
      <c r="A165" s="116"/>
      <c r="B165" s="117"/>
      <c r="C165" s="65"/>
      <c r="D165" s="65"/>
      <c r="E165" s="65"/>
      <c r="F165" s="65"/>
      <c r="G165" s="65"/>
      <c r="H165" s="112"/>
      <c r="I165" s="113"/>
      <c r="J165" s="195"/>
      <c r="K165" s="122"/>
      <c r="L165" s="115"/>
      <c r="N165" s="195"/>
      <c r="O165" s="122"/>
    </row>
    <row r="166" spans="1:15">
      <c r="A166" s="116"/>
      <c r="B166" s="117"/>
      <c r="C166" s="65"/>
      <c r="D166" s="65"/>
      <c r="E166" s="65"/>
      <c r="F166" s="65"/>
      <c r="G166" s="65"/>
      <c r="H166" s="112"/>
      <c r="I166" s="113"/>
      <c r="J166" s="195"/>
      <c r="K166" s="114"/>
      <c r="L166" s="115" t="str">
        <f>IF(K166=0," ",IF(K166=" -"," -",J166*K166))</f>
        <v xml:space="preserve"> </v>
      </c>
      <c r="N166" s="195"/>
      <c r="O166" s="114"/>
    </row>
    <row r="167" spans="1:15">
      <c r="A167" s="116"/>
      <c r="B167" s="887" t="s">
        <v>854</v>
      </c>
      <c r="C167" s="703"/>
      <c r="D167" s="703"/>
      <c r="E167" s="703"/>
      <c r="F167" s="703"/>
      <c r="G167" s="65"/>
      <c r="H167" s="112"/>
      <c r="I167" s="113"/>
      <c r="J167" s="195"/>
      <c r="K167" s="197"/>
      <c r="L167" s="198">
        <f>SUM(L7:L166)</f>
        <v>131565.54164350004</v>
      </c>
      <c r="N167" s="195"/>
      <c r="O167" s="197"/>
    </row>
    <row r="168" spans="1:15">
      <c r="A168" s="116"/>
      <c r="B168" s="196"/>
      <c r="C168" s="172"/>
      <c r="D168" s="172"/>
      <c r="E168" s="172"/>
      <c r="F168" s="172"/>
      <c r="G168" s="65"/>
      <c r="H168" s="112"/>
      <c r="I168" s="113"/>
      <c r="J168" s="195"/>
      <c r="K168" s="197"/>
      <c r="L168" s="198"/>
      <c r="N168" s="195"/>
      <c r="O168" s="197"/>
    </row>
    <row r="169" spans="1:15">
      <c r="A169" s="116"/>
      <c r="B169" s="196"/>
      <c r="C169" s="172"/>
      <c r="D169" s="172"/>
      <c r="E169" s="172"/>
      <c r="F169" s="172"/>
      <c r="G169" s="65"/>
      <c r="H169" s="112"/>
      <c r="I169" s="113"/>
      <c r="J169" s="195"/>
      <c r="K169" s="197"/>
      <c r="L169" s="198"/>
      <c r="N169" s="195"/>
      <c r="O169" s="197"/>
    </row>
    <row r="170" spans="1:15">
      <c r="A170" s="116"/>
      <c r="B170" s="196"/>
      <c r="C170" s="172"/>
      <c r="D170" s="172"/>
      <c r="E170" s="172"/>
      <c r="F170" s="172"/>
      <c r="G170" s="65"/>
      <c r="H170" s="112"/>
      <c r="I170" s="113"/>
      <c r="J170" s="195"/>
      <c r="K170" s="197"/>
      <c r="L170" s="198"/>
      <c r="N170" s="195"/>
      <c r="O170" s="197"/>
    </row>
    <row r="171" spans="1:15">
      <c r="A171" s="116"/>
      <c r="B171" s="196"/>
      <c r="C171" s="172"/>
      <c r="D171" s="172"/>
      <c r="E171" s="172"/>
      <c r="F171" s="172"/>
      <c r="G171" s="65"/>
      <c r="H171" s="112"/>
      <c r="I171" s="113"/>
      <c r="J171" s="195"/>
      <c r="K171" s="197"/>
      <c r="L171" s="198"/>
      <c r="N171" s="195"/>
      <c r="O171" s="197"/>
    </row>
    <row r="172" spans="1:15">
      <c r="A172" s="116"/>
      <c r="B172" s="196"/>
      <c r="C172" s="172"/>
      <c r="D172" s="172"/>
      <c r="E172" s="172"/>
      <c r="F172" s="172"/>
      <c r="G172" s="65"/>
      <c r="H172" s="112"/>
      <c r="I172" s="113"/>
      <c r="J172" s="195"/>
      <c r="K172" s="197"/>
      <c r="L172" s="198"/>
      <c r="N172" s="195"/>
      <c r="O172" s="197"/>
    </row>
    <row r="173" spans="1:15">
      <c r="A173" s="116"/>
      <c r="B173" s="196"/>
      <c r="C173" s="172"/>
      <c r="D173" s="172"/>
      <c r="E173" s="172"/>
      <c r="F173" s="172"/>
      <c r="G173" s="65"/>
      <c r="H173" s="112"/>
      <c r="I173" s="113"/>
      <c r="J173" s="195"/>
      <c r="K173" s="197"/>
      <c r="L173" s="198"/>
      <c r="N173" s="195"/>
      <c r="O173" s="197"/>
    </row>
    <row r="174" spans="1:15">
      <c r="A174" s="116"/>
      <c r="B174" s="196"/>
      <c r="C174" s="172"/>
      <c r="D174" s="172"/>
      <c r="E174" s="172"/>
      <c r="F174" s="172"/>
      <c r="G174" s="65"/>
      <c r="H174" s="112"/>
      <c r="I174" s="113"/>
      <c r="J174" s="195"/>
      <c r="K174" s="197"/>
      <c r="L174" s="198"/>
      <c r="N174" s="195"/>
      <c r="O174" s="197"/>
    </row>
    <row r="175" spans="1:15">
      <c r="A175" s="116"/>
      <c r="B175" s="196"/>
      <c r="C175" s="172"/>
      <c r="D175" s="172"/>
      <c r="E175" s="172"/>
      <c r="F175" s="172"/>
      <c r="G175" s="65"/>
      <c r="H175" s="112"/>
      <c r="I175" s="113"/>
      <c r="J175" s="195"/>
      <c r="K175" s="197"/>
      <c r="L175" s="198"/>
      <c r="N175" s="195"/>
      <c r="O175" s="197"/>
    </row>
    <row r="176" spans="1:15">
      <c r="A176" s="116"/>
      <c r="B176" s="196"/>
      <c r="C176" s="172"/>
      <c r="D176" s="172"/>
      <c r="E176" s="172"/>
      <c r="F176" s="172"/>
      <c r="G176" s="65"/>
      <c r="H176" s="112"/>
      <c r="I176" s="113"/>
      <c r="J176" s="195"/>
      <c r="K176" s="197"/>
      <c r="L176" s="198"/>
      <c r="N176" s="195"/>
      <c r="O176" s="197"/>
    </row>
    <row r="177" spans="1:15">
      <c r="A177" s="116"/>
      <c r="B177" s="117"/>
      <c r="C177" s="65"/>
      <c r="D177" s="65"/>
      <c r="E177" s="65"/>
      <c r="F177" s="65"/>
      <c r="G177" s="65"/>
      <c r="H177" s="112"/>
      <c r="I177" s="113"/>
      <c r="J177" s="195"/>
      <c r="K177" s="197"/>
      <c r="L177" s="199"/>
      <c r="N177" s="195"/>
      <c r="O177" s="197"/>
    </row>
    <row r="178" spans="1:15" ht="13.5" thickBot="1">
      <c r="A178" s="135"/>
      <c r="B178" s="136"/>
      <c r="C178" s="137"/>
      <c r="D178" s="137"/>
      <c r="E178" s="137"/>
      <c r="F178" s="137"/>
      <c r="G178" s="137"/>
      <c r="H178" s="138"/>
      <c r="I178" s="189"/>
      <c r="J178" s="139"/>
      <c r="K178" s="190"/>
      <c r="L178" s="142"/>
      <c r="N178" s="139"/>
      <c r="O178" s="190"/>
    </row>
    <row r="179" spans="1:15" ht="5.25" customHeight="1" thickBot="1">
      <c r="A179" s="143"/>
      <c r="B179" s="143"/>
      <c r="C179" s="143"/>
      <c r="D179" s="143"/>
      <c r="E179" s="143"/>
      <c r="F179" s="143"/>
      <c r="G179" s="143"/>
      <c r="H179" s="143"/>
      <c r="I179" s="143"/>
      <c r="J179" s="143"/>
      <c r="K179" s="143"/>
      <c r="L179" s="143"/>
      <c r="N179" s="143"/>
      <c r="O179" s="143"/>
    </row>
    <row r="180" spans="1:15">
      <c r="A180" s="94" t="s">
        <v>270</v>
      </c>
      <c r="B180" s="88"/>
      <c r="C180" s="88"/>
      <c r="D180" s="88"/>
      <c r="E180" s="145" t="s">
        <v>271</v>
      </c>
      <c r="F180" s="88"/>
      <c r="G180" s="88"/>
      <c r="H180" s="106"/>
      <c r="I180" s="45" t="s">
        <v>272</v>
      </c>
      <c r="J180" s="88"/>
      <c r="K180" s="145" t="s">
        <v>273</v>
      </c>
      <c r="L180" s="147"/>
      <c r="N180" s="88"/>
      <c r="O180" s="145" t="s">
        <v>273</v>
      </c>
    </row>
    <row r="181" spans="1:15" ht="13.5" customHeight="1" thickBot="1">
      <c r="A181" s="877"/>
      <c r="B181" s="867"/>
      <c r="C181" s="867"/>
      <c r="D181" s="867"/>
      <c r="E181" s="878"/>
      <c r="F181" s="867"/>
      <c r="G181" s="867"/>
      <c r="H181" s="868"/>
      <c r="I181" s="148"/>
      <c r="J181" s="148"/>
      <c r="K181" s="136"/>
      <c r="L181" s="150"/>
      <c r="N181" s="148"/>
      <c r="O181" s="136"/>
    </row>
  </sheetData>
  <mergeCells count="21">
    <mergeCell ref="A181:D181"/>
    <mergeCell ref="E181:H181"/>
    <mergeCell ref="B127:H127"/>
    <mergeCell ref="B129:H129"/>
    <mergeCell ref="B135:H135"/>
    <mergeCell ref="B167:F167"/>
    <mergeCell ref="A146:D146"/>
    <mergeCell ref="E146:H146"/>
    <mergeCell ref="G2:J2"/>
    <mergeCell ref="G4:K4"/>
    <mergeCell ref="B6:H6"/>
    <mergeCell ref="B44:H44"/>
    <mergeCell ref="A41:D41"/>
    <mergeCell ref="E41:H41"/>
    <mergeCell ref="B43:H43"/>
    <mergeCell ref="A111:D111"/>
    <mergeCell ref="E111:H111"/>
    <mergeCell ref="B65:H65"/>
    <mergeCell ref="B69:H69"/>
    <mergeCell ref="A76:D76"/>
    <mergeCell ref="E76:H76"/>
  </mergeCells>
  <phoneticPr fontId="0" type="noConversion"/>
  <pageMargins left="0.74" right="0.55118110236220474" top="0.86" bottom="0.39370078740157483" header="0.9" footer="0.51181102362204722"/>
  <pageSetup paperSize="9" orientation="landscape" horizontalDpi="4294967294" verticalDpi="300" r:id="rId1"/>
  <headerFooter alignWithMargins="0">
    <oddHeader>&amp;R&amp;P     .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1"/>
  <sheetViews>
    <sheetView topLeftCell="A22" workbookViewId="0">
      <selection activeCell="O37" sqref="O37"/>
    </sheetView>
  </sheetViews>
  <sheetFormatPr defaultRowHeight="12.75"/>
  <cols>
    <col min="10" max="10" width="14.42578125" customWidth="1"/>
    <col min="11" max="11" width="17.140625" customWidth="1"/>
    <col min="12" max="12" width="19.140625" customWidth="1"/>
    <col min="14" max="14" width="14.42578125" hidden="1" customWidth="1"/>
    <col min="15" max="15" width="17.140625" hidden="1" customWidth="1"/>
  </cols>
  <sheetData>
    <row r="1" spans="1:15">
      <c r="G1" s="89" t="s">
        <v>238</v>
      </c>
      <c r="H1" s="90"/>
      <c r="I1" s="90"/>
      <c r="J1" s="90"/>
      <c r="K1" s="90"/>
      <c r="L1" s="91" t="s">
        <v>239</v>
      </c>
      <c r="N1" s="90"/>
      <c r="O1" s="90"/>
    </row>
    <row r="2" spans="1:15" ht="15">
      <c r="G2" s="881" t="s">
        <v>240</v>
      </c>
      <c r="H2" s="882"/>
      <c r="I2" s="882"/>
      <c r="J2" s="882"/>
      <c r="K2" s="92"/>
      <c r="L2" s="93"/>
      <c r="O2" s="92"/>
    </row>
    <row r="3" spans="1:15">
      <c r="G3" s="94" t="s">
        <v>241</v>
      </c>
      <c r="H3" s="88"/>
      <c r="I3" s="88"/>
      <c r="J3" s="88"/>
      <c r="K3" s="88"/>
      <c r="L3" s="95" t="s">
        <v>242</v>
      </c>
      <c r="N3" s="88"/>
      <c r="O3" s="88"/>
    </row>
    <row r="4" spans="1:15" ht="15.75" thickBot="1">
      <c r="G4" s="883" t="s">
        <v>154</v>
      </c>
      <c r="H4" s="884"/>
      <c r="I4" s="884"/>
      <c r="J4" s="884"/>
      <c r="K4" s="885"/>
      <c r="L4" s="96">
        <v>38504</v>
      </c>
    </row>
    <row r="5" spans="1:15" ht="5.25" customHeight="1" thickBot="1"/>
    <row r="6" spans="1:15">
      <c r="A6" s="97" t="s">
        <v>150</v>
      </c>
      <c r="B6" s="873" t="s">
        <v>151</v>
      </c>
      <c r="C6" s="873"/>
      <c r="D6" s="873"/>
      <c r="E6" s="873"/>
      <c r="F6" s="873"/>
      <c r="G6" s="873"/>
      <c r="H6" s="873"/>
      <c r="I6" s="98" t="s">
        <v>152</v>
      </c>
      <c r="J6" s="31" t="s">
        <v>243</v>
      </c>
      <c r="K6" s="98" t="s">
        <v>244</v>
      </c>
      <c r="L6" s="33" t="s">
        <v>245</v>
      </c>
      <c r="N6" s="31" t="s">
        <v>243</v>
      </c>
      <c r="O6" s="98" t="s">
        <v>244</v>
      </c>
    </row>
    <row r="7" spans="1:15">
      <c r="A7" s="99"/>
      <c r="B7" s="100"/>
      <c r="C7" s="88"/>
      <c r="D7" s="88"/>
      <c r="E7" s="88"/>
      <c r="F7" s="88"/>
      <c r="G7" s="88"/>
      <c r="H7" s="88"/>
      <c r="I7" s="101"/>
      <c r="J7" s="102"/>
      <c r="K7" s="101"/>
      <c r="L7" s="103"/>
      <c r="N7" s="102"/>
      <c r="O7" s="101"/>
    </row>
    <row r="8" spans="1:15" ht="12.75" customHeight="1">
      <c r="A8" s="110" t="s">
        <v>855</v>
      </c>
      <c r="B8" s="111" t="s">
        <v>154</v>
      </c>
      <c r="C8" s="65"/>
      <c r="D8" s="65"/>
      <c r="E8" s="65"/>
      <c r="F8" s="65"/>
      <c r="G8" s="65"/>
      <c r="H8" s="112"/>
      <c r="I8" s="113"/>
      <c r="J8" s="108"/>
      <c r="K8" s="114"/>
      <c r="L8" s="115" t="str">
        <f>IF(K8=0," ",IF(K8=" -"," -",J8*K8))</f>
        <v xml:space="preserve"> </v>
      </c>
      <c r="N8" s="108"/>
      <c r="O8" s="114"/>
    </row>
    <row r="9" spans="1:15">
      <c r="A9" s="116"/>
      <c r="B9" s="117"/>
      <c r="C9" s="65"/>
      <c r="D9" s="65"/>
      <c r="E9" s="65"/>
      <c r="F9" s="65"/>
      <c r="G9" s="65"/>
      <c r="H9" s="112"/>
      <c r="I9" s="113"/>
      <c r="J9" s="118"/>
      <c r="K9" s="114"/>
      <c r="L9" s="115" t="str">
        <f>IF(K9=0," ",IF(K9=" -"," -",J9*K9))</f>
        <v xml:space="preserve"> </v>
      </c>
      <c r="N9" s="108"/>
      <c r="O9" s="114"/>
    </row>
    <row r="10" spans="1:15">
      <c r="A10" s="116"/>
      <c r="B10" s="119" t="s">
        <v>247</v>
      </c>
      <c r="C10" s="65"/>
      <c r="D10" s="65"/>
      <c r="E10" s="65"/>
      <c r="F10" s="65"/>
      <c r="G10" s="65"/>
      <c r="H10" s="112"/>
      <c r="I10" s="113"/>
      <c r="J10" s="108"/>
      <c r="K10" s="114"/>
      <c r="L10" s="115" t="str">
        <f>IF(K10=0," ",IF(K10=" -"," -",J10*K10))</f>
        <v xml:space="preserve"> </v>
      </c>
      <c r="N10" s="108"/>
      <c r="O10" s="114"/>
    </row>
    <row r="11" spans="1:15">
      <c r="A11" s="116"/>
      <c r="B11" s="117"/>
      <c r="C11" s="65"/>
      <c r="D11" s="65"/>
      <c r="E11" s="65"/>
      <c r="F11" s="65"/>
      <c r="G11" s="65"/>
      <c r="H11" s="112"/>
      <c r="I11" s="113"/>
      <c r="J11" s="108"/>
      <c r="K11" s="114"/>
      <c r="L11" s="115" t="str">
        <f>IF(K11=0," ",IF(K11=" -"," -",J11*K11))</f>
        <v xml:space="preserve"> </v>
      </c>
      <c r="N11" s="108"/>
      <c r="O11" s="114"/>
    </row>
    <row r="12" spans="1:15">
      <c r="A12" s="116"/>
      <c r="B12" s="117" t="s">
        <v>249</v>
      </c>
      <c r="C12" s="65"/>
      <c r="D12" s="65"/>
      <c r="E12" s="65"/>
      <c r="F12" s="65"/>
      <c r="G12" s="65"/>
      <c r="H12" s="112"/>
      <c r="I12" s="121" t="s">
        <v>250</v>
      </c>
      <c r="J12" s="200">
        <v>886</v>
      </c>
      <c r="K12" s="122"/>
      <c r="L12" s="115" t="str">
        <f>IF(K12=0," ",IF(K12=" -"," -",J12*K12))</f>
        <v xml:space="preserve"> </v>
      </c>
      <c r="N12" s="124">
        <v>886</v>
      </c>
      <c r="O12" s="122">
        <v>1.03</v>
      </c>
    </row>
    <row r="13" spans="1:15">
      <c r="A13" s="116"/>
      <c r="B13" s="117" t="s">
        <v>177</v>
      </c>
      <c r="C13" s="65"/>
      <c r="D13" s="65"/>
      <c r="E13" s="65"/>
      <c r="F13" s="65"/>
      <c r="G13" s="65"/>
      <c r="H13" s="112"/>
      <c r="I13" s="121"/>
      <c r="J13" s="200"/>
      <c r="K13" s="122"/>
      <c r="L13" s="115"/>
      <c r="N13" s="124"/>
      <c r="O13" s="122"/>
    </row>
    <row r="14" spans="1:15">
      <c r="A14" s="116"/>
      <c r="B14" s="117"/>
      <c r="C14" s="65"/>
      <c r="D14" s="65"/>
      <c r="E14" s="65"/>
      <c r="F14" s="65"/>
      <c r="G14" s="65"/>
      <c r="H14" s="112"/>
      <c r="I14" s="113"/>
      <c r="J14" s="108"/>
      <c r="K14" s="122"/>
      <c r="L14" s="115" t="str">
        <f>IF(K14=0," ",IF(K14=" -"," -",J14*K14))</f>
        <v xml:space="preserve"> </v>
      </c>
      <c r="N14" s="108"/>
      <c r="O14" s="122"/>
    </row>
    <row r="15" spans="1:15">
      <c r="A15" s="116"/>
      <c r="B15" s="119" t="s">
        <v>256</v>
      </c>
      <c r="C15" s="65"/>
      <c r="D15" s="65"/>
      <c r="E15" s="65"/>
      <c r="F15" s="65"/>
      <c r="G15" s="65"/>
      <c r="H15" s="112"/>
      <c r="I15" s="113" t="s">
        <v>257</v>
      </c>
      <c r="J15" s="120">
        <v>400</v>
      </c>
      <c r="K15" s="122"/>
      <c r="L15" s="115"/>
      <c r="N15" s="108">
        <v>400</v>
      </c>
      <c r="O15" s="122">
        <v>100.01</v>
      </c>
    </row>
    <row r="16" spans="1:15">
      <c r="A16" s="116"/>
      <c r="B16" s="119" t="s">
        <v>178</v>
      </c>
      <c r="C16" s="65"/>
      <c r="D16" s="65"/>
      <c r="E16" s="65"/>
      <c r="F16" s="65"/>
      <c r="G16" s="65"/>
      <c r="H16" s="112"/>
      <c r="I16" s="113" t="s">
        <v>278</v>
      </c>
      <c r="J16" s="130">
        <f>400*36</f>
        <v>14400</v>
      </c>
      <c r="K16" s="122">
        <v>0.57999999999999996</v>
      </c>
      <c r="L16" s="115">
        <f>IF(K16=0," ",IF(K16=" -"," -",J16*K16))</f>
        <v>8352</v>
      </c>
      <c r="N16" s="108"/>
      <c r="O16" s="122"/>
    </row>
    <row r="17" spans="1:15">
      <c r="A17" s="116"/>
      <c r="B17" s="119" t="s">
        <v>179</v>
      </c>
      <c r="C17" s="65"/>
      <c r="D17" s="65"/>
      <c r="E17" s="65"/>
      <c r="F17" s="65"/>
      <c r="G17" s="65"/>
      <c r="H17" s="112"/>
      <c r="I17" s="113" t="s">
        <v>180</v>
      </c>
      <c r="J17" s="130">
        <f>400*1.42</f>
        <v>568</v>
      </c>
      <c r="K17" s="122">
        <v>15.5</v>
      </c>
      <c r="L17" s="115">
        <f>IF(K17=0," ",IF(K17=" -"," -",J17*K17))</f>
        <v>8804</v>
      </c>
      <c r="N17" s="108"/>
      <c r="O17" s="122"/>
    </row>
    <row r="18" spans="1:15">
      <c r="A18" s="116"/>
      <c r="B18" s="119"/>
      <c r="C18" s="65"/>
      <c r="D18" s="65"/>
      <c r="E18" s="65"/>
      <c r="F18" s="65"/>
      <c r="G18" s="65"/>
      <c r="H18" s="112"/>
      <c r="I18" s="113"/>
      <c r="J18" s="108"/>
      <c r="K18" s="122"/>
      <c r="L18" s="115"/>
      <c r="N18" s="108"/>
      <c r="O18" s="122"/>
    </row>
    <row r="19" spans="1:15">
      <c r="A19" s="116"/>
      <c r="B19" s="119" t="s">
        <v>261</v>
      </c>
      <c r="C19" s="65"/>
      <c r="D19" s="65"/>
      <c r="E19" s="65"/>
      <c r="F19" s="65"/>
      <c r="G19" s="65"/>
      <c r="H19" s="112"/>
      <c r="I19" s="113"/>
      <c r="J19" s="108"/>
      <c r="K19" s="122"/>
      <c r="L19" s="115" t="str">
        <f>IF(K19=0," ",IF(K19=" -"," -",J19*K19))</f>
        <v xml:space="preserve"> </v>
      </c>
      <c r="N19" s="108"/>
      <c r="O19" s="122"/>
    </row>
    <row r="20" spans="1:15">
      <c r="A20" s="116"/>
      <c r="B20" s="119" t="s">
        <v>181</v>
      </c>
      <c r="C20" s="65"/>
      <c r="D20" s="65"/>
      <c r="E20" s="65"/>
      <c r="F20" s="65"/>
      <c r="G20" s="65"/>
      <c r="H20" s="112"/>
      <c r="I20" s="113"/>
      <c r="J20" s="108"/>
      <c r="K20" s="122"/>
      <c r="L20" s="115"/>
      <c r="N20" s="108"/>
      <c r="O20" s="122"/>
    </row>
    <row r="21" spans="1:15">
      <c r="A21" s="116"/>
      <c r="B21" s="119" t="s">
        <v>182</v>
      </c>
      <c r="C21" s="65"/>
      <c r="D21" s="65"/>
      <c r="E21" s="65"/>
      <c r="F21" s="65"/>
      <c r="G21" s="65"/>
      <c r="H21" s="112"/>
      <c r="I21" s="113"/>
      <c r="J21" s="108"/>
      <c r="K21" s="122"/>
      <c r="L21" s="115"/>
      <c r="N21" s="108"/>
      <c r="O21" s="122"/>
    </row>
    <row r="22" spans="1:15">
      <c r="A22" s="116"/>
      <c r="B22" s="117"/>
      <c r="C22" s="65"/>
      <c r="D22" s="65"/>
      <c r="E22" s="65"/>
      <c r="F22" s="65"/>
      <c r="G22" s="65"/>
      <c r="H22" s="112"/>
      <c r="I22" s="113"/>
      <c r="J22" s="108"/>
      <c r="K22" s="122"/>
      <c r="L22" s="115" t="str">
        <f t="shared" ref="L22:L31" si="0">IF(K22=0," ",IF(K22=" -"," -",J22*K22))</f>
        <v xml:space="preserve"> </v>
      </c>
      <c r="N22" s="108"/>
      <c r="O22" s="122"/>
    </row>
    <row r="23" spans="1:15">
      <c r="A23" s="116"/>
      <c r="B23" s="117" t="s">
        <v>262</v>
      </c>
      <c r="C23" s="65"/>
      <c r="D23" s="65"/>
      <c r="E23" s="65"/>
      <c r="F23" s="65"/>
      <c r="G23" s="65"/>
      <c r="H23" s="112"/>
      <c r="I23" s="113"/>
      <c r="J23" s="108"/>
      <c r="K23" s="122"/>
      <c r="L23" s="115" t="str">
        <f t="shared" si="0"/>
        <v xml:space="preserve"> </v>
      </c>
      <c r="N23" s="108"/>
      <c r="O23" s="122"/>
    </row>
    <row r="24" spans="1:15">
      <c r="A24" s="116"/>
      <c r="B24" s="117" t="s">
        <v>263</v>
      </c>
      <c r="C24" s="65"/>
      <c r="D24" s="65"/>
      <c r="E24" s="65"/>
      <c r="F24" s="65"/>
      <c r="G24" s="65"/>
      <c r="H24" s="112"/>
      <c r="I24" s="113" t="s">
        <v>257</v>
      </c>
      <c r="J24" s="120">
        <v>250</v>
      </c>
      <c r="K24" s="122"/>
      <c r="L24" s="115" t="str">
        <f t="shared" si="0"/>
        <v xml:space="preserve"> </v>
      </c>
      <c r="N24" s="108">
        <v>16</v>
      </c>
      <c r="O24" s="122">
        <v>14.47</v>
      </c>
    </row>
    <row r="25" spans="1:15">
      <c r="A25" s="116"/>
      <c r="B25" s="117"/>
      <c r="C25" s="65"/>
      <c r="D25" s="65"/>
      <c r="E25" s="65"/>
      <c r="F25" s="65"/>
      <c r="G25" s="65"/>
      <c r="H25" s="112"/>
      <c r="I25" s="113"/>
      <c r="J25" s="120"/>
      <c r="K25" s="122"/>
      <c r="L25" s="115" t="str">
        <f t="shared" si="0"/>
        <v xml:space="preserve"> </v>
      </c>
      <c r="N25" s="108"/>
      <c r="O25" s="122"/>
    </row>
    <row r="26" spans="1:15">
      <c r="A26" s="116"/>
      <c r="B26" s="117" t="s">
        <v>265</v>
      </c>
      <c r="C26" s="65"/>
      <c r="D26" s="65"/>
      <c r="E26" s="65"/>
      <c r="F26" s="65"/>
      <c r="G26" s="65"/>
      <c r="H26" s="112"/>
      <c r="I26" s="113"/>
      <c r="J26" s="120"/>
      <c r="K26" s="122"/>
      <c r="L26" s="115" t="str">
        <f t="shared" si="0"/>
        <v xml:space="preserve"> </v>
      </c>
      <c r="N26" s="108"/>
      <c r="O26" s="122"/>
    </row>
    <row r="27" spans="1:15">
      <c r="A27" s="116"/>
      <c r="B27" s="117" t="s">
        <v>266</v>
      </c>
      <c r="C27" s="65"/>
      <c r="D27" s="65"/>
      <c r="E27" s="65"/>
      <c r="F27" s="65"/>
      <c r="G27" s="65"/>
      <c r="H27" s="112"/>
      <c r="I27" s="113" t="s">
        <v>257</v>
      </c>
      <c r="J27" s="120">
        <v>370</v>
      </c>
      <c r="K27" s="122"/>
      <c r="L27" s="115" t="str">
        <f t="shared" si="0"/>
        <v xml:space="preserve"> </v>
      </c>
      <c r="N27" s="108">
        <v>771</v>
      </c>
      <c r="O27" s="122">
        <v>18.059999999999999</v>
      </c>
    </row>
    <row r="28" spans="1:15">
      <c r="A28" s="116"/>
      <c r="B28" s="117" t="s">
        <v>268</v>
      </c>
      <c r="C28" s="65"/>
      <c r="D28" s="65"/>
      <c r="E28" s="65"/>
      <c r="F28" s="65"/>
      <c r="G28" s="65"/>
      <c r="H28" s="112"/>
      <c r="I28" s="113" t="s">
        <v>257</v>
      </c>
      <c r="J28" s="120">
        <v>16</v>
      </c>
      <c r="K28" s="122"/>
      <c r="L28" s="115" t="str">
        <f t="shared" si="0"/>
        <v xml:space="preserve"> </v>
      </c>
      <c r="N28" s="108">
        <v>11</v>
      </c>
      <c r="O28" s="122">
        <v>22.5</v>
      </c>
    </row>
    <row r="29" spans="1:15">
      <c r="A29" s="116"/>
      <c r="B29" s="117"/>
      <c r="C29" s="65"/>
      <c r="D29" s="65"/>
      <c r="E29" s="65"/>
      <c r="F29" s="65"/>
      <c r="G29" s="65"/>
      <c r="H29" s="112"/>
      <c r="I29" s="113"/>
      <c r="J29" s="120"/>
      <c r="K29" s="151"/>
      <c r="L29" s="115" t="str">
        <f t="shared" si="0"/>
        <v xml:space="preserve"> </v>
      </c>
      <c r="N29" s="108"/>
      <c r="O29" s="151"/>
    </row>
    <row r="30" spans="1:15">
      <c r="A30" s="152"/>
      <c r="B30" s="879" t="s">
        <v>274</v>
      </c>
      <c r="C30" s="879"/>
      <c r="D30" s="879"/>
      <c r="E30" s="879"/>
      <c r="F30" s="879"/>
      <c r="G30" s="879"/>
      <c r="H30" s="886"/>
      <c r="I30" s="154"/>
      <c r="J30" s="201"/>
      <c r="K30" s="156"/>
      <c r="L30" s="115" t="str">
        <f t="shared" si="0"/>
        <v xml:space="preserve"> </v>
      </c>
      <c r="N30" s="155"/>
      <c r="O30" s="156"/>
    </row>
    <row r="31" spans="1:15">
      <c r="A31" s="152"/>
      <c r="B31" t="s">
        <v>275</v>
      </c>
      <c r="I31" s="154" t="s">
        <v>257</v>
      </c>
      <c r="J31" s="202">
        <v>346</v>
      </c>
      <c r="K31" s="156"/>
      <c r="L31" s="115" t="str">
        <f t="shared" si="0"/>
        <v xml:space="preserve"> </v>
      </c>
      <c r="N31" s="158">
        <v>510</v>
      </c>
      <c r="O31" s="156">
        <v>6.2</v>
      </c>
    </row>
    <row r="32" spans="1:15">
      <c r="A32" s="116"/>
      <c r="B32" s="117"/>
      <c r="C32" s="65"/>
      <c r="D32" s="65"/>
      <c r="E32" s="65"/>
      <c r="F32" s="65"/>
      <c r="G32" s="65"/>
      <c r="H32" s="112"/>
      <c r="I32" s="113"/>
      <c r="J32" s="120"/>
      <c r="K32" s="151"/>
      <c r="L32" s="115"/>
      <c r="N32" s="108"/>
      <c r="O32" s="151"/>
    </row>
    <row r="33" spans="1:15">
      <c r="A33" s="152"/>
      <c r="B33" s="160" t="s">
        <v>809</v>
      </c>
      <c r="C33" s="65"/>
      <c r="D33" s="65"/>
      <c r="I33" s="107"/>
      <c r="J33" s="203"/>
      <c r="K33" s="162"/>
      <c r="L33" s="115" t="str">
        <f t="shared" ref="L33:L38" si="1">IF(K33=0," ",IF(K33=" -"," -",J33*K33))</f>
        <v xml:space="preserve"> </v>
      </c>
      <c r="N33" s="107"/>
      <c r="O33" s="162"/>
    </row>
    <row r="34" spans="1:15">
      <c r="A34" s="152"/>
      <c r="B34" s="160" t="s">
        <v>810</v>
      </c>
      <c r="C34" s="65"/>
      <c r="D34" s="65"/>
      <c r="E34" s="65"/>
      <c r="F34" s="65"/>
      <c r="G34" s="65"/>
      <c r="H34" s="65"/>
      <c r="I34" s="154" t="s">
        <v>257</v>
      </c>
      <c r="J34" s="204">
        <v>385</v>
      </c>
      <c r="K34" s="167"/>
      <c r="L34" s="115" t="str">
        <f t="shared" si="1"/>
        <v xml:space="preserve"> </v>
      </c>
      <c r="N34" s="168">
        <v>9600</v>
      </c>
      <c r="O34" s="167">
        <v>1.51</v>
      </c>
    </row>
    <row r="35" spans="1:15">
      <c r="A35" s="152"/>
      <c r="B35" s="160" t="s">
        <v>867</v>
      </c>
      <c r="C35" s="65"/>
      <c r="D35" s="65"/>
      <c r="E35" s="65"/>
      <c r="F35" s="65"/>
      <c r="G35" s="65"/>
      <c r="H35" s="65"/>
      <c r="I35" s="154" t="s">
        <v>257</v>
      </c>
      <c r="J35" s="204">
        <v>500</v>
      </c>
      <c r="K35" s="167"/>
      <c r="L35" s="115" t="str">
        <f t="shared" si="1"/>
        <v xml:space="preserve"> </v>
      </c>
      <c r="N35" s="168">
        <v>1017</v>
      </c>
      <c r="O35" s="167">
        <v>0.52</v>
      </c>
    </row>
    <row r="36" spans="1:15">
      <c r="A36" s="152"/>
      <c r="B36" s="160" t="s">
        <v>870</v>
      </c>
      <c r="C36" s="65"/>
      <c r="D36" s="65"/>
      <c r="E36" s="65"/>
      <c r="F36" s="65"/>
      <c r="G36" s="65"/>
      <c r="H36" s="65"/>
      <c r="I36" s="154" t="s">
        <v>257</v>
      </c>
      <c r="J36" s="204">
        <v>500</v>
      </c>
      <c r="K36" s="167"/>
      <c r="L36" s="115" t="str">
        <f t="shared" si="1"/>
        <v xml:space="preserve"> </v>
      </c>
      <c r="N36" s="168">
        <v>1017</v>
      </c>
      <c r="O36" s="167">
        <v>0.72</v>
      </c>
    </row>
    <row r="37" spans="1:15">
      <c r="A37" s="152"/>
      <c r="B37" s="879" t="s">
        <v>872</v>
      </c>
      <c r="C37" s="703"/>
      <c r="D37" s="703"/>
      <c r="E37" s="703"/>
      <c r="F37" s="703"/>
      <c r="G37" s="703"/>
      <c r="H37" s="880"/>
      <c r="I37" s="154" t="s">
        <v>873</v>
      </c>
      <c r="J37" s="204">
        <v>5000</v>
      </c>
      <c r="K37" s="167"/>
      <c r="L37" s="115" t="str">
        <f t="shared" si="1"/>
        <v xml:space="preserve"> </v>
      </c>
      <c r="N37" s="168">
        <v>10170</v>
      </c>
      <c r="O37" s="167">
        <v>0.78</v>
      </c>
    </row>
    <row r="38" spans="1:15" ht="13.5" thickBot="1">
      <c r="A38" s="152"/>
      <c r="B38" s="879" t="s">
        <v>875</v>
      </c>
      <c r="C38" s="703"/>
      <c r="D38" s="703"/>
      <c r="E38" s="703"/>
      <c r="F38" s="703"/>
      <c r="G38" s="703"/>
      <c r="H38" s="880"/>
      <c r="I38" s="154" t="s">
        <v>257</v>
      </c>
      <c r="J38" s="204">
        <v>500</v>
      </c>
      <c r="K38" s="156"/>
      <c r="L38" s="115" t="str">
        <f t="shared" si="1"/>
        <v xml:space="preserve"> </v>
      </c>
      <c r="N38" s="168">
        <v>1017</v>
      </c>
      <c r="O38" s="156">
        <v>0.65</v>
      </c>
    </row>
    <row r="39" spans="1:15" ht="5.25" customHeight="1" thickBot="1">
      <c r="A39" s="143"/>
      <c r="B39" s="143"/>
      <c r="C39" s="143"/>
      <c r="D39" s="143"/>
      <c r="E39" s="143"/>
      <c r="F39" s="143"/>
      <c r="G39" s="143"/>
      <c r="H39" s="143"/>
      <c r="I39" s="143"/>
      <c r="J39" s="144"/>
      <c r="K39" s="143"/>
      <c r="L39" s="143"/>
      <c r="N39" s="144"/>
      <c r="O39" s="143"/>
    </row>
    <row r="40" spans="1:15">
      <c r="A40" s="94" t="s">
        <v>270</v>
      </c>
      <c r="B40" s="88"/>
      <c r="C40" s="88"/>
      <c r="D40" s="88"/>
      <c r="E40" s="145" t="s">
        <v>271</v>
      </c>
      <c r="F40" s="88"/>
      <c r="G40" s="88"/>
      <c r="H40" s="106"/>
      <c r="I40" s="45" t="s">
        <v>272</v>
      </c>
      <c r="J40" s="146"/>
      <c r="K40" s="145" t="s">
        <v>273</v>
      </c>
      <c r="L40" s="147"/>
      <c r="N40" s="146"/>
      <c r="O40" s="145" t="s">
        <v>273</v>
      </c>
    </row>
    <row r="41" spans="1:15" ht="13.5" customHeight="1" thickBot="1">
      <c r="A41" s="877"/>
      <c r="B41" s="867"/>
      <c r="C41" s="867"/>
      <c r="D41" s="867"/>
      <c r="E41" s="878"/>
      <c r="F41" s="867"/>
      <c r="G41" s="867"/>
      <c r="H41" s="868"/>
      <c r="I41" s="148"/>
      <c r="J41" s="149"/>
      <c r="K41" s="136"/>
      <c r="L41" s="150"/>
      <c r="N41" s="149"/>
      <c r="O41" s="136"/>
    </row>
    <row r="42" spans="1:15">
      <c r="A42" s="116"/>
      <c r="B42" s="117"/>
      <c r="C42" s="65"/>
      <c r="D42" s="65"/>
      <c r="E42" s="65"/>
      <c r="F42" s="65"/>
      <c r="G42" s="65"/>
      <c r="H42" s="112"/>
      <c r="I42" s="113"/>
      <c r="J42" s="108"/>
      <c r="K42" s="151"/>
      <c r="L42" s="115"/>
      <c r="N42" s="108"/>
      <c r="O42" s="151"/>
    </row>
    <row r="43" spans="1:15">
      <c r="A43" s="116"/>
      <c r="B43" s="117"/>
      <c r="C43" s="65"/>
      <c r="D43" s="65"/>
      <c r="E43" s="65"/>
      <c r="F43" s="65"/>
      <c r="G43" s="65"/>
      <c r="H43" s="112"/>
      <c r="I43" s="113"/>
      <c r="J43" s="108"/>
      <c r="K43" s="151"/>
      <c r="L43" s="115"/>
      <c r="N43" s="108"/>
      <c r="O43" s="151"/>
    </row>
    <row r="44" spans="1:15">
      <c r="A44" s="116"/>
      <c r="B44" s="117" t="s">
        <v>877</v>
      </c>
      <c r="C44" s="65"/>
      <c r="D44" s="65"/>
      <c r="E44" s="65"/>
      <c r="F44" s="65"/>
      <c r="G44" s="65"/>
      <c r="H44" s="112"/>
      <c r="I44" s="113"/>
      <c r="J44" s="108"/>
      <c r="K44" s="151"/>
      <c r="L44" s="115" t="str">
        <f>IF(K44=0," ",IF(K44=" -"," -",J44*K44))</f>
        <v xml:space="preserve"> </v>
      </c>
      <c r="N44" s="108"/>
      <c r="O44" s="151"/>
    </row>
    <row r="45" spans="1:15">
      <c r="A45" s="116"/>
      <c r="B45" s="117"/>
      <c r="C45" s="65"/>
      <c r="D45" s="65"/>
      <c r="E45" s="65"/>
      <c r="F45" s="65"/>
      <c r="G45" s="65"/>
      <c r="H45" s="112"/>
      <c r="I45" s="113"/>
      <c r="J45" s="108"/>
      <c r="K45" s="151"/>
      <c r="L45" s="115"/>
      <c r="N45" s="108"/>
      <c r="O45" s="151"/>
    </row>
    <row r="46" spans="1:15">
      <c r="A46" s="116"/>
      <c r="B46" s="117"/>
      <c r="C46" s="65"/>
      <c r="D46" s="65"/>
      <c r="E46" s="65"/>
      <c r="F46" s="65"/>
      <c r="G46" s="65"/>
      <c r="H46" s="112"/>
      <c r="I46" s="113"/>
      <c r="J46" s="108"/>
      <c r="K46" s="151"/>
      <c r="L46" s="115" t="str">
        <f t="shared" ref="L46:L52" si="2">IF(K46=0," ",IF(K46=" -"," -",J46*K46))</f>
        <v xml:space="preserve"> </v>
      </c>
      <c r="N46" s="108"/>
      <c r="O46" s="151"/>
    </row>
    <row r="47" spans="1:15">
      <c r="A47" s="116"/>
      <c r="B47" s="117" t="s">
        <v>878</v>
      </c>
      <c r="C47" s="65"/>
      <c r="D47" s="65"/>
      <c r="E47" s="65"/>
      <c r="F47" s="65"/>
      <c r="G47" s="65"/>
      <c r="H47" s="112"/>
      <c r="I47" s="113"/>
      <c r="J47" s="108"/>
      <c r="K47" s="122"/>
      <c r="L47" s="115" t="str">
        <f t="shared" si="2"/>
        <v xml:space="preserve"> </v>
      </c>
      <c r="N47" s="108"/>
      <c r="O47" s="122"/>
    </row>
    <row r="48" spans="1:15">
      <c r="A48" s="116"/>
      <c r="B48" s="117" t="s">
        <v>879</v>
      </c>
      <c r="C48" s="65"/>
      <c r="D48" s="65"/>
      <c r="E48" s="65"/>
      <c r="F48" s="65"/>
      <c r="G48" s="65"/>
      <c r="H48" s="112"/>
      <c r="I48" s="113" t="s">
        <v>250</v>
      </c>
      <c r="J48" s="176">
        <v>344.83</v>
      </c>
      <c r="K48" s="122"/>
      <c r="L48" s="115" t="str">
        <f t="shared" si="2"/>
        <v xml:space="preserve"> </v>
      </c>
      <c r="N48" s="108">
        <v>345</v>
      </c>
      <c r="O48" s="122">
        <v>51.8</v>
      </c>
    </row>
    <row r="49" spans="1:15">
      <c r="A49" s="116"/>
      <c r="B49" s="117" t="s">
        <v>607</v>
      </c>
      <c r="C49" s="65"/>
      <c r="D49" s="65"/>
      <c r="E49" s="65"/>
      <c r="F49" s="65"/>
      <c r="G49" s="65"/>
      <c r="H49" s="112"/>
      <c r="I49" s="113" t="s">
        <v>180</v>
      </c>
      <c r="J49" s="178">
        <f>344.83*1.1524</f>
        <v>397.382092</v>
      </c>
      <c r="K49" s="122">
        <v>15.5</v>
      </c>
      <c r="L49" s="115">
        <f t="shared" si="2"/>
        <v>6159.4224260000001</v>
      </c>
      <c r="N49" s="108"/>
      <c r="O49" s="122"/>
    </row>
    <row r="50" spans="1:15">
      <c r="A50" s="116"/>
      <c r="B50" s="117" t="s">
        <v>608</v>
      </c>
      <c r="C50" s="65"/>
      <c r="D50" s="65"/>
      <c r="E50" s="65"/>
      <c r="F50" s="65"/>
      <c r="G50" s="65"/>
      <c r="H50" s="112"/>
      <c r="I50" s="113" t="s">
        <v>257</v>
      </c>
      <c r="J50" s="178">
        <f>344.83*0.2103</f>
        <v>72.517748999999995</v>
      </c>
      <c r="K50" s="122">
        <v>34.1</v>
      </c>
      <c r="L50" s="115">
        <f t="shared" si="2"/>
        <v>2472.8552408999999</v>
      </c>
      <c r="N50" s="108"/>
      <c r="O50" s="122"/>
    </row>
    <row r="51" spans="1:15">
      <c r="A51" s="116"/>
      <c r="B51" s="117" t="s">
        <v>184</v>
      </c>
      <c r="C51" s="65"/>
      <c r="D51" s="65"/>
      <c r="E51" s="65"/>
      <c r="F51" s="65"/>
      <c r="G51" s="65"/>
      <c r="H51" s="112"/>
      <c r="I51" s="113" t="s">
        <v>257</v>
      </c>
      <c r="J51" s="178">
        <f>344.83*0.1642</f>
        <v>56.621085999999998</v>
      </c>
      <c r="K51" s="122">
        <v>31.32</v>
      </c>
      <c r="L51" s="115">
        <f t="shared" si="2"/>
        <v>1773.37241352</v>
      </c>
      <c r="N51" s="108"/>
      <c r="O51" s="122"/>
    </row>
    <row r="52" spans="1:15">
      <c r="A52" s="116"/>
      <c r="B52" s="117" t="s">
        <v>185</v>
      </c>
      <c r="C52" s="65"/>
      <c r="D52" s="65"/>
      <c r="E52" s="65"/>
      <c r="F52" s="65"/>
      <c r="G52" s="65"/>
      <c r="H52" s="112"/>
      <c r="I52" s="113" t="s">
        <v>257</v>
      </c>
      <c r="J52" s="178">
        <f>344.83*0.1642</f>
        <v>56.621085999999998</v>
      </c>
      <c r="K52" s="122">
        <v>31.32</v>
      </c>
      <c r="L52" s="115">
        <f t="shared" si="2"/>
        <v>1773.37241352</v>
      </c>
      <c r="N52" s="108"/>
      <c r="O52" s="122"/>
    </row>
    <row r="53" spans="1:15">
      <c r="A53" s="116"/>
      <c r="B53" s="117"/>
      <c r="C53" s="65"/>
      <c r="D53" s="65"/>
      <c r="E53" s="65"/>
      <c r="F53" s="65"/>
      <c r="G53" s="65"/>
      <c r="H53" s="112"/>
      <c r="I53" s="113"/>
      <c r="J53" s="178"/>
      <c r="K53" s="122"/>
      <c r="L53" s="115"/>
      <c r="N53" s="108"/>
      <c r="O53" s="122"/>
    </row>
    <row r="54" spans="1:15">
      <c r="A54" s="116"/>
      <c r="B54" s="117"/>
      <c r="C54" s="65"/>
      <c r="D54" s="65"/>
      <c r="E54" s="65"/>
      <c r="F54" s="65"/>
      <c r="G54" s="65"/>
      <c r="H54" s="112"/>
      <c r="I54" s="113"/>
      <c r="J54" s="108"/>
      <c r="K54" s="122"/>
      <c r="L54" s="115"/>
      <c r="N54" s="108"/>
      <c r="O54" s="122"/>
    </row>
    <row r="55" spans="1:15">
      <c r="A55" s="116"/>
      <c r="B55" s="117" t="s">
        <v>6</v>
      </c>
      <c r="C55" s="65"/>
      <c r="D55" s="65"/>
      <c r="E55" s="65"/>
      <c r="F55" s="65"/>
      <c r="G55" s="65"/>
      <c r="H55" s="112"/>
      <c r="I55" s="113"/>
      <c r="J55" s="108"/>
      <c r="K55" s="122"/>
      <c r="L55" s="115"/>
      <c r="N55" s="108"/>
      <c r="O55" s="122"/>
    </row>
    <row r="56" spans="1:15">
      <c r="A56" s="116"/>
      <c r="B56" s="117"/>
      <c r="C56" s="65"/>
      <c r="D56" s="65"/>
      <c r="E56" s="65"/>
      <c r="F56" s="65"/>
      <c r="G56" s="65"/>
      <c r="H56" s="112"/>
      <c r="I56" s="113"/>
      <c r="J56" s="108"/>
      <c r="K56" s="122"/>
      <c r="L56" s="115"/>
      <c r="N56" s="108"/>
      <c r="O56" s="122"/>
    </row>
    <row r="57" spans="1:15">
      <c r="A57" s="116"/>
      <c r="B57" s="117"/>
      <c r="C57" s="65"/>
      <c r="D57" s="65"/>
      <c r="E57" s="65"/>
      <c r="F57" s="65"/>
      <c r="G57" s="65"/>
      <c r="H57" s="112"/>
      <c r="I57" s="113"/>
      <c r="J57" s="108"/>
      <c r="K57" s="122"/>
      <c r="L57" s="115"/>
      <c r="N57" s="108"/>
      <c r="O57" s="122"/>
    </row>
    <row r="58" spans="1:15">
      <c r="A58" s="116"/>
      <c r="B58" s="117" t="s">
        <v>826</v>
      </c>
      <c r="C58" s="65"/>
      <c r="D58" s="65"/>
      <c r="E58" s="65"/>
      <c r="F58" s="65"/>
      <c r="G58" s="65"/>
      <c r="H58" s="112"/>
      <c r="I58" s="113" t="s">
        <v>827</v>
      </c>
      <c r="J58" s="176">
        <v>1009.5</v>
      </c>
      <c r="K58" s="122"/>
      <c r="L58" s="115" t="str">
        <f t="shared" ref="L58:L63" si="3">IF(K58=0," ",IF(K58=" -"," -",J58*K58))</f>
        <v xml:space="preserve"> </v>
      </c>
      <c r="N58" s="108">
        <v>1002</v>
      </c>
      <c r="O58" s="122">
        <v>21.07</v>
      </c>
    </row>
    <row r="59" spans="1:15">
      <c r="A59" s="116"/>
      <c r="B59" s="117" t="s">
        <v>186</v>
      </c>
      <c r="C59" s="65"/>
      <c r="D59" s="65"/>
      <c r="E59" s="65"/>
      <c r="F59" s="65"/>
      <c r="G59" s="65"/>
      <c r="H59" s="112"/>
      <c r="I59" s="113" t="s">
        <v>169</v>
      </c>
      <c r="J59" s="129">
        <f>1009.5*0.1918</f>
        <v>193.62209999999999</v>
      </c>
      <c r="K59" s="122">
        <v>3.91</v>
      </c>
      <c r="L59" s="115">
        <f t="shared" si="3"/>
        <v>757.062411</v>
      </c>
      <c r="N59" s="108"/>
      <c r="O59" s="122"/>
    </row>
    <row r="60" spans="1:15">
      <c r="A60" s="116"/>
      <c r="B60" s="117" t="s">
        <v>187</v>
      </c>
      <c r="C60" s="65"/>
      <c r="D60" s="65"/>
      <c r="E60" s="65"/>
      <c r="F60" s="65"/>
      <c r="G60" s="65"/>
      <c r="H60" s="112"/>
      <c r="I60" s="113" t="s">
        <v>827</v>
      </c>
      <c r="J60" s="129">
        <f>1009.5*0.4884</f>
        <v>493.03980000000001</v>
      </c>
      <c r="K60" s="122">
        <v>9.07</v>
      </c>
      <c r="L60" s="115">
        <f t="shared" si="3"/>
        <v>4471.8709859999999</v>
      </c>
      <c r="N60" s="108"/>
      <c r="O60" s="122"/>
    </row>
    <row r="61" spans="1:15">
      <c r="A61" s="116"/>
      <c r="B61" s="117" t="s">
        <v>188</v>
      </c>
      <c r="C61" s="65"/>
      <c r="D61" s="65"/>
      <c r="E61" s="65"/>
      <c r="F61" s="65"/>
      <c r="G61" s="65"/>
      <c r="H61" s="112"/>
      <c r="I61" s="113" t="s">
        <v>250</v>
      </c>
      <c r="J61" s="129">
        <f>1009.5*0.4211</f>
        <v>425.10044999999997</v>
      </c>
      <c r="K61" s="122">
        <v>0.95</v>
      </c>
      <c r="L61" s="115">
        <f t="shared" si="3"/>
        <v>403.84542749999997</v>
      </c>
      <c r="N61" s="108"/>
      <c r="O61" s="122"/>
    </row>
    <row r="62" spans="1:15">
      <c r="A62" s="116"/>
      <c r="B62" s="117" t="s">
        <v>189</v>
      </c>
      <c r="C62" s="65"/>
      <c r="D62" s="65"/>
      <c r="E62" s="65"/>
      <c r="F62" s="65"/>
      <c r="G62" s="65"/>
      <c r="H62" s="112"/>
      <c r="I62" s="113" t="s">
        <v>250</v>
      </c>
      <c r="J62" s="129">
        <f>1009.5*0.3108</f>
        <v>313.75260000000003</v>
      </c>
      <c r="K62" s="122">
        <v>3.7</v>
      </c>
      <c r="L62" s="115">
        <f t="shared" si="3"/>
        <v>1160.8846200000003</v>
      </c>
      <c r="N62" s="108"/>
      <c r="O62" s="122"/>
    </row>
    <row r="63" spans="1:15">
      <c r="A63" s="116"/>
      <c r="B63" s="117" t="s">
        <v>609</v>
      </c>
      <c r="C63" s="65"/>
      <c r="D63" s="65"/>
      <c r="E63" s="65"/>
      <c r="F63" s="65"/>
      <c r="G63" s="65"/>
      <c r="H63" s="112"/>
      <c r="I63" s="113" t="s">
        <v>610</v>
      </c>
      <c r="J63" s="129">
        <f>1009.5*0.02</f>
        <v>20.190000000000001</v>
      </c>
      <c r="K63" s="122">
        <v>5.99</v>
      </c>
      <c r="L63" s="115">
        <f t="shared" si="3"/>
        <v>120.93810000000001</v>
      </c>
      <c r="N63" s="108"/>
      <c r="O63" s="122"/>
    </row>
    <row r="64" spans="1:15">
      <c r="A64" s="116"/>
      <c r="B64" s="117"/>
      <c r="C64" s="65"/>
      <c r="D64" s="65"/>
      <c r="E64" s="65"/>
      <c r="F64" s="65"/>
      <c r="G64" s="65"/>
      <c r="H64" s="112"/>
      <c r="I64" s="113"/>
      <c r="J64" s="129"/>
      <c r="K64" s="122"/>
      <c r="L64" s="115"/>
      <c r="N64" s="108"/>
      <c r="O64" s="122"/>
    </row>
    <row r="65" spans="1:15">
      <c r="A65" s="116"/>
      <c r="B65" s="117"/>
      <c r="C65" s="65"/>
      <c r="D65" s="65"/>
      <c r="E65" s="65"/>
      <c r="F65" s="65"/>
      <c r="G65" s="65"/>
      <c r="H65" s="112"/>
      <c r="I65" s="113"/>
      <c r="J65" s="130"/>
      <c r="K65" s="122"/>
      <c r="L65" s="115"/>
      <c r="N65" s="108"/>
      <c r="O65" s="122"/>
    </row>
    <row r="66" spans="1:15">
      <c r="A66" s="116"/>
      <c r="B66" s="117" t="s">
        <v>161</v>
      </c>
      <c r="C66" s="65"/>
      <c r="D66" s="65"/>
      <c r="E66" s="65"/>
      <c r="F66" s="65"/>
      <c r="G66" s="65"/>
      <c r="H66" s="112"/>
      <c r="I66" s="113" t="s">
        <v>827</v>
      </c>
      <c r="J66" s="176">
        <v>16.86</v>
      </c>
      <c r="K66" s="122"/>
      <c r="L66" s="115" t="str">
        <f t="shared" ref="L66:L71" si="4">IF(K66=0," ",IF(K66=" -"," -",J66*K66))</f>
        <v xml:space="preserve"> </v>
      </c>
      <c r="N66" s="108">
        <v>17</v>
      </c>
      <c r="O66" s="122">
        <v>34.58</v>
      </c>
    </row>
    <row r="67" spans="1:15">
      <c r="A67" s="116"/>
      <c r="B67" s="117" t="s">
        <v>611</v>
      </c>
      <c r="C67" s="65"/>
      <c r="D67" s="65"/>
      <c r="E67" s="65"/>
      <c r="F67" s="65"/>
      <c r="G67" s="65"/>
      <c r="H67" s="112"/>
      <c r="I67" s="113" t="s">
        <v>169</v>
      </c>
      <c r="J67" s="129">
        <f>16.86*0.2839</f>
        <v>4.7865539999999998</v>
      </c>
      <c r="K67" s="122">
        <v>3.91</v>
      </c>
      <c r="L67" s="115">
        <f t="shared" si="4"/>
        <v>18.715426139999998</v>
      </c>
      <c r="N67" s="108"/>
      <c r="O67" s="122"/>
    </row>
    <row r="68" spans="1:15">
      <c r="A68" s="116"/>
      <c r="B68" s="117" t="s">
        <v>612</v>
      </c>
      <c r="C68" s="65"/>
      <c r="D68" s="65"/>
      <c r="E68" s="65"/>
      <c r="F68" s="65"/>
      <c r="G68" s="65"/>
      <c r="H68" s="112"/>
      <c r="I68" s="113" t="s">
        <v>278</v>
      </c>
      <c r="J68" s="129">
        <f>16.86*0.3769</f>
        <v>6.3545340000000001</v>
      </c>
      <c r="K68" s="122">
        <v>32</v>
      </c>
      <c r="L68" s="115">
        <f t="shared" si="4"/>
        <v>203.345088</v>
      </c>
      <c r="N68" s="108"/>
      <c r="O68" s="122"/>
    </row>
    <row r="69" spans="1:15">
      <c r="A69" s="116"/>
      <c r="B69" s="117" t="s">
        <v>613</v>
      </c>
      <c r="C69" s="65"/>
      <c r="D69" s="65"/>
      <c r="E69" s="65"/>
      <c r="F69" s="65"/>
      <c r="G69" s="65"/>
      <c r="H69" s="112"/>
      <c r="I69" s="113" t="s">
        <v>250</v>
      </c>
      <c r="J69" s="129">
        <f>16.86*1.0842</f>
        <v>18.279612</v>
      </c>
      <c r="K69" s="122">
        <v>0.95</v>
      </c>
      <c r="L69" s="115">
        <f t="shared" si="4"/>
        <v>17.365631399999998</v>
      </c>
      <c r="N69" s="108"/>
      <c r="O69" s="122"/>
    </row>
    <row r="70" spans="1:15">
      <c r="A70" s="116"/>
      <c r="B70" s="117" t="s">
        <v>614</v>
      </c>
      <c r="C70" s="65"/>
      <c r="D70" s="65"/>
      <c r="E70" s="65"/>
      <c r="F70" s="65"/>
      <c r="G70" s="65"/>
      <c r="H70" s="112"/>
      <c r="I70" s="113" t="s">
        <v>250</v>
      </c>
      <c r="J70" s="129">
        <f>16.86*0.3946</f>
        <v>6.6529559999999996</v>
      </c>
      <c r="K70" s="122">
        <v>3.7</v>
      </c>
      <c r="L70" s="115">
        <f t="shared" si="4"/>
        <v>24.615937200000001</v>
      </c>
      <c r="N70" s="108"/>
      <c r="O70" s="122"/>
    </row>
    <row r="71" spans="1:15">
      <c r="A71" s="116"/>
      <c r="B71" s="117" t="s">
        <v>615</v>
      </c>
      <c r="C71" s="65"/>
      <c r="D71" s="65"/>
      <c r="E71" s="65"/>
      <c r="F71" s="65"/>
      <c r="G71" s="65"/>
      <c r="H71" s="112"/>
      <c r="I71" s="113" t="s">
        <v>610</v>
      </c>
      <c r="J71" s="129">
        <f>16.86*0.0267</f>
        <v>0.45016200000000001</v>
      </c>
      <c r="K71" s="122">
        <v>5.99</v>
      </c>
      <c r="L71" s="115">
        <f t="shared" si="4"/>
        <v>2.6964703800000001</v>
      </c>
      <c r="N71" s="108"/>
      <c r="O71" s="122"/>
    </row>
    <row r="72" spans="1:15">
      <c r="A72" s="116"/>
      <c r="B72" s="117"/>
      <c r="C72" s="65"/>
      <c r="D72" s="65"/>
      <c r="E72" s="65"/>
      <c r="F72" s="65"/>
      <c r="G72" s="65"/>
      <c r="H72" s="112"/>
      <c r="I72" s="113"/>
      <c r="J72" s="129"/>
      <c r="K72" s="122"/>
      <c r="L72" s="115"/>
      <c r="N72" s="108"/>
      <c r="O72" s="122"/>
    </row>
    <row r="73" spans="1:15" ht="13.5" thickBot="1">
      <c r="A73" s="135"/>
      <c r="B73" s="136"/>
      <c r="C73" s="137"/>
      <c r="D73" s="137"/>
      <c r="E73" s="137"/>
      <c r="F73" s="137"/>
      <c r="G73" s="137"/>
      <c r="H73" s="138"/>
      <c r="I73" s="139"/>
      <c r="J73" s="140"/>
      <c r="K73" s="141"/>
      <c r="L73" s="142"/>
      <c r="N73" s="140"/>
      <c r="O73" s="141"/>
    </row>
    <row r="74" spans="1:15" ht="5.25" customHeight="1" thickBot="1">
      <c r="A74" s="143"/>
      <c r="B74" s="143"/>
      <c r="C74" s="143"/>
      <c r="D74" s="143"/>
      <c r="E74" s="143"/>
      <c r="F74" s="143"/>
      <c r="G74" s="143"/>
      <c r="H74" s="143"/>
      <c r="I74" s="143"/>
      <c r="J74" s="144"/>
      <c r="K74" s="143"/>
      <c r="L74" s="143"/>
      <c r="N74" s="144"/>
      <c r="O74" s="143"/>
    </row>
    <row r="75" spans="1:15">
      <c r="A75" s="94" t="s">
        <v>270</v>
      </c>
      <c r="B75" s="88"/>
      <c r="C75" s="88"/>
      <c r="D75" s="88"/>
      <c r="E75" s="145" t="s">
        <v>271</v>
      </c>
      <c r="F75" s="88"/>
      <c r="G75" s="88"/>
      <c r="H75" s="106"/>
      <c r="I75" s="45" t="s">
        <v>272</v>
      </c>
      <c r="J75" s="146"/>
      <c r="K75" s="145" t="s">
        <v>273</v>
      </c>
      <c r="L75" s="147"/>
      <c r="N75" s="146"/>
      <c r="O75" s="145" t="s">
        <v>273</v>
      </c>
    </row>
    <row r="76" spans="1:15" ht="13.5" customHeight="1" thickBot="1">
      <c r="A76" s="877"/>
      <c r="B76" s="867"/>
      <c r="C76" s="867"/>
      <c r="D76" s="867"/>
      <c r="E76" s="878"/>
      <c r="F76" s="867"/>
      <c r="G76" s="867"/>
      <c r="H76" s="868"/>
      <c r="I76" s="148"/>
      <c r="J76" s="149"/>
      <c r="K76" s="136"/>
      <c r="L76" s="150"/>
      <c r="N76" s="149"/>
      <c r="O76" s="136"/>
    </row>
    <row r="77" spans="1:15">
      <c r="A77" s="116"/>
      <c r="B77" s="117"/>
      <c r="C77" s="65"/>
      <c r="D77" s="65"/>
      <c r="E77" s="65"/>
      <c r="F77" s="65"/>
      <c r="G77" s="65"/>
      <c r="H77" s="112"/>
      <c r="I77" s="113"/>
      <c r="J77" s="130"/>
      <c r="K77" s="122"/>
      <c r="L77" s="115"/>
      <c r="N77" s="108"/>
      <c r="O77" s="122"/>
    </row>
    <row r="78" spans="1:15">
      <c r="A78" s="116"/>
      <c r="B78" s="117"/>
      <c r="C78" s="65"/>
      <c r="D78" s="65"/>
      <c r="E78" s="65"/>
      <c r="F78" s="65"/>
      <c r="G78" s="65"/>
      <c r="H78" s="112"/>
      <c r="I78" s="113"/>
      <c r="J78" s="130"/>
      <c r="K78" s="122"/>
      <c r="L78" s="115"/>
      <c r="N78" s="108"/>
      <c r="O78" s="122"/>
    </row>
    <row r="79" spans="1:15">
      <c r="A79" s="116"/>
      <c r="B79" s="117" t="s">
        <v>164</v>
      </c>
      <c r="C79" s="65"/>
      <c r="D79" s="65"/>
      <c r="E79" s="65"/>
      <c r="F79" s="65"/>
      <c r="G79" s="65"/>
      <c r="H79" s="112"/>
      <c r="I79" s="113"/>
      <c r="J79" s="130"/>
      <c r="K79" s="122"/>
      <c r="L79" s="115" t="str">
        <f t="shared" ref="L79:L86" si="5">IF(K79=0," ",IF(K79=" -"," -",J79*K79))</f>
        <v xml:space="preserve"> </v>
      </c>
      <c r="N79" s="108"/>
      <c r="O79" s="122"/>
    </row>
    <row r="80" spans="1:15">
      <c r="A80" s="116"/>
      <c r="B80" s="117" t="s">
        <v>165</v>
      </c>
      <c r="C80" s="65"/>
      <c r="D80" s="65"/>
      <c r="E80" s="65"/>
      <c r="F80" s="65"/>
      <c r="G80" s="65"/>
      <c r="H80" s="112"/>
      <c r="I80" s="113" t="s">
        <v>827</v>
      </c>
      <c r="J80" s="176">
        <v>952.81</v>
      </c>
      <c r="K80" s="122"/>
      <c r="L80" s="115" t="str">
        <f t="shared" si="5"/>
        <v xml:space="preserve"> </v>
      </c>
      <c r="N80" s="108">
        <v>477</v>
      </c>
      <c r="O80" s="122">
        <v>39.29</v>
      </c>
    </row>
    <row r="81" spans="1:15">
      <c r="A81" s="116"/>
      <c r="B81" s="117" t="s">
        <v>616</v>
      </c>
      <c r="C81" s="65"/>
      <c r="D81" s="65"/>
      <c r="E81" s="65"/>
      <c r="F81" s="65"/>
      <c r="G81" s="65"/>
      <c r="H81" s="112"/>
      <c r="I81" s="113" t="s">
        <v>169</v>
      </c>
      <c r="J81" s="129">
        <f>952.81*0.3018</f>
        <v>287.55805800000002</v>
      </c>
      <c r="K81" s="122">
        <v>3.91</v>
      </c>
      <c r="L81" s="115">
        <f t="shared" si="5"/>
        <v>1124.35200678</v>
      </c>
      <c r="N81" s="108"/>
      <c r="O81" s="122"/>
    </row>
    <row r="82" spans="1:15">
      <c r="A82" s="116"/>
      <c r="B82" s="117" t="s">
        <v>282</v>
      </c>
      <c r="C82" s="65"/>
      <c r="D82" s="65"/>
      <c r="E82" s="65"/>
      <c r="F82" s="65"/>
      <c r="G82" s="65"/>
      <c r="H82" s="112"/>
      <c r="I82" s="113" t="s">
        <v>827</v>
      </c>
      <c r="J82" s="129">
        <f>952.81*0.1918</f>
        <v>182.74895799999999</v>
      </c>
      <c r="K82" s="122">
        <v>9.07</v>
      </c>
      <c r="L82" s="115">
        <f t="shared" si="5"/>
        <v>1657.5330490599999</v>
      </c>
      <c r="N82" s="108"/>
      <c r="O82" s="122"/>
    </row>
    <row r="83" spans="1:15">
      <c r="A83" s="116"/>
      <c r="B83" s="117" t="s">
        <v>283</v>
      </c>
      <c r="C83" s="65"/>
      <c r="D83" s="65"/>
      <c r="E83" s="65"/>
      <c r="F83" s="65"/>
      <c r="G83" s="65"/>
      <c r="H83" s="112"/>
      <c r="I83" s="113" t="s">
        <v>250</v>
      </c>
      <c r="J83" s="129">
        <f>952.81*0.3579</f>
        <v>341.01069899999999</v>
      </c>
      <c r="K83" s="122">
        <v>0.95</v>
      </c>
      <c r="L83" s="115">
        <f t="shared" si="5"/>
        <v>323.96016404999995</v>
      </c>
      <c r="N83" s="108"/>
      <c r="O83" s="122"/>
    </row>
    <row r="84" spans="1:15">
      <c r="A84" s="116"/>
      <c r="B84" s="117" t="s">
        <v>284</v>
      </c>
      <c r="C84" s="65"/>
      <c r="D84" s="65"/>
      <c r="E84" s="65"/>
      <c r="F84" s="65"/>
      <c r="G84" s="65"/>
      <c r="H84" s="112"/>
      <c r="I84" s="113" t="s">
        <v>250</v>
      </c>
      <c r="J84" s="129">
        <f>952.81*0.4189</f>
        <v>399.13210899999996</v>
      </c>
      <c r="K84" s="122">
        <v>3.7</v>
      </c>
      <c r="L84" s="115">
        <f t="shared" si="5"/>
        <v>1476.7888032999999</v>
      </c>
      <c r="N84" s="108"/>
      <c r="O84" s="122"/>
    </row>
    <row r="85" spans="1:15">
      <c r="A85" s="116"/>
      <c r="B85" s="117" t="s">
        <v>285</v>
      </c>
      <c r="C85" s="65"/>
      <c r="D85" s="65"/>
      <c r="E85" s="65"/>
      <c r="F85" s="65"/>
      <c r="G85" s="65"/>
      <c r="H85" s="112"/>
      <c r="I85" s="113" t="s">
        <v>278</v>
      </c>
      <c r="J85" s="129">
        <f>952.81*0.2065</f>
        <v>196.75526499999998</v>
      </c>
      <c r="K85" s="122">
        <v>13.9</v>
      </c>
      <c r="L85" s="115">
        <f t="shared" si="5"/>
        <v>2734.8981835</v>
      </c>
      <c r="N85" s="108"/>
      <c r="O85" s="122"/>
    </row>
    <row r="86" spans="1:15">
      <c r="A86" s="116"/>
      <c r="B86" s="117" t="s">
        <v>286</v>
      </c>
      <c r="C86" s="65"/>
      <c r="D86" s="65"/>
      <c r="E86" s="65"/>
      <c r="F86" s="65"/>
      <c r="G86" s="65"/>
      <c r="H86" s="112"/>
      <c r="I86" s="113" t="s">
        <v>278</v>
      </c>
      <c r="J86" s="129">
        <f>952.81*0.3953</f>
        <v>376.64579299999997</v>
      </c>
      <c r="K86" s="122">
        <v>32</v>
      </c>
      <c r="L86" s="115">
        <f t="shared" si="5"/>
        <v>12052.665375999999</v>
      </c>
      <c r="N86" s="108"/>
      <c r="O86" s="122"/>
    </row>
    <row r="87" spans="1:15">
      <c r="A87" s="116"/>
      <c r="B87" s="117"/>
      <c r="C87" s="65"/>
      <c r="D87" s="65"/>
      <c r="E87" s="65"/>
      <c r="F87" s="65"/>
      <c r="G87" s="65"/>
      <c r="H87" s="112"/>
      <c r="I87" s="113"/>
      <c r="J87" s="129"/>
      <c r="K87" s="122"/>
      <c r="L87" s="115"/>
      <c r="N87" s="108"/>
      <c r="O87" s="122"/>
    </row>
    <row r="88" spans="1:15">
      <c r="A88" s="152"/>
      <c r="B88" s="117"/>
      <c r="C88" s="65"/>
      <c r="D88" s="65"/>
      <c r="E88" s="65"/>
      <c r="F88" s="65"/>
      <c r="G88" s="65"/>
      <c r="H88" s="112"/>
      <c r="I88" s="113"/>
      <c r="J88" s="130"/>
      <c r="K88" s="122"/>
      <c r="L88" s="115" t="str">
        <f>IF(K88=0," ",IF(K88=" -"," -",J88*K88))</f>
        <v xml:space="preserve"> </v>
      </c>
      <c r="N88" s="108"/>
      <c r="O88" s="122"/>
    </row>
    <row r="89" spans="1:15">
      <c r="A89" s="152"/>
      <c r="B89" s="119" t="s">
        <v>168</v>
      </c>
      <c r="C89" s="65"/>
      <c r="D89" s="65"/>
      <c r="E89" s="65"/>
      <c r="F89" s="65"/>
      <c r="G89" s="65"/>
      <c r="H89" s="112"/>
      <c r="I89" s="113" t="s">
        <v>169</v>
      </c>
      <c r="J89" s="176">
        <v>14188</v>
      </c>
      <c r="K89" s="122"/>
      <c r="L89" s="115" t="str">
        <f>IF(K89=0," ",IF(K89=" -"," -",J89*K89))</f>
        <v xml:space="preserve"> </v>
      </c>
      <c r="N89" s="108">
        <v>11520</v>
      </c>
      <c r="O89" s="122">
        <v>4.3</v>
      </c>
    </row>
    <row r="90" spans="1:15">
      <c r="A90" s="152"/>
      <c r="B90" s="119" t="s">
        <v>287</v>
      </c>
      <c r="C90" s="65"/>
      <c r="D90" s="65"/>
      <c r="E90" s="65"/>
      <c r="F90" s="65"/>
      <c r="G90" s="65"/>
      <c r="H90" s="112"/>
      <c r="I90" s="113" t="s">
        <v>68</v>
      </c>
      <c r="J90" s="178">
        <f>14188*0.00101</f>
        <v>14.329880000000001</v>
      </c>
      <c r="K90" s="122">
        <v>2911.23</v>
      </c>
      <c r="L90" s="115">
        <f>IF(K90=0," ",IF(K90=" -"," -",J90*K90))</f>
        <v>41717.576552400002</v>
      </c>
      <c r="N90" s="108"/>
      <c r="O90" s="122"/>
    </row>
    <row r="91" spans="1:15">
      <c r="A91" s="152"/>
      <c r="B91" s="119"/>
      <c r="C91" s="65"/>
      <c r="D91" s="65"/>
      <c r="E91" s="65"/>
      <c r="F91" s="65"/>
      <c r="G91" s="65"/>
      <c r="H91" s="112"/>
      <c r="I91" s="113"/>
      <c r="J91" s="178"/>
      <c r="K91" s="122"/>
      <c r="L91" s="115"/>
      <c r="N91" s="108"/>
      <c r="O91" s="122"/>
    </row>
    <row r="92" spans="1:15">
      <c r="A92" s="152"/>
      <c r="B92" s="117"/>
      <c r="C92" s="65"/>
      <c r="D92" s="65"/>
      <c r="E92" s="65"/>
      <c r="F92" s="65"/>
      <c r="G92" s="65"/>
      <c r="H92" s="112"/>
      <c r="I92" s="113"/>
      <c r="J92" s="130"/>
      <c r="K92" s="122"/>
      <c r="L92" s="115" t="str">
        <f>IF(K92=0," ",IF(K92=" -"," -",J92*K92))</f>
        <v xml:space="preserve"> </v>
      </c>
      <c r="N92" s="108"/>
      <c r="O92" s="122"/>
    </row>
    <row r="93" spans="1:15">
      <c r="A93" s="152"/>
      <c r="B93" s="117" t="s">
        <v>172</v>
      </c>
      <c r="C93" s="65"/>
      <c r="D93" s="65"/>
      <c r="E93" s="65"/>
      <c r="F93" s="65"/>
      <c r="G93" s="65"/>
      <c r="H93" s="112"/>
      <c r="I93" s="113"/>
      <c r="J93" s="130"/>
      <c r="K93" s="122"/>
      <c r="L93" s="115"/>
      <c r="N93" s="108"/>
      <c r="O93" s="122"/>
    </row>
    <row r="94" spans="1:15">
      <c r="A94" s="152"/>
      <c r="B94" s="117"/>
      <c r="C94" s="65"/>
      <c r="D94" s="65"/>
      <c r="E94" s="65"/>
      <c r="F94" s="65"/>
      <c r="G94" s="65"/>
      <c r="H94" s="112"/>
      <c r="I94" s="113"/>
      <c r="J94" s="130"/>
      <c r="K94" s="122"/>
      <c r="L94" s="115"/>
      <c r="N94" s="108"/>
      <c r="O94" s="122"/>
    </row>
    <row r="95" spans="1:15">
      <c r="A95" s="152"/>
      <c r="B95" s="117" t="s">
        <v>173</v>
      </c>
      <c r="C95" s="65"/>
      <c r="D95" s="65"/>
      <c r="E95" s="65"/>
      <c r="F95" s="65"/>
      <c r="G95" s="65"/>
      <c r="H95" s="112"/>
      <c r="I95" s="113" t="s">
        <v>257</v>
      </c>
      <c r="J95" s="176">
        <v>193</v>
      </c>
      <c r="K95" s="122"/>
      <c r="L95" s="115" t="str">
        <f>IF(K95=0," ",IF(K95=" -"," -",J95*K95))</f>
        <v xml:space="preserve"> </v>
      </c>
      <c r="N95" s="108">
        <v>192</v>
      </c>
      <c r="O95" s="122">
        <v>256.13</v>
      </c>
    </row>
    <row r="96" spans="1:15">
      <c r="A96" s="116"/>
      <c r="B96" s="117" t="s">
        <v>288</v>
      </c>
      <c r="C96" s="65"/>
      <c r="D96" s="65"/>
      <c r="E96" s="65"/>
      <c r="F96" s="65"/>
      <c r="G96" s="65"/>
      <c r="H96" s="112"/>
      <c r="I96" s="113" t="s">
        <v>180</v>
      </c>
      <c r="J96" s="178">
        <f>193*7.5316</f>
        <v>1453.5988</v>
      </c>
      <c r="K96" s="122">
        <v>15.5</v>
      </c>
      <c r="L96" s="115">
        <f>IF(K96=0," ",IF(K96=" -"," -",J96*K96))</f>
        <v>22530.7814</v>
      </c>
      <c r="N96" s="108"/>
      <c r="O96" s="122"/>
    </row>
    <row r="97" spans="1:15">
      <c r="A97" s="116"/>
      <c r="B97" s="117" t="s">
        <v>190</v>
      </c>
      <c r="C97" s="65"/>
      <c r="D97" s="65"/>
      <c r="E97" s="65"/>
      <c r="F97" s="65"/>
      <c r="G97" s="65"/>
      <c r="H97" s="112"/>
      <c r="I97" s="113" t="s">
        <v>257</v>
      </c>
      <c r="J97" s="178">
        <f>193*0.8012</f>
        <v>154.63159999999999</v>
      </c>
      <c r="K97" s="122">
        <v>34.1</v>
      </c>
      <c r="L97" s="115">
        <f>IF(K97=0," ",IF(K97=" -"," -",J97*K97))</f>
        <v>5272.9375600000003</v>
      </c>
      <c r="N97" s="108"/>
      <c r="O97" s="122"/>
    </row>
    <row r="98" spans="1:15">
      <c r="A98" s="116"/>
      <c r="B98" s="117" t="s">
        <v>191</v>
      </c>
      <c r="C98" s="65"/>
      <c r="D98" s="65"/>
      <c r="E98" s="65"/>
      <c r="F98" s="65"/>
      <c r="G98" s="65"/>
      <c r="H98" s="112"/>
      <c r="I98" s="113" t="s">
        <v>257</v>
      </c>
      <c r="J98" s="178">
        <f>193*0.393</f>
        <v>75.849000000000004</v>
      </c>
      <c r="K98" s="122">
        <v>31.32</v>
      </c>
      <c r="L98" s="115">
        <f>IF(K98=0," ",IF(K98=" -"," -",J98*K98))</f>
        <v>2375.5906800000002</v>
      </c>
      <c r="N98" s="108"/>
      <c r="O98" s="122"/>
    </row>
    <row r="99" spans="1:15">
      <c r="A99" s="116"/>
      <c r="B99" s="117" t="s">
        <v>192</v>
      </c>
      <c r="C99" s="65"/>
      <c r="D99" s="65"/>
      <c r="E99" s="65"/>
      <c r="F99" s="65"/>
      <c r="G99" s="65"/>
      <c r="H99" s="112"/>
      <c r="I99" s="113" t="s">
        <v>257</v>
      </c>
      <c r="J99" s="178">
        <f>193*0.393</f>
        <v>75.849000000000004</v>
      </c>
      <c r="K99" s="122">
        <v>31.32</v>
      </c>
      <c r="L99" s="115">
        <f>IF(K99=0," ",IF(K99=" -"," -",J99*K99))</f>
        <v>2375.5906800000002</v>
      </c>
      <c r="N99" s="108"/>
      <c r="O99" s="122"/>
    </row>
    <row r="100" spans="1:15">
      <c r="A100" s="152"/>
      <c r="B100" s="117"/>
      <c r="C100" s="65"/>
      <c r="D100" s="65"/>
      <c r="E100" s="65"/>
      <c r="F100" s="65"/>
      <c r="G100" s="65"/>
      <c r="H100" s="112"/>
      <c r="I100" s="113"/>
      <c r="J100" s="130"/>
      <c r="K100" s="122"/>
      <c r="L100" s="115"/>
      <c r="N100" s="108"/>
      <c r="O100" s="122"/>
    </row>
    <row r="101" spans="1:15">
      <c r="A101" s="152"/>
      <c r="B101" s="117" t="s">
        <v>294</v>
      </c>
      <c r="C101" s="65"/>
      <c r="D101" s="65"/>
      <c r="E101" s="65"/>
      <c r="F101" s="65"/>
      <c r="G101" s="65"/>
      <c r="H101" s="112"/>
      <c r="I101" s="113" t="s">
        <v>257</v>
      </c>
      <c r="J101" s="176">
        <v>44</v>
      </c>
      <c r="K101" s="122"/>
      <c r="L101" s="115" t="str">
        <f>IF(K101=0," ",IF(K101=" -"," -",J101*K101))</f>
        <v xml:space="preserve"> </v>
      </c>
      <c r="N101" s="108">
        <v>44</v>
      </c>
      <c r="O101" s="122">
        <v>324.22000000000003</v>
      </c>
    </row>
    <row r="102" spans="1:15">
      <c r="A102" s="116"/>
      <c r="B102" s="117" t="s">
        <v>193</v>
      </c>
      <c r="C102" s="65"/>
      <c r="D102" s="65"/>
      <c r="E102" s="65"/>
      <c r="F102" s="65"/>
      <c r="G102" s="65"/>
      <c r="H102" s="112"/>
      <c r="I102" s="113" t="s">
        <v>180</v>
      </c>
      <c r="J102" s="178">
        <f>44*11.9245</f>
        <v>524.678</v>
      </c>
      <c r="K102" s="122">
        <v>15.5</v>
      </c>
      <c r="L102" s="115">
        <f>IF(K102=0," ",IF(K102=" -"," -",J102*K102))</f>
        <v>8132.509</v>
      </c>
      <c r="N102" s="108"/>
      <c r="O102" s="122"/>
    </row>
    <row r="103" spans="1:15">
      <c r="A103" s="116"/>
      <c r="B103" s="117" t="s">
        <v>194</v>
      </c>
      <c r="C103" s="65"/>
      <c r="D103" s="65"/>
      <c r="E103" s="65"/>
      <c r="F103" s="65"/>
      <c r="G103" s="65"/>
      <c r="H103" s="112"/>
      <c r="I103" s="113" t="s">
        <v>257</v>
      </c>
      <c r="J103" s="178">
        <f>44*0.8012</f>
        <v>35.252800000000001</v>
      </c>
      <c r="K103" s="122">
        <v>34.1</v>
      </c>
      <c r="L103" s="115">
        <f>IF(K103=0," ",IF(K103=" -"," -",J103*K103))</f>
        <v>1202.12048</v>
      </c>
      <c r="N103" s="108"/>
      <c r="O103" s="122"/>
    </row>
    <row r="104" spans="1:15">
      <c r="A104" s="116"/>
      <c r="B104" s="117" t="s">
        <v>195</v>
      </c>
      <c r="C104" s="65"/>
      <c r="D104" s="65"/>
      <c r="E104" s="65"/>
      <c r="F104" s="65"/>
      <c r="G104" s="65"/>
      <c r="H104" s="112"/>
      <c r="I104" s="113" t="s">
        <v>257</v>
      </c>
      <c r="J104" s="178">
        <f>44*0.393</f>
        <v>17.292000000000002</v>
      </c>
      <c r="K104" s="122">
        <v>31.32</v>
      </c>
      <c r="L104" s="115">
        <f>IF(K104=0," ",IF(K104=" -"," -",J104*K104))</f>
        <v>541.58544000000006</v>
      </c>
      <c r="N104" s="108"/>
      <c r="O104" s="122"/>
    </row>
    <row r="105" spans="1:15">
      <c r="A105" s="116"/>
      <c r="B105" s="117" t="s">
        <v>196</v>
      </c>
      <c r="C105" s="65"/>
      <c r="D105" s="65"/>
      <c r="E105" s="65"/>
      <c r="F105" s="65"/>
      <c r="G105" s="65"/>
      <c r="H105" s="112"/>
      <c r="I105" s="113" t="s">
        <v>257</v>
      </c>
      <c r="J105" s="178">
        <f>44*0.393</f>
        <v>17.292000000000002</v>
      </c>
      <c r="K105" s="122">
        <v>31.32</v>
      </c>
      <c r="L105" s="115">
        <f>IF(K105=0," ",IF(K105=" -"," -",J105*K105))</f>
        <v>541.58544000000006</v>
      </c>
      <c r="N105" s="108"/>
      <c r="O105" s="122"/>
    </row>
    <row r="106" spans="1:15">
      <c r="A106" s="116"/>
      <c r="B106" s="117"/>
      <c r="C106" s="65"/>
      <c r="D106" s="65"/>
      <c r="E106" s="65"/>
      <c r="F106" s="65"/>
      <c r="G106" s="65"/>
      <c r="H106" s="112"/>
      <c r="I106" s="113"/>
      <c r="J106" s="178"/>
      <c r="K106" s="122"/>
      <c r="L106" s="115"/>
      <c r="N106" s="108"/>
      <c r="O106" s="122"/>
    </row>
    <row r="107" spans="1:15">
      <c r="A107" s="116"/>
      <c r="B107" s="117"/>
      <c r="C107" s="65"/>
      <c r="D107" s="65"/>
      <c r="E107" s="65"/>
      <c r="F107" s="65"/>
      <c r="G107" s="65"/>
      <c r="H107" s="112"/>
      <c r="I107" s="113"/>
      <c r="J107" s="178"/>
      <c r="K107" s="122"/>
      <c r="L107" s="115"/>
      <c r="N107" s="108"/>
      <c r="O107" s="122"/>
    </row>
    <row r="108" spans="1:15" ht="13.5" thickBot="1">
      <c r="A108" s="135"/>
      <c r="B108" s="136"/>
      <c r="C108" s="137"/>
      <c r="D108" s="137"/>
      <c r="E108" s="137"/>
      <c r="F108" s="137"/>
      <c r="G108" s="137"/>
      <c r="H108" s="138"/>
      <c r="I108" s="139"/>
      <c r="J108" s="140"/>
      <c r="K108" s="141"/>
      <c r="L108" s="142"/>
      <c r="N108" s="140"/>
      <c r="O108" s="141"/>
    </row>
    <row r="109" spans="1:15" ht="5.25" customHeight="1" thickBot="1">
      <c r="A109" s="143"/>
      <c r="B109" s="143"/>
      <c r="C109" s="143"/>
      <c r="D109" s="143"/>
      <c r="E109" s="143"/>
      <c r="F109" s="143"/>
      <c r="G109" s="143"/>
      <c r="H109" s="143"/>
      <c r="I109" s="143"/>
      <c r="J109" s="144"/>
      <c r="K109" s="143"/>
      <c r="L109" s="143"/>
      <c r="N109" s="144"/>
      <c r="O109" s="143"/>
    </row>
    <row r="110" spans="1:15">
      <c r="A110" s="94" t="s">
        <v>270</v>
      </c>
      <c r="B110" s="88"/>
      <c r="C110" s="88"/>
      <c r="D110" s="88"/>
      <c r="E110" s="145" t="s">
        <v>271</v>
      </c>
      <c r="F110" s="88"/>
      <c r="G110" s="88"/>
      <c r="H110" s="106"/>
      <c r="I110" s="45" t="s">
        <v>272</v>
      </c>
      <c r="J110" s="146"/>
      <c r="K110" s="145" t="s">
        <v>273</v>
      </c>
      <c r="L110" s="147"/>
      <c r="N110" s="146"/>
      <c r="O110" s="145" t="s">
        <v>273</v>
      </c>
    </row>
    <row r="111" spans="1:15" ht="13.5" customHeight="1" thickBot="1">
      <c r="A111" s="877"/>
      <c r="B111" s="867"/>
      <c r="C111" s="867"/>
      <c r="D111" s="867"/>
      <c r="E111" s="878"/>
      <c r="F111" s="867"/>
      <c r="G111" s="867"/>
      <c r="H111" s="868"/>
      <c r="I111" s="148"/>
      <c r="J111" s="149"/>
      <c r="K111" s="136"/>
      <c r="L111" s="150"/>
      <c r="N111" s="149"/>
      <c r="O111" s="136"/>
    </row>
    <row r="112" spans="1:15">
      <c r="A112" s="152"/>
      <c r="B112" s="117"/>
      <c r="C112" s="65"/>
      <c r="D112" s="65"/>
      <c r="E112" s="65"/>
      <c r="F112" s="65"/>
      <c r="G112" s="65"/>
      <c r="H112" s="112"/>
      <c r="I112" s="113"/>
      <c r="J112" s="130"/>
      <c r="K112" s="122"/>
      <c r="L112" s="115"/>
      <c r="N112" s="108"/>
      <c r="O112" s="122"/>
    </row>
    <row r="113" spans="1:15">
      <c r="A113" s="152"/>
      <c r="B113" s="65"/>
      <c r="C113" s="65"/>
      <c r="D113" s="65"/>
      <c r="E113" s="65"/>
      <c r="F113" s="65"/>
      <c r="G113" s="65"/>
      <c r="H113" s="65"/>
      <c r="I113" s="107"/>
      <c r="J113" s="205"/>
      <c r="K113" s="122"/>
      <c r="L113" s="115"/>
      <c r="N113" s="102"/>
      <c r="O113" s="122"/>
    </row>
    <row r="114" spans="1:15">
      <c r="A114" s="152"/>
      <c r="B114" s="879" t="s">
        <v>831</v>
      </c>
      <c r="C114" s="703"/>
      <c r="D114" s="703"/>
      <c r="E114" s="703"/>
      <c r="F114" s="703"/>
      <c r="G114" s="703"/>
      <c r="H114" s="880"/>
      <c r="I114" s="107"/>
      <c r="J114" s="180"/>
      <c r="K114" s="181"/>
      <c r="L114" s="115" t="str">
        <f t="shared" ref="L114:L120" si="6">IF(K114=0," ",IF(K114=" -"," -",J114*K114))</f>
        <v xml:space="preserve"> </v>
      </c>
      <c r="N114" s="182"/>
      <c r="O114" s="181"/>
    </row>
    <row r="115" spans="1:15">
      <c r="A115" s="152"/>
      <c r="I115" s="154"/>
      <c r="J115" s="183"/>
      <c r="K115" s="184"/>
      <c r="L115" s="115" t="str">
        <f t="shared" si="6"/>
        <v xml:space="preserve"> </v>
      </c>
      <c r="N115" s="185"/>
      <c r="O115" s="184"/>
    </row>
    <row r="116" spans="1:15">
      <c r="A116" s="152"/>
      <c r="B116" s="879" t="s">
        <v>624</v>
      </c>
      <c r="C116" s="703"/>
      <c r="D116" s="703"/>
      <c r="E116" s="703"/>
      <c r="F116" s="703"/>
      <c r="G116" s="703"/>
      <c r="H116" s="880"/>
      <c r="I116" s="154" t="s">
        <v>827</v>
      </c>
      <c r="J116" s="186">
        <v>433</v>
      </c>
      <c r="K116" s="184"/>
      <c r="L116" s="115" t="str">
        <f t="shared" si="6"/>
        <v xml:space="preserve"> </v>
      </c>
      <c r="N116" s="185">
        <v>420</v>
      </c>
      <c r="O116" s="184">
        <v>13.77</v>
      </c>
    </row>
    <row r="117" spans="1:15">
      <c r="A117" s="116"/>
      <c r="B117" s="117" t="s">
        <v>197</v>
      </c>
      <c r="C117" s="65"/>
      <c r="D117" s="65"/>
      <c r="E117" s="65"/>
      <c r="F117" s="65"/>
      <c r="G117" s="65"/>
      <c r="H117" s="112"/>
      <c r="I117" s="113" t="s">
        <v>250</v>
      </c>
      <c r="J117" s="129">
        <f>433*0.0357</f>
        <v>15.458100000000002</v>
      </c>
      <c r="K117" s="122">
        <v>1.4</v>
      </c>
      <c r="L117" s="115">
        <f t="shared" si="6"/>
        <v>21.64134</v>
      </c>
      <c r="N117" s="185"/>
      <c r="O117" s="187"/>
    </row>
    <row r="118" spans="1:15">
      <c r="A118" s="116"/>
      <c r="B118" s="117" t="s">
        <v>289</v>
      </c>
      <c r="C118" s="65"/>
      <c r="D118" s="65"/>
      <c r="E118" s="65"/>
      <c r="F118" s="65"/>
      <c r="G118" s="65"/>
      <c r="H118" s="112"/>
      <c r="I118" s="113" t="s">
        <v>827</v>
      </c>
      <c r="J118" s="129">
        <f>433*0.1571</f>
        <v>68.024299999999997</v>
      </c>
      <c r="K118" s="122">
        <v>25.5</v>
      </c>
      <c r="L118" s="115">
        <f t="shared" si="6"/>
        <v>1734.6196499999999</v>
      </c>
      <c r="N118" s="185"/>
      <c r="O118" s="187"/>
    </row>
    <row r="119" spans="1:15">
      <c r="A119" s="116"/>
      <c r="B119" s="117" t="s">
        <v>3</v>
      </c>
      <c r="C119" s="65"/>
      <c r="D119" s="65"/>
      <c r="E119" s="65"/>
      <c r="F119" s="65"/>
      <c r="G119" s="65"/>
      <c r="H119" s="112"/>
      <c r="I119" s="113" t="s">
        <v>250</v>
      </c>
      <c r="J119" s="129">
        <f>433*0.1564</f>
        <v>67.72120000000001</v>
      </c>
      <c r="K119" s="122">
        <v>8.6300000000000008</v>
      </c>
      <c r="L119" s="115">
        <f t="shared" si="6"/>
        <v>584.43395600000019</v>
      </c>
      <c r="N119" s="185"/>
      <c r="O119" s="187"/>
    </row>
    <row r="120" spans="1:15">
      <c r="A120" s="116"/>
      <c r="B120" s="117" t="s">
        <v>4</v>
      </c>
      <c r="C120" s="65"/>
      <c r="D120" s="65"/>
      <c r="E120" s="65"/>
      <c r="F120" s="65"/>
      <c r="G120" s="65"/>
      <c r="H120" s="112"/>
      <c r="I120" s="113" t="s">
        <v>169</v>
      </c>
      <c r="J120" s="129">
        <f>433*0.1074</f>
        <v>46.504199999999997</v>
      </c>
      <c r="K120" s="122">
        <v>3.91</v>
      </c>
      <c r="L120" s="115">
        <f t="shared" si="6"/>
        <v>181.831422</v>
      </c>
      <c r="N120" s="108"/>
      <c r="O120" s="122"/>
    </row>
    <row r="121" spans="1:15">
      <c r="A121" s="116"/>
      <c r="B121" s="117"/>
      <c r="C121" s="65"/>
      <c r="D121" s="65"/>
      <c r="E121" s="65"/>
      <c r="F121" s="65"/>
      <c r="G121" s="65"/>
      <c r="H121" s="112"/>
      <c r="I121" s="113"/>
      <c r="J121" s="129"/>
      <c r="K121" s="122"/>
      <c r="L121" s="115"/>
      <c r="N121" s="108"/>
      <c r="O121" s="122"/>
    </row>
    <row r="122" spans="1:15">
      <c r="A122" s="116"/>
      <c r="B122" s="117"/>
      <c r="C122" s="65"/>
      <c r="D122" s="65"/>
      <c r="E122" s="65"/>
      <c r="F122" s="65"/>
      <c r="G122" s="65"/>
      <c r="H122" s="112"/>
      <c r="I122" s="113"/>
      <c r="J122" s="129"/>
      <c r="K122" s="122"/>
      <c r="L122" s="115"/>
      <c r="N122" s="108"/>
      <c r="O122" s="122"/>
    </row>
    <row r="123" spans="1:15">
      <c r="A123" s="152"/>
      <c r="B123" s="879" t="s">
        <v>836</v>
      </c>
      <c r="C123" s="703"/>
      <c r="D123" s="703"/>
      <c r="E123" s="703"/>
      <c r="F123" s="703"/>
      <c r="G123" s="703"/>
      <c r="H123" s="880"/>
      <c r="I123" s="188"/>
      <c r="J123" s="130"/>
      <c r="K123" s="181"/>
      <c r="L123" s="115" t="str">
        <f>IF(K123=0," ",IF(K123=" -"," -",J123*K123))</f>
        <v xml:space="preserve"> </v>
      </c>
      <c r="N123" s="108"/>
      <c r="O123" s="181"/>
    </row>
    <row r="124" spans="1:15">
      <c r="A124" s="152"/>
      <c r="B124" s="153"/>
      <c r="C124" s="172"/>
      <c r="D124" s="172"/>
      <c r="E124" s="172"/>
      <c r="F124" s="172"/>
      <c r="G124" s="172"/>
      <c r="H124" s="173"/>
      <c r="I124" s="188"/>
      <c r="J124" s="130"/>
      <c r="K124" s="206"/>
      <c r="L124" s="115"/>
      <c r="N124" s="108"/>
      <c r="O124" s="206"/>
    </row>
    <row r="125" spans="1:15">
      <c r="A125" s="116"/>
      <c r="B125" s="117"/>
      <c r="C125" s="65"/>
      <c r="D125" s="65"/>
      <c r="E125" s="65"/>
      <c r="F125" s="65"/>
      <c r="G125" s="65"/>
      <c r="H125" s="112"/>
      <c r="I125" s="113"/>
      <c r="J125" s="130"/>
      <c r="K125" s="122"/>
      <c r="L125" s="115" t="str">
        <f t="shared" ref="L125:L130" si="7">IF(K125=0," ",IF(K125=" -"," -",J125*K125))</f>
        <v xml:space="preserve"> </v>
      </c>
      <c r="N125" s="108"/>
      <c r="O125" s="122"/>
    </row>
    <row r="126" spans="1:15">
      <c r="A126" s="116"/>
      <c r="B126" s="117" t="s">
        <v>837</v>
      </c>
      <c r="C126" s="65"/>
      <c r="D126" s="65"/>
      <c r="E126" s="65"/>
      <c r="F126" s="65"/>
      <c r="G126" s="65"/>
      <c r="H126" s="112"/>
      <c r="I126" s="113"/>
      <c r="J126" s="130"/>
      <c r="K126" s="122"/>
      <c r="L126" s="115" t="str">
        <f t="shared" si="7"/>
        <v xml:space="preserve"> </v>
      </c>
      <c r="N126" s="108"/>
      <c r="O126" s="122"/>
    </row>
    <row r="127" spans="1:15">
      <c r="A127" s="116"/>
      <c r="B127" s="117" t="s">
        <v>838</v>
      </c>
      <c r="C127" s="65"/>
      <c r="D127" s="65"/>
      <c r="E127" s="65"/>
      <c r="F127" s="65"/>
      <c r="G127" s="65"/>
      <c r="H127" s="112"/>
      <c r="I127" s="113"/>
      <c r="J127" s="130"/>
      <c r="K127" s="122"/>
      <c r="L127" s="115" t="str">
        <f t="shared" si="7"/>
        <v xml:space="preserve"> </v>
      </c>
      <c r="N127" s="108"/>
      <c r="O127" s="122"/>
    </row>
    <row r="128" spans="1:15">
      <c r="A128" s="116"/>
      <c r="B128" s="117"/>
      <c r="C128" s="65"/>
      <c r="D128" s="65"/>
      <c r="E128" s="65"/>
      <c r="F128" s="65"/>
      <c r="G128" s="65"/>
      <c r="H128" s="112"/>
      <c r="I128" s="113"/>
      <c r="J128" s="130"/>
      <c r="K128" s="122"/>
      <c r="L128" s="115" t="str">
        <f t="shared" si="7"/>
        <v xml:space="preserve"> </v>
      </c>
      <c r="N128" s="108"/>
      <c r="O128" s="122"/>
    </row>
    <row r="129" spans="1:15">
      <c r="A129" s="152"/>
      <c r="B129" s="117" t="s">
        <v>839</v>
      </c>
      <c r="C129" s="65"/>
      <c r="D129" s="65"/>
      <c r="E129" s="65"/>
      <c r="F129" s="65"/>
      <c r="G129" s="65"/>
      <c r="H129" s="112"/>
      <c r="I129" s="113" t="s">
        <v>250</v>
      </c>
      <c r="J129" s="176">
        <v>574</v>
      </c>
      <c r="K129" s="122"/>
      <c r="L129" s="115" t="str">
        <f t="shared" si="7"/>
        <v xml:space="preserve"> </v>
      </c>
      <c r="N129" s="108">
        <v>557</v>
      </c>
      <c r="O129" s="122">
        <v>121.58</v>
      </c>
    </row>
    <row r="130" spans="1:15">
      <c r="A130" s="152"/>
      <c r="B130" s="117" t="s">
        <v>298</v>
      </c>
      <c r="C130" s="65"/>
      <c r="D130" s="65"/>
      <c r="E130" s="65"/>
      <c r="F130" s="65"/>
      <c r="G130" s="65"/>
      <c r="H130" s="112"/>
      <c r="I130" s="113" t="s">
        <v>250</v>
      </c>
      <c r="J130" s="129">
        <v>574</v>
      </c>
      <c r="K130" s="122">
        <v>118.49</v>
      </c>
      <c r="L130" s="207">
        <f t="shared" si="7"/>
        <v>68013.259999999995</v>
      </c>
      <c r="N130" s="108"/>
      <c r="O130" s="122"/>
    </row>
    <row r="131" spans="1:15">
      <c r="A131" s="152"/>
      <c r="B131" s="117"/>
      <c r="C131" s="65"/>
      <c r="D131" s="65"/>
      <c r="E131" s="65"/>
      <c r="F131" s="65"/>
      <c r="G131" s="65"/>
      <c r="H131" s="112"/>
      <c r="I131" s="113"/>
      <c r="J131" s="129"/>
      <c r="K131" s="122"/>
      <c r="L131" s="207"/>
      <c r="N131" s="108"/>
      <c r="O131" s="122"/>
    </row>
    <row r="132" spans="1:15">
      <c r="A132" s="152"/>
      <c r="B132" s="117"/>
      <c r="C132" s="65"/>
      <c r="D132" s="65"/>
      <c r="E132" s="65"/>
      <c r="F132" s="65"/>
      <c r="G132" s="65"/>
      <c r="H132" s="112"/>
      <c r="I132" s="113"/>
      <c r="J132" s="130"/>
      <c r="K132" s="122"/>
      <c r="L132" s="115"/>
      <c r="N132" s="108"/>
      <c r="O132" s="122"/>
    </row>
    <row r="133" spans="1:15">
      <c r="A133" s="152"/>
      <c r="B133" s="117" t="s">
        <v>842</v>
      </c>
      <c r="C133" s="65"/>
      <c r="D133" s="65"/>
      <c r="E133" s="65"/>
      <c r="F133" s="65"/>
      <c r="G133" s="65"/>
      <c r="H133" s="112"/>
      <c r="I133" s="113" t="s">
        <v>250</v>
      </c>
      <c r="J133" s="176">
        <v>329</v>
      </c>
      <c r="K133" s="122"/>
      <c r="L133" s="115" t="str">
        <f>IF(K133=0," ",IF(K133=" -"," -",J133*K133))</f>
        <v xml:space="preserve"> </v>
      </c>
      <c r="N133" s="108">
        <v>319</v>
      </c>
      <c r="O133" s="122">
        <v>147.02000000000001</v>
      </c>
    </row>
    <row r="134" spans="1:15">
      <c r="A134" s="152"/>
      <c r="B134" s="117" t="s">
        <v>299</v>
      </c>
      <c r="C134" s="65"/>
      <c r="D134" s="65"/>
      <c r="E134" s="65"/>
      <c r="F134" s="65"/>
      <c r="G134" s="65"/>
      <c r="H134" s="112"/>
      <c r="I134" s="113" t="s">
        <v>250</v>
      </c>
      <c r="J134" s="129">
        <v>329</v>
      </c>
      <c r="K134" s="122">
        <v>143.68</v>
      </c>
      <c r="L134" s="115">
        <f>IF(K134=0," ",IF(K134=" -"," -",J134*K134))</f>
        <v>47270.720000000001</v>
      </c>
      <c r="N134" s="108"/>
      <c r="O134" s="122"/>
    </row>
    <row r="135" spans="1:15">
      <c r="A135" s="152"/>
      <c r="B135" s="117"/>
      <c r="C135" s="65"/>
      <c r="D135" s="65"/>
      <c r="E135" s="65"/>
      <c r="F135" s="65"/>
      <c r="G135" s="65"/>
      <c r="H135" s="112"/>
      <c r="I135" s="113"/>
      <c r="J135" s="130"/>
      <c r="K135" s="122"/>
      <c r="L135" s="115"/>
      <c r="N135" s="108"/>
      <c r="O135" s="122"/>
    </row>
    <row r="136" spans="1:15">
      <c r="A136" s="152"/>
      <c r="B136" s="117"/>
      <c r="C136" s="65"/>
      <c r="D136" s="65"/>
      <c r="E136" s="65"/>
      <c r="F136" s="65"/>
      <c r="G136" s="65"/>
      <c r="H136" s="112"/>
      <c r="I136" s="113"/>
      <c r="J136" s="108"/>
      <c r="K136" s="122"/>
      <c r="L136" s="115" t="str">
        <f>IF(K136=0," ",IF(K136=" -"," -",J136*K136))</f>
        <v xml:space="preserve"> </v>
      </c>
      <c r="N136" s="108"/>
      <c r="O136" s="122"/>
    </row>
    <row r="137" spans="1:15">
      <c r="A137" s="191"/>
      <c r="B137" s="105" t="s">
        <v>845</v>
      </c>
      <c r="C137" s="65"/>
      <c r="D137" s="65"/>
      <c r="E137" s="65"/>
      <c r="F137" s="65"/>
      <c r="G137" s="65"/>
      <c r="H137" s="112"/>
      <c r="I137" s="113"/>
      <c r="J137" s="108"/>
      <c r="K137" s="122"/>
      <c r="L137" s="115" t="str">
        <f>IF(K137=0," ",IF(K137=" -"," -",J137*K137))</f>
        <v xml:space="preserve"> </v>
      </c>
      <c r="N137" s="108"/>
      <c r="O137" s="122"/>
    </row>
    <row r="138" spans="1:15">
      <c r="A138" s="191"/>
      <c r="B138" s="105" t="s">
        <v>846</v>
      </c>
      <c r="C138" s="65"/>
      <c r="D138" s="65"/>
      <c r="E138" s="65"/>
      <c r="F138" s="65"/>
      <c r="G138" s="65"/>
      <c r="H138" s="112"/>
      <c r="I138" s="188" t="s">
        <v>250</v>
      </c>
      <c r="J138" s="120">
        <v>10</v>
      </c>
      <c r="K138" s="192"/>
      <c r="L138" s="115" t="str">
        <f>IF(K138=0," ",IF(K138=" -"," -",J138*K138))</f>
        <v xml:space="preserve"> </v>
      </c>
      <c r="N138" s="108">
        <v>10</v>
      </c>
      <c r="O138" s="192">
        <v>138.66</v>
      </c>
    </row>
    <row r="139" spans="1:15">
      <c r="A139" s="193"/>
      <c r="B139" s="105" t="s">
        <v>300</v>
      </c>
      <c r="C139" s="65"/>
      <c r="D139" s="65"/>
      <c r="E139" s="65"/>
      <c r="F139" s="65"/>
      <c r="G139" s="65"/>
      <c r="H139" s="112"/>
      <c r="I139" s="188"/>
      <c r="J139" s="108"/>
      <c r="K139" s="192"/>
      <c r="L139" s="115" t="str">
        <f>IF(K139=0," ",IF(K139=" -"," -",J139*K139))</f>
        <v xml:space="preserve"> </v>
      </c>
      <c r="N139" s="108"/>
      <c r="O139" s="192"/>
    </row>
    <row r="140" spans="1:15">
      <c r="A140" s="193"/>
      <c r="B140" s="105" t="s">
        <v>301</v>
      </c>
      <c r="C140" s="65"/>
      <c r="D140" s="65"/>
      <c r="E140" s="65"/>
      <c r="F140" s="65"/>
      <c r="G140" s="65"/>
      <c r="H140" s="112"/>
      <c r="I140" s="188" t="s">
        <v>250</v>
      </c>
      <c r="J140" s="129">
        <v>10</v>
      </c>
      <c r="K140" s="192">
        <v>87.19</v>
      </c>
      <c r="L140" s="115">
        <f>IF(K140=0," ",IF(K140=" -"," -",J140*K140))</f>
        <v>871.9</v>
      </c>
      <c r="N140" s="108"/>
      <c r="O140" s="192"/>
    </row>
    <row r="141" spans="1:15">
      <c r="A141" s="193"/>
      <c r="B141" s="105"/>
      <c r="C141" s="65"/>
      <c r="D141" s="65"/>
      <c r="E141" s="65"/>
      <c r="F141" s="65"/>
      <c r="G141" s="65"/>
      <c r="H141" s="112"/>
      <c r="I141" s="188"/>
      <c r="J141" s="129"/>
      <c r="K141" s="192"/>
      <c r="L141" s="115"/>
      <c r="N141" s="108"/>
      <c r="O141" s="192"/>
    </row>
    <row r="142" spans="1:15">
      <c r="A142" s="193"/>
      <c r="B142" s="105"/>
      <c r="C142" s="65"/>
      <c r="D142" s="65"/>
      <c r="E142" s="65"/>
      <c r="F142" s="65"/>
      <c r="G142" s="65"/>
      <c r="H142" s="112"/>
      <c r="I142" s="188"/>
      <c r="J142" s="129"/>
      <c r="K142" s="192"/>
      <c r="L142" s="115"/>
      <c r="N142" s="108"/>
      <c r="O142" s="192"/>
    </row>
    <row r="143" spans="1:15" ht="13.5" thickBot="1">
      <c r="A143" s="135"/>
      <c r="B143" s="136"/>
      <c r="C143" s="137"/>
      <c r="D143" s="137"/>
      <c r="E143" s="137"/>
      <c r="F143" s="137"/>
      <c r="G143" s="137"/>
      <c r="H143" s="138"/>
      <c r="I143" s="139"/>
      <c r="J143" s="140"/>
      <c r="K143" s="141"/>
      <c r="L143" s="142"/>
      <c r="N143" s="140"/>
      <c r="O143" s="141"/>
    </row>
    <row r="144" spans="1:15" ht="5.25" customHeight="1" thickBot="1">
      <c r="A144" s="143"/>
      <c r="B144" s="143"/>
      <c r="C144" s="143"/>
      <c r="D144" s="143"/>
      <c r="E144" s="143"/>
      <c r="F144" s="143"/>
      <c r="G144" s="143"/>
      <c r="H144" s="143"/>
      <c r="I144" s="143"/>
      <c r="J144" s="144"/>
      <c r="K144" s="143"/>
      <c r="L144" s="143"/>
      <c r="N144" s="144"/>
      <c r="O144" s="143"/>
    </row>
    <row r="145" spans="1:15">
      <c r="A145" s="94" t="s">
        <v>270</v>
      </c>
      <c r="B145" s="88"/>
      <c r="C145" s="88"/>
      <c r="D145" s="88"/>
      <c r="E145" s="145" t="s">
        <v>271</v>
      </c>
      <c r="F145" s="88"/>
      <c r="G145" s="88"/>
      <c r="H145" s="106"/>
      <c r="I145" s="45" t="s">
        <v>272</v>
      </c>
      <c r="J145" s="146"/>
      <c r="K145" s="145" t="s">
        <v>273</v>
      </c>
      <c r="L145" s="147"/>
      <c r="N145" s="146"/>
      <c r="O145" s="145" t="s">
        <v>273</v>
      </c>
    </row>
    <row r="146" spans="1:15" ht="13.5" customHeight="1" thickBot="1">
      <c r="A146" s="877"/>
      <c r="B146" s="867"/>
      <c r="C146" s="867"/>
      <c r="D146" s="867"/>
      <c r="E146" s="878"/>
      <c r="F146" s="867"/>
      <c r="G146" s="867"/>
      <c r="H146" s="868"/>
      <c r="I146" s="148"/>
      <c r="J146" s="149"/>
      <c r="K146" s="136"/>
      <c r="L146" s="150"/>
      <c r="N146" s="149"/>
      <c r="O146" s="136"/>
    </row>
    <row r="147" spans="1:15">
      <c r="A147" s="193"/>
      <c r="B147" s="105"/>
      <c r="C147" s="65"/>
      <c r="D147" s="65"/>
      <c r="E147" s="65"/>
      <c r="F147" s="65"/>
      <c r="G147" s="65"/>
      <c r="H147" s="112"/>
      <c r="I147" s="188"/>
      <c r="J147" s="129"/>
      <c r="K147" s="192"/>
      <c r="L147" s="115"/>
      <c r="N147" s="108"/>
      <c r="O147" s="192"/>
    </row>
    <row r="148" spans="1:15">
      <c r="A148" s="193"/>
      <c r="B148" s="105"/>
      <c r="C148" s="65"/>
      <c r="D148" s="65"/>
      <c r="E148" s="65"/>
      <c r="F148" s="65"/>
      <c r="G148" s="65"/>
      <c r="H148" s="112"/>
      <c r="I148" s="188"/>
      <c r="J148" s="129"/>
      <c r="K148" s="192"/>
      <c r="L148" s="115"/>
      <c r="N148" s="108"/>
      <c r="O148" s="192"/>
    </row>
    <row r="149" spans="1:15">
      <c r="A149" s="116"/>
      <c r="B149" s="117" t="s">
        <v>849</v>
      </c>
      <c r="C149" s="65"/>
      <c r="D149" s="65"/>
      <c r="E149" s="65"/>
      <c r="F149" s="65"/>
      <c r="G149" s="65"/>
      <c r="H149" s="112"/>
      <c r="I149" s="113"/>
      <c r="J149" s="195"/>
      <c r="K149" s="122"/>
      <c r="L149" s="115" t="str">
        <f t="shared" ref="L149:L154" si="8">IF(K149=0," ",IF(K149=" -"," -",J149*K149))</f>
        <v xml:space="preserve"> </v>
      </c>
      <c r="N149" s="195"/>
      <c r="O149" s="122"/>
    </row>
    <row r="150" spans="1:15">
      <c r="A150" s="116"/>
      <c r="B150" s="117"/>
      <c r="C150" s="65"/>
      <c r="D150" s="65"/>
      <c r="E150" s="65"/>
      <c r="F150" s="65"/>
      <c r="G150" s="65"/>
      <c r="H150" s="112"/>
      <c r="I150" s="113"/>
      <c r="J150" s="195"/>
      <c r="K150" s="122"/>
      <c r="L150" s="115" t="str">
        <f t="shared" si="8"/>
        <v xml:space="preserve"> </v>
      </c>
      <c r="N150" s="195"/>
      <c r="O150" s="122"/>
    </row>
    <row r="151" spans="1:15">
      <c r="A151" s="116"/>
      <c r="B151" s="117" t="s">
        <v>850</v>
      </c>
      <c r="C151" s="65"/>
      <c r="D151" s="65"/>
      <c r="E151" s="65"/>
      <c r="F151" s="65"/>
      <c r="G151" s="65"/>
      <c r="H151" s="112"/>
      <c r="I151" s="113" t="s">
        <v>851</v>
      </c>
      <c r="J151" s="120">
        <v>33</v>
      </c>
      <c r="K151" s="122"/>
      <c r="L151" s="115" t="str">
        <f t="shared" si="8"/>
        <v xml:space="preserve"> </v>
      </c>
      <c r="N151" s="108">
        <v>33</v>
      </c>
      <c r="O151" s="122">
        <v>190.02</v>
      </c>
    </row>
    <row r="152" spans="1:15">
      <c r="A152" s="116"/>
      <c r="B152" s="117" t="s">
        <v>607</v>
      </c>
      <c r="C152" s="65"/>
      <c r="D152" s="65"/>
      <c r="E152" s="65"/>
      <c r="F152" s="65"/>
      <c r="G152" s="65"/>
      <c r="H152" s="112"/>
      <c r="I152" s="113" t="s">
        <v>180</v>
      </c>
      <c r="J152" s="178">
        <f>33*0.0871</f>
        <v>2.8742999999999999</v>
      </c>
      <c r="K152" s="122">
        <v>15.5</v>
      </c>
      <c r="L152" s="115">
        <f t="shared" si="8"/>
        <v>44.551649999999995</v>
      </c>
      <c r="N152" s="108"/>
      <c r="O152" s="122"/>
    </row>
    <row r="153" spans="1:15">
      <c r="A153" s="116"/>
      <c r="B153" s="117" t="s">
        <v>608</v>
      </c>
      <c r="C153" s="65"/>
      <c r="D153" s="65"/>
      <c r="E153" s="65"/>
      <c r="F153" s="65"/>
      <c r="G153" s="65"/>
      <c r="H153" s="112"/>
      <c r="I153" s="113" t="s">
        <v>257</v>
      </c>
      <c r="J153" s="178">
        <f>33*0.0082</f>
        <v>0.27060000000000001</v>
      </c>
      <c r="K153" s="122">
        <v>34.1</v>
      </c>
      <c r="L153" s="115">
        <f t="shared" si="8"/>
        <v>9.2274600000000007</v>
      </c>
      <c r="N153" s="108"/>
      <c r="O153" s="122"/>
    </row>
    <row r="154" spans="1:15">
      <c r="A154" s="116"/>
      <c r="B154" s="117" t="s">
        <v>617</v>
      </c>
      <c r="C154" s="65"/>
      <c r="D154" s="65"/>
      <c r="E154" s="65"/>
      <c r="F154" s="65"/>
      <c r="G154" s="65"/>
      <c r="H154" s="112"/>
      <c r="I154" s="113" t="s">
        <v>851</v>
      </c>
      <c r="J154" s="129">
        <f>33*1</f>
        <v>33</v>
      </c>
      <c r="K154" s="122">
        <v>170.29</v>
      </c>
      <c r="L154" s="115">
        <f t="shared" si="8"/>
        <v>5619.57</v>
      </c>
      <c r="N154" s="108"/>
      <c r="O154" s="122"/>
    </row>
    <row r="155" spans="1:15">
      <c r="A155" s="116"/>
      <c r="B155" s="117"/>
      <c r="C155" s="65"/>
      <c r="D155" s="65"/>
      <c r="E155" s="65"/>
      <c r="F155" s="65"/>
      <c r="G155" s="65"/>
      <c r="H155" s="112"/>
      <c r="I155" s="113"/>
      <c r="J155" s="195"/>
      <c r="K155" s="122"/>
      <c r="L155" s="115"/>
      <c r="N155" s="195"/>
      <c r="O155" s="122"/>
    </row>
    <row r="156" spans="1:15">
      <c r="A156" s="116"/>
      <c r="B156" s="117"/>
      <c r="C156" s="65"/>
      <c r="D156" s="65"/>
      <c r="E156" s="65"/>
      <c r="F156" s="65"/>
      <c r="G156" s="65"/>
      <c r="H156" s="112"/>
      <c r="I156" s="113"/>
      <c r="J156" s="195"/>
      <c r="K156" s="114"/>
      <c r="L156" s="115" t="str">
        <f>IF(K156=0," ",IF(K156=" -"," -",J156*K156))</f>
        <v xml:space="preserve"> </v>
      </c>
      <c r="N156" s="195"/>
      <c r="O156" s="114"/>
    </row>
    <row r="157" spans="1:15">
      <c r="A157" s="116"/>
      <c r="B157" s="887" t="s">
        <v>618</v>
      </c>
      <c r="C157" s="703"/>
      <c r="D157" s="703"/>
      <c r="E157" s="703"/>
      <c r="F157" s="703"/>
      <c r="G157" s="65"/>
      <c r="H157" s="112"/>
      <c r="I157" s="113"/>
      <c r="J157" s="195"/>
      <c r="K157" s="197"/>
      <c r="L157" s="198">
        <f>SUM(L7:L156)</f>
        <v>264928.59288464999</v>
      </c>
      <c r="N157" s="195"/>
      <c r="O157" s="197"/>
    </row>
    <row r="158" spans="1:15">
      <c r="A158" s="116"/>
      <c r="B158" s="196"/>
      <c r="C158" s="172"/>
      <c r="D158" s="172"/>
      <c r="E158" s="172"/>
      <c r="F158" s="172"/>
      <c r="G158" s="65"/>
      <c r="H158" s="112"/>
      <c r="I158" s="113"/>
      <c r="J158" s="195"/>
      <c r="K158" s="197"/>
      <c r="L158" s="198"/>
      <c r="N158" s="195"/>
      <c r="O158" s="197"/>
    </row>
    <row r="159" spans="1:15">
      <c r="A159" s="116"/>
      <c r="B159" s="196"/>
      <c r="C159" s="172"/>
      <c r="D159" s="172"/>
      <c r="E159" s="172"/>
      <c r="F159" s="172"/>
      <c r="G159" s="65"/>
      <c r="H159" s="112"/>
      <c r="I159" s="113"/>
      <c r="J159" s="195"/>
      <c r="K159" s="197"/>
      <c r="L159" s="198"/>
      <c r="N159" s="195"/>
      <c r="O159" s="197"/>
    </row>
    <row r="160" spans="1:15">
      <c r="A160" s="116"/>
      <c r="B160" s="196"/>
      <c r="C160" s="172"/>
      <c r="D160" s="172"/>
      <c r="E160" s="172"/>
      <c r="F160" s="172"/>
      <c r="G160" s="65"/>
      <c r="H160" s="112"/>
      <c r="I160" s="113"/>
      <c r="J160" s="195"/>
      <c r="K160" s="197"/>
      <c r="L160" s="198"/>
      <c r="N160" s="195"/>
      <c r="O160" s="197"/>
    </row>
    <row r="161" spans="1:15">
      <c r="A161" s="116"/>
      <c r="B161" s="196"/>
      <c r="C161" s="172"/>
      <c r="D161" s="172"/>
      <c r="E161" s="172"/>
      <c r="F161" s="172"/>
      <c r="G161" s="65"/>
      <c r="H161" s="112"/>
      <c r="I161" s="113"/>
      <c r="J161" s="195"/>
      <c r="K161" s="197"/>
      <c r="L161" s="198"/>
      <c r="N161" s="195"/>
      <c r="O161" s="197"/>
    </row>
    <row r="162" spans="1:15">
      <c r="A162" s="116"/>
      <c r="B162" s="196"/>
      <c r="C162" s="172"/>
      <c r="D162" s="172"/>
      <c r="E162" s="172"/>
      <c r="F162" s="172"/>
      <c r="G162" s="65"/>
      <c r="H162" s="112"/>
      <c r="I162" s="113"/>
      <c r="J162" s="195"/>
      <c r="K162" s="197"/>
      <c r="L162" s="198"/>
      <c r="N162" s="195"/>
      <c r="O162" s="197"/>
    </row>
    <row r="163" spans="1:15">
      <c r="A163" s="116"/>
      <c r="B163" s="196"/>
      <c r="C163" s="172"/>
      <c r="D163" s="172"/>
      <c r="E163" s="172"/>
      <c r="F163" s="172"/>
      <c r="G163" s="65"/>
      <c r="H163" s="112"/>
      <c r="I163" s="113"/>
      <c r="J163" s="195"/>
      <c r="K163" s="197"/>
      <c r="L163" s="198"/>
      <c r="N163" s="195"/>
      <c r="O163" s="197"/>
    </row>
    <row r="164" spans="1:15">
      <c r="A164" s="116"/>
      <c r="B164" s="196"/>
      <c r="C164" s="172"/>
      <c r="D164" s="172"/>
      <c r="E164" s="172"/>
      <c r="F164" s="172"/>
      <c r="G164" s="65"/>
      <c r="H164" s="112"/>
      <c r="I164" s="113"/>
      <c r="J164" s="195"/>
      <c r="K164" s="197"/>
      <c r="L164" s="198"/>
      <c r="N164" s="195"/>
      <c r="O164" s="197"/>
    </row>
    <row r="165" spans="1:15">
      <c r="A165" s="116"/>
      <c r="B165" s="196"/>
      <c r="C165" s="172"/>
      <c r="D165" s="172"/>
      <c r="E165" s="172"/>
      <c r="F165" s="172"/>
      <c r="G165" s="65"/>
      <c r="H165" s="112"/>
      <c r="I165" s="113"/>
      <c r="J165" s="195"/>
      <c r="K165" s="197"/>
      <c r="L165" s="198"/>
      <c r="N165" s="195"/>
      <c r="O165" s="197"/>
    </row>
    <row r="166" spans="1:15">
      <c r="A166" s="116"/>
      <c r="B166" s="196"/>
      <c r="C166" s="172"/>
      <c r="D166" s="172"/>
      <c r="E166" s="172"/>
      <c r="F166" s="172"/>
      <c r="G166" s="65"/>
      <c r="H166" s="112"/>
      <c r="I166" s="113"/>
      <c r="J166" s="195"/>
      <c r="K166" s="197"/>
      <c r="L166" s="198"/>
      <c r="N166" s="195"/>
      <c r="O166" s="197"/>
    </row>
    <row r="167" spans="1:15">
      <c r="A167" s="116"/>
      <c r="B167" s="196"/>
      <c r="C167" s="172"/>
      <c r="D167" s="172"/>
      <c r="E167" s="172"/>
      <c r="F167" s="172"/>
      <c r="G167" s="65"/>
      <c r="H167" s="112"/>
      <c r="I167" s="113"/>
      <c r="J167" s="195"/>
      <c r="K167" s="197"/>
      <c r="L167" s="198"/>
      <c r="N167" s="195"/>
      <c r="O167" s="197"/>
    </row>
    <row r="168" spans="1:15">
      <c r="A168" s="116"/>
      <c r="B168" s="196"/>
      <c r="C168" s="172"/>
      <c r="D168" s="172"/>
      <c r="E168" s="172"/>
      <c r="F168" s="172"/>
      <c r="G168" s="65"/>
      <c r="H168" s="112"/>
      <c r="I168" s="113"/>
      <c r="J168" s="195"/>
      <c r="K168" s="197"/>
      <c r="L168" s="198"/>
      <c r="N168" s="195"/>
      <c r="O168" s="197"/>
    </row>
    <row r="169" spans="1:15">
      <c r="A169" s="116"/>
      <c r="B169" s="196"/>
      <c r="C169" s="172"/>
      <c r="D169" s="172"/>
      <c r="E169" s="172"/>
      <c r="F169" s="172"/>
      <c r="G169" s="65"/>
      <c r="H169" s="112"/>
      <c r="I169" s="113"/>
      <c r="J169" s="195"/>
      <c r="K169" s="197"/>
      <c r="L169" s="198"/>
      <c r="N169" s="195"/>
      <c r="O169" s="197"/>
    </row>
    <row r="170" spans="1:15">
      <c r="A170" s="116"/>
      <c r="B170" s="196"/>
      <c r="C170" s="172"/>
      <c r="D170" s="172"/>
      <c r="E170" s="172"/>
      <c r="F170" s="172"/>
      <c r="G170" s="65"/>
      <c r="H170" s="112"/>
      <c r="I170" s="113"/>
      <c r="J170" s="195"/>
      <c r="K170" s="197"/>
      <c r="L170" s="198"/>
      <c r="N170" s="195"/>
      <c r="O170" s="197"/>
    </row>
    <row r="171" spans="1:15">
      <c r="A171" s="116"/>
      <c r="B171" s="196"/>
      <c r="C171" s="172"/>
      <c r="D171" s="172"/>
      <c r="E171" s="172"/>
      <c r="F171" s="172"/>
      <c r="G171" s="65"/>
      <c r="H171" s="112"/>
      <c r="I171" s="113"/>
      <c r="J171" s="195"/>
      <c r="K171" s="197"/>
      <c r="L171" s="198"/>
      <c r="N171" s="195"/>
      <c r="O171" s="197"/>
    </row>
    <row r="172" spans="1:15">
      <c r="A172" s="116"/>
      <c r="B172" s="196"/>
      <c r="C172" s="172"/>
      <c r="D172" s="172"/>
      <c r="E172" s="172"/>
      <c r="F172" s="172"/>
      <c r="G172" s="65"/>
      <c r="H172" s="112"/>
      <c r="I172" s="113"/>
      <c r="J172" s="195"/>
      <c r="K172" s="197"/>
      <c r="L172" s="198"/>
      <c r="N172" s="195"/>
      <c r="O172" s="197"/>
    </row>
    <row r="173" spans="1:15">
      <c r="A173" s="116"/>
      <c r="B173" s="196"/>
      <c r="C173" s="172"/>
      <c r="D173" s="172"/>
      <c r="E173" s="172"/>
      <c r="F173" s="172"/>
      <c r="G173" s="65"/>
      <c r="H173" s="112"/>
      <c r="I173" s="113"/>
      <c r="J173" s="195"/>
      <c r="K173" s="197"/>
      <c r="L173" s="198"/>
      <c r="N173" s="195"/>
      <c r="O173" s="197"/>
    </row>
    <row r="174" spans="1:15">
      <c r="A174" s="116"/>
      <c r="B174" s="196"/>
      <c r="C174" s="172"/>
      <c r="D174" s="172"/>
      <c r="E174" s="172"/>
      <c r="F174" s="172"/>
      <c r="G174" s="65"/>
      <c r="H174" s="112"/>
      <c r="I174" s="113"/>
      <c r="J174" s="195"/>
      <c r="K174" s="197"/>
      <c r="L174" s="198"/>
      <c r="N174" s="195"/>
      <c r="O174" s="197"/>
    </row>
    <row r="175" spans="1:15">
      <c r="A175" s="116"/>
      <c r="B175" s="196"/>
      <c r="C175" s="172"/>
      <c r="D175" s="172"/>
      <c r="E175" s="172"/>
      <c r="F175" s="172"/>
      <c r="G175" s="65"/>
      <c r="H175" s="112"/>
      <c r="I175" s="113"/>
      <c r="J175" s="195"/>
      <c r="K175" s="197"/>
      <c r="L175" s="198"/>
      <c r="N175" s="195"/>
      <c r="O175" s="197"/>
    </row>
    <row r="176" spans="1:15">
      <c r="A176" s="116"/>
      <c r="B176" s="196"/>
      <c r="C176" s="172"/>
      <c r="D176" s="172"/>
      <c r="E176" s="172"/>
      <c r="F176" s="172"/>
      <c r="G176" s="65"/>
      <c r="H176" s="112"/>
      <c r="I176" s="113"/>
      <c r="J176" s="195"/>
      <c r="K176" s="197"/>
      <c r="L176" s="198"/>
      <c r="N176" s="195"/>
      <c r="O176" s="197"/>
    </row>
    <row r="177" spans="1:15">
      <c r="A177" s="116"/>
      <c r="B177" s="196"/>
      <c r="C177" s="172"/>
      <c r="D177" s="172"/>
      <c r="E177" s="172"/>
      <c r="F177" s="172"/>
      <c r="G177" s="65"/>
      <c r="H177" s="112"/>
      <c r="I177" s="113"/>
      <c r="J177" s="195"/>
      <c r="K177" s="197"/>
      <c r="L177" s="198"/>
      <c r="N177" s="195"/>
      <c r="O177" s="197"/>
    </row>
    <row r="178" spans="1:15" ht="13.5" thickBot="1">
      <c r="A178" s="135"/>
      <c r="B178" s="136"/>
      <c r="C178" s="137"/>
      <c r="D178" s="137"/>
      <c r="E178" s="137"/>
      <c r="F178" s="137"/>
      <c r="G178" s="137"/>
      <c r="H178" s="138"/>
      <c r="I178" s="189"/>
      <c r="J178" s="139"/>
      <c r="K178" s="190"/>
      <c r="L178" s="142"/>
      <c r="N178" s="139"/>
      <c r="O178" s="190"/>
    </row>
    <row r="179" spans="1:15" ht="5.25" customHeight="1" thickBot="1">
      <c r="A179" s="143"/>
      <c r="B179" s="143"/>
      <c r="C179" s="143"/>
      <c r="D179" s="143"/>
      <c r="E179" s="143"/>
      <c r="F179" s="143"/>
      <c r="G179" s="143"/>
      <c r="H179" s="143"/>
      <c r="I179" s="143"/>
      <c r="J179" s="143"/>
      <c r="K179" s="143"/>
      <c r="L179" s="143"/>
      <c r="N179" s="143"/>
      <c r="O179" s="143"/>
    </row>
    <row r="180" spans="1:15">
      <c r="A180" s="94" t="s">
        <v>270</v>
      </c>
      <c r="B180" s="88"/>
      <c r="C180" s="88"/>
      <c r="D180" s="88"/>
      <c r="E180" s="145" t="s">
        <v>271</v>
      </c>
      <c r="F180" s="88"/>
      <c r="G180" s="88"/>
      <c r="H180" s="106"/>
      <c r="I180" s="45" t="s">
        <v>272</v>
      </c>
      <c r="J180" s="88"/>
      <c r="K180" s="145" t="s">
        <v>273</v>
      </c>
      <c r="L180" s="147"/>
      <c r="N180" s="88"/>
      <c r="O180" s="145" t="s">
        <v>273</v>
      </c>
    </row>
    <row r="181" spans="1:15" ht="13.5" customHeight="1" thickBot="1">
      <c r="A181" s="877"/>
      <c r="B181" s="867"/>
      <c r="C181" s="867"/>
      <c r="D181" s="867"/>
      <c r="E181" s="878"/>
      <c r="F181" s="867"/>
      <c r="G181" s="867"/>
      <c r="H181" s="868"/>
      <c r="I181" s="148"/>
      <c r="J181" s="148"/>
      <c r="K181" s="136"/>
      <c r="L181" s="150"/>
      <c r="N181" s="148"/>
      <c r="O181" s="136"/>
    </row>
  </sheetData>
  <mergeCells count="20">
    <mergeCell ref="B38:H38"/>
    <mergeCell ref="G2:J2"/>
    <mergeCell ref="G4:K4"/>
    <mergeCell ref="B6:H6"/>
    <mergeCell ref="B30:H30"/>
    <mergeCell ref="B37:H37"/>
    <mergeCell ref="A41:D41"/>
    <mergeCell ref="E41:H41"/>
    <mergeCell ref="A181:D181"/>
    <mergeCell ref="E181:H181"/>
    <mergeCell ref="B114:H114"/>
    <mergeCell ref="B116:H116"/>
    <mergeCell ref="B123:H123"/>
    <mergeCell ref="B157:F157"/>
    <mergeCell ref="A146:D146"/>
    <mergeCell ref="E146:H146"/>
    <mergeCell ref="A111:D111"/>
    <mergeCell ref="E111:H111"/>
    <mergeCell ref="A76:D76"/>
    <mergeCell ref="E76:H76"/>
  </mergeCells>
  <phoneticPr fontId="0" type="noConversion"/>
  <pageMargins left="0.74" right="0.55118110236220474" top="0.86" bottom="0.39370078740157483" header="0.9" footer="0.51181102362204722"/>
  <pageSetup paperSize="9" orientation="landscape" horizontalDpi="4294967294" verticalDpi="300" r:id="rId1"/>
  <headerFooter alignWithMargins="0">
    <oddHeader>&amp;R&amp;P     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T18"/>
  <sheetViews>
    <sheetView showGridLines="0" showZeros="0" topLeftCell="B7" zoomScaleSheetLayoutView="100" workbookViewId="0">
      <selection activeCell="G14" sqref="G14"/>
    </sheetView>
  </sheetViews>
  <sheetFormatPr defaultColWidth="9.140625" defaultRowHeight="24" customHeight="1"/>
  <cols>
    <col min="1" max="1" width="2.85546875" style="237" customWidth="1"/>
    <col min="2" max="3" width="12.5703125" style="266" customWidth="1"/>
    <col min="4" max="4" width="69.42578125" style="242" customWidth="1"/>
    <col min="5" max="5" width="8" style="267" customWidth="1"/>
    <col min="6" max="6" width="10.140625" style="310" customWidth="1"/>
    <col min="7" max="7" width="11.85546875" style="312" customWidth="1"/>
    <col min="8" max="8" width="15.42578125" style="312" bestFit="1" customWidth="1"/>
    <col min="9" max="9" width="10" style="240" customWidth="1"/>
    <col min="10" max="10" width="8.85546875" style="240" customWidth="1"/>
    <col min="11" max="11" width="10.85546875" style="240" customWidth="1"/>
    <col min="12" max="12" width="11.28515625" style="240" customWidth="1"/>
    <col min="13" max="13" width="13.28515625" style="240" customWidth="1"/>
    <col min="14" max="14" width="18" style="240" customWidth="1"/>
    <col min="15" max="15" width="11.7109375" style="240" customWidth="1"/>
    <col min="16" max="17" width="12.28515625" style="240" customWidth="1"/>
    <col min="18" max="18" width="16.5703125" style="240" customWidth="1"/>
    <col min="19" max="19" width="9.140625" style="240"/>
    <col min="20" max="20" width="9.140625" style="338"/>
    <col min="21" max="21" width="12" style="240" bestFit="1" customWidth="1"/>
    <col min="22" max="22" width="10.85546875" style="240" bestFit="1" customWidth="1"/>
    <col min="23" max="23" width="9.140625" style="240"/>
    <col min="24" max="25" width="9.28515625" style="240" bestFit="1" customWidth="1"/>
    <col min="26" max="26" width="9.140625" style="240"/>
    <col min="27" max="27" width="10.85546875" style="240" bestFit="1" customWidth="1"/>
    <col min="28" max="46" width="9.140625" style="240"/>
    <col min="47" max="16384" width="9.140625" style="237"/>
  </cols>
  <sheetData>
    <row r="1" spans="2:46" ht="24" customHeight="1" thickBot="1">
      <c r="G1" s="311"/>
    </row>
    <row r="2" spans="2:46" ht="24" customHeight="1">
      <c r="B2" s="268"/>
      <c r="C2" s="269"/>
      <c r="D2" s="270"/>
      <c r="E2" s="271"/>
      <c r="F2" s="313"/>
      <c r="G2" s="314"/>
      <c r="H2" s="315"/>
    </row>
    <row r="3" spans="2:46" ht="14.25">
      <c r="B3" s="272"/>
      <c r="C3" s="273"/>
      <c r="D3" s="274" t="s">
        <v>777</v>
      </c>
      <c r="E3" s="275"/>
      <c r="F3" s="316"/>
      <c r="G3" s="317"/>
      <c r="H3" s="318"/>
    </row>
    <row r="4" spans="2:46" ht="14.25">
      <c r="B4" s="272"/>
      <c r="C4" s="273"/>
      <c r="D4" s="274" t="s">
        <v>778</v>
      </c>
      <c r="E4" s="275"/>
      <c r="F4" s="316"/>
      <c r="G4" s="317"/>
      <c r="H4" s="318"/>
    </row>
    <row r="5" spans="2:46" ht="14.25">
      <c r="B5" s="272"/>
      <c r="C5" s="273"/>
      <c r="D5" s="274" t="s">
        <v>281</v>
      </c>
      <c r="E5" s="275"/>
      <c r="F5" s="316"/>
      <c r="G5" s="317"/>
      <c r="H5" s="318"/>
    </row>
    <row r="6" spans="2:46" ht="24" customHeight="1">
      <c r="B6" s="278" t="s">
        <v>464</v>
      </c>
      <c r="C6" s="279"/>
      <c r="D6" s="276"/>
      <c r="E6" s="277"/>
      <c r="F6" s="319"/>
      <c r="G6" s="317"/>
      <c r="H6" s="318"/>
    </row>
    <row r="7" spans="2:46" ht="12.75">
      <c r="B7" s="278" t="s">
        <v>465</v>
      </c>
      <c r="C7" s="279"/>
      <c r="D7" s="276"/>
      <c r="E7" s="277"/>
      <c r="F7" s="319"/>
      <c r="G7" s="317"/>
      <c r="H7" s="318"/>
    </row>
    <row r="8" spans="2:46" ht="24" customHeight="1" thickBot="1">
      <c r="B8" s="425" t="s">
        <v>461</v>
      </c>
      <c r="C8" s="283"/>
      <c r="D8" s="283"/>
      <c r="E8" s="284"/>
      <c r="F8" s="323"/>
      <c r="H8" s="322"/>
    </row>
    <row r="9" spans="2:46" ht="24" customHeight="1" thickBot="1">
      <c r="B9" s="696" t="s">
        <v>463</v>
      </c>
      <c r="C9" s="697"/>
      <c r="D9" s="697"/>
      <c r="E9" s="697"/>
      <c r="F9" s="697"/>
      <c r="G9" s="697"/>
      <c r="H9" s="698"/>
    </row>
    <row r="10" spans="2:46" ht="24" customHeight="1">
      <c r="B10" s="285"/>
      <c r="C10" s="285"/>
      <c r="D10" s="285"/>
      <c r="E10" s="286"/>
      <c r="F10" s="324"/>
    </row>
    <row r="11" spans="2:46" ht="31.5">
      <c r="B11" s="287" t="s">
        <v>912</v>
      </c>
      <c r="C11" s="288" t="s">
        <v>779</v>
      </c>
      <c r="D11" s="287" t="s">
        <v>716</v>
      </c>
      <c r="E11" s="289" t="s">
        <v>152</v>
      </c>
      <c r="F11" s="325" t="s">
        <v>814</v>
      </c>
      <c r="G11" s="326" t="s">
        <v>815</v>
      </c>
      <c r="H11" s="326" t="s">
        <v>816</v>
      </c>
      <c r="I11" s="240" t="s">
        <v>824</v>
      </c>
      <c r="J11" s="240" t="s">
        <v>825</v>
      </c>
      <c r="K11" s="240" t="s">
        <v>9</v>
      </c>
      <c r="L11" s="240" t="s">
        <v>10</v>
      </c>
      <c r="M11" s="240" t="s">
        <v>11</v>
      </c>
      <c r="N11" s="240" t="s">
        <v>12</v>
      </c>
      <c r="O11" s="240" t="s">
        <v>13</v>
      </c>
      <c r="P11" s="240" t="s">
        <v>14</v>
      </c>
    </row>
    <row r="12" spans="2:46" s="239" customFormat="1" ht="24" customHeight="1">
      <c r="B12" s="290" t="s">
        <v>457</v>
      </c>
      <c r="C12" s="291"/>
      <c r="D12" s="292" t="s">
        <v>456</v>
      </c>
      <c r="E12" s="293"/>
      <c r="F12" s="327"/>
      <c r="G12" s="327"/>
      <c r="H12" s="328"/>
      <c r="I12" s="241"/>
      <c r="J12" s="241"/>
      <c r="K12" s="241"/>
      <c r="L12" s="241"/>
      <c r="M12" s="241"/>
      <c r="N12" s="241"/>
      <c r="O12" s="241"/>
      <c r="P12" s="241"/>
      <c r="Q12" s="241"/>
      <c r="R12" s="295"/>
      <c r="S12" s="241"/>
      <c r="T12" s="339"/>
      <c r="U12" s="241"/>
      <c r="V12" s="241"/>
      <c r="W12" s="241"/>
      <c r="X12" s="241"/>
      <c r="Y12" s="241"/>
      <c r="Z12" s="241"/>
      <c r="AA12" s="241"/>
      <c r="AB12" s="241"/>
      <c r="AC12" s="241"/>
      <c r="AD12" s="241"/>
      <c r="AE12" s="241"/>
      <c r="AF12" s="241"/>
      <c r="AG12" s="241"/>
      <c r="AH12" s="241"/>
      <c r="AI12" s="241"/>
      <c r="AJ12" s="241"/>
      <c r="AK12" s="241"/>
      <c r="AL12" s="241"/>
      <c r="AM12" s="241"/>
      <c r="AN12" s="241"/>
      <c r="AO12" s="241"/>
      <c r="AP12" s="241"/>
      <c r="AQ12" s="241"/>
      <c r="AR12" s="241"/>
      <c r="AS12" s="241"/>
      <c r="AT12" s="241"/>
    </row>
    <row r="13" spans="2:46" s="239" customFormat="1" ht="24" customHeight="1">
      <c r="B13" s="296" t="s">
        <v>458</v>
      </c>
      <c r="C13" s="297">
        <v>63</v>
      </c>
      <c r="D13" s="404" t="s">
        <v>454</v>
      </c>
      <c r="E13" s="293" t="s">
        <v>455</v>
      </c>
      <c r="F13" s="327">
        <f>210/30</f>
        <v>7</v>
      </c>
      <c r="G13" s="327" t="e">
        <f>#REF!</f>
        <v>#REF!</v>
      </c>
      <c r="H13" s="328" t="e">
        <f>ROUND(F13*G13,2)</f>
        <v>#REF!</v>
      </c>
      <c r="I13" s="241" t="e">
        <f>H13</f>
        <v>#REF!</v>
      </c>
      <c r="J13" s="241">
        <f t="shared" ref="J13:O14" si="0">V13</f>
        <v>0</v>
      </c>
      <c r="K13" s="241">
        <f t="shared" si="0"/>
        <v>0</v>
      </c>
      <c r="L13" s="241">
        <f t="shared" si="0"/>
        <v>0</v>
      </c>
      <c r="M13" s="241">
        <f t="shared" si="0"/>
        <v>0</v>
      </c>
      <c r="N13" s="241">
        <f t="shared" si="0"/>
        <v>0</v>
      </c>
      <c r="O13" s="241">
        <f t="shared" si="0"/>
        <v>0</v>
      </c>
      <c r="P13" s="241" t="e">
        <f>SUM(I13:O13)</f>
        <v>#REF!</v>
      </c>
      <c r="Q13" s="241" t="e">
        <f>H13-P13</f>
        <v>#REF!</v>
      </c>
      <c r="R13" s="295" t="e">
        <f>IF(C13="","",VLOOKUP(C13,#REF!,5,FALSE))</f>
        <v>#REF!</v>
      </c>
      <c r="S13" s="241"/>
      <c r="T13" s="339"/>
      <c r="U13" s="241" t="e">
        <f>H13</f>
        <v>#REF!</v>
      </c>
      <c r="V13" s="241"/>
      <c r="W13" s="241"/>
      <c r="X13" s="241"/>
      <c r="Y13" s="241"/>
      <c r="Z13" s="241"/>
      <c r="AA13" s="241"/>
      <c r="AB13" s="241"/>
      <c r="AC13" s="241"/>
      <c r="AD13" s="241"/>
      <c r="AE13" s="241"/>
      <c r="AF13" s="241"/>
      <c r="AG13" s="241"/>
      <c r="AH13" s="241"/>
      <c r="AI13" s="241"/>
      <c r="AJ13" s="241"/>
      <c r="AK13" s="241"/>
      <c r="AL13" s="241"/>
      <c r="AM13" s="241"/>
      <c r="AN13" s="241"/>
      <c r="AO13" s="241"/>
      <c r="AP13" s="241"/>
      <c r="AQ13" s="241"/>
      <c r="AR13" s="241"/>
      <c r="AS13" s="241"/>
      <c r="AT13" s="241"/>
    </row>
    <row r="14" spans="2:46" s="239" customFormat="1" ht="24" customHeight="1">
      <c r="B14" s="296" t="s">
        <v>459</v>
      </c>
      <c r="C14" s="297">
        <v>64</v>
      </c>
      <c r="D14" s="404" t="s">
        <v>462</v>
      </c>
      <c r="E14" s="293" t="s">
        <v>455</v>
      </c>
      <c r="F14" s="327">
        <v>7</v>
      </c>
      <c r="G14" s="327" t="e">
        <f>#REF!</f>
        <v>#REF!</v>
      </c>
      <c r="H14" s="328" t="e">
        <f>ROUND(F14*G14,2)</f>
        <v>#REF!</v>
      </c>
      <c r="I14" s="241" t="e">
        <f>H14</f>
        <v>#REF!</v>
      </c>
      <c r="J14" s="241">
        <f t="shared" si="0"/>
        <v>0</v>
      </c>
      <c r="K14" s="241">
        <f t="shared" si="0"/>
        <v>0</v>
      </c>
      <c r="L14" s="241">
        <f t="shared" si="0"/>
        <v>0</v>
      </c>
      <c r="M14" s="241">
        <f t="shared" si="0"/>
        <v>0</v>
      </c>
      <c r="N14" s="241">
        <f t="shared" si="0"/>
        <v>0</v>
      </c>
      <c r="O14" s="241">
        <f t="shared" si="0"/>
        <v>0</v>
      </c>
      <c r="P14" s="241" t="e">
        <f>SUM(I14:O14)</f>
        <v>#REF!</v>
      </c>
      <c r="Q14" s="241" t="e">
        <f>H14-P14</f>
        <v>#REF!</v>
      </c>
      <c r="R14" s="295" t="e">
        <f>IF(C14="","",VLOOKUP(C14,#REF!,5,FALSE))</f>
        <v>#REF!</v>
      </c>
      <c r="S14" s="241"/>
      <c r="T14" s="339"/>
      <c r="U14" s="241" t="e">
        <f>H14</f>
        <v>#REF!</v>
      </c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41"/>
      <c r="AL14" s="241"/>
      <c r="AM14" s="241"/>
      <c r="AN14" s="241"/>
      <c r="AO14" s="241"/>
      <c r="AP14" s="241"/>
      <c r="AQ14" s="241"/>
      <c r="AR14" s="241"/>
      <c r="AS14" s="241"/>
      <c r="AT14" s="241"/>
    </row>
    <row r="15" spans="2:46" s="239" customFormat="1" ht="24" customHeight="1">
      <c r="B15" s="296"/>
      <c r="C15" s="297"/>
      <c r="D15" s="298" t="s">
        <v>460</v>
      </c>
      <c r="E15" s="293"/>
      <c r="F15" s="327"/>
      <c r="G15" s="327"/>
      <c r="H15" s="328" t="e">
        <f>SUM(H13:H14)</f>
        <v>#REF!</v>
      </c>
      <c r="I15" s="241"/>
      <c r="J15" s="241"/>
      <c r="K15" s="241"/>
      <c r="L15" s="241"/>
      <c r="M15" s="241"/>
      <c r="N15" s="241"/>
      <c r="O15" s="241"/>
      <c r="P15" s="241"/>
      <c r="Q15" s="241"/>
      <c r="R15" s="295"/>
      <c r="S15" s="241"/>
      <c r="T15" s="339"/>
      <c r="U15" s="241"/>
      <c r="V15" s="241"/>
      <c r="W15" s="241"/>
      <c r="X15" s="241"/>
      <c r="Y15" s="241"/>
      <c r="Z15" s="241"/>
      <c r="AA15" s="241"/>
      <c r="AB15" s="241"/>
      <c r="AC15" s="241"/>
      <c r="AD15" s="241"/>
      <c r="AE15" s="241"/>
      <c r="AF15" s="241"/>
      <c r="AG15" s="241"/>
      <c r="AH15" s="241"/>
      <c r="AI15" s="241"/>
      <c r="AJ15" s="241"/>
      <c r="AK15" s="241"/>
      <c r="AL15" s="241"/>
      <c r="AM15" s="241"/>
      <c r="AN15" s="241"/>
      <c r="AO15" s="241"/>
      <c r="AP15" s="241"/>
      <c r="AQ15" s="241"/>
      <c r="AR15" s="241"/>
      <c r="AS15" s="241"/>
      <c r="AT15" s="241"/>
    </row>
    <row r="16" spans="2:46" s="238" customFormat="1" ht="12.75">
      <c r="B16" s="394"/>
      <c r="C16" s="391"/>
      <c r="D16" s="298"/>
      <c r="E16" s="391"/>
      <c r="F16" s="392"/>
      <c r="G16" s="392"/>
      <c r="H16" s="328"/>
      <c r="I16" s="242"/>
      <c r="J16" s="242">
        <f>H16</f>
        <v>0</v>
      </c>
      <c r="K16" s="242"/>
      <c r="L16" s="242"/>
      <c r="M16" s="242"/>
      <c r="N16" s="242"/>
      <c r="O16" s="242"/>
      <c r="P16" s="241">
        <f>SUM(I16:O16)</f>
        <v>0</v>
      </c>
      <c r="Q16" s="241">
        <f>H16-P16</f>
        <v>0</v>
      </c>
      <c r="R16" s="295"/>
      <c r="S16" s="242"/>
      <c r="T16" s="340"/>
      <c r="U16" s="242"/>
      <c r="V16" s="242"/>
      <c r="W16" s="242"/>
      <c r="X16" s="242"/>
      <c r="Y16" s="242"/>
      <c r="Z16" s="242"/>
      <c r="AA16" s="242"/>
      <c r="AB16" s="242"/>
      <c r="AC16" s="242"/>
      <c r="AD16" s="242"/>
      <c r="AE16" s="242"/>
      <c r="AF16" s="242"/>
      <c r="AG16" s="242"/>
      <c r="AH16" s="242"/>
      <c r="AI16" s="242"/>
      <c r="AJ16" s="242"/>
      <c r="AK16" s="242"/>
      <c r="AL16" s="242"/>
      <c r="AM16" s="242"/>
      <c r="AN16" s="242"/>
      <c r="AO16" s="242"/>
      <c r="AP16" s="242"/>
      <c r="AQ16" s="242"/>
      <c r="AR16" s="242"/>
      <c r="AS16" s="242"/>
      <c r="AT16" s="242"/>
    </row>
    <row r="17" spans="2:18" ht="24" customHeight="1">
      <c r="B17" s="306"/>
      <c r="C17" s="307"/>
      <c r="D17" s="308" t="s">
        <v>444</v>
      </c>
      <c r="E17" s="309"/>
      <c r="F17" s="334"/>
      <c r="G17" s="335"/>
      <c r="H17" s="336" t="e">
        <f>H15</f>
        <v>#REF!</v>
      </c>
      <c r="I17" s="240" t="e">
        <f t="shared" ref="I17:P17" si="1">SUM(I13:I16)</f>
        <v>#REF!</v>
      </c>
      <c r="J17" s="240">
        <f t="shared" si="1"/>
        <v>0</v>
      </c>
      <c r="K17" s="240">
        <f t="shared" si="1"/>
        <v>0</v>
      </c>
      <c r="L17" s="240">
        <f t="shared" si="1"/>
        <v>0</v>
      </c>
      <c r="M17" s="240">
        <f t="shared" si="1"/>
        <v>0</v>
      </c>
      <c r="N17" s="240">
        <f t="shared" si="1"/>
        <v>0</v>
      </c>
      <c r="O17" s="240">
        <f t="shared" si="1"/>
        <v>0</v>
      </c>
      <c r="P17" s="240" t="e">
        <f t="shared" si="1"/>
        <v>#REF!</v>
      </c>
      <c r="R17" s="242"/>
    </row>
    <row r="18" spans="2:18" ht="24" customHeight="1">
      <c r="I18" s="240" t="e">
        <f>I17/$P$17</f>
        <v>#REF!</v>
      </c>
      <c r="J18" s="240" t="e">
        <f t="shared" ref="J18:O18" si="2">J17/$P$17</f>
        <v>#REF!</v>
      </c>
      <c r="K18" s="240" t="e">
        <f t="shared" si="2"/>
        <v>#REF!</v>
      </c>
      <c r="L18" s="240" t="e">
        <f t="shared" si="2"/>
        <v>#REF!</v>
      </c>
      <c r="M18" s="240" t="e">
        <f t="shared" si="2"/>
        <v>#REF!</v>
      </c>
      <c r="N18" s="240" t="e">
        <f t="shared" si="2"/>
        <v>#REF!</v>
      </c>
      <c r="O18" s="240" t="e">
        <f t="shared" si="2"/>
        <v>#REF!</v>
      </c>
      <c r="P18" s="241"/>
      <c r="Q18" s="241"/>
      <c r="R18" s="242"/>
    </row>
  </sheetData>
  <autoFilter ref="D1:D20"/>
  <mergeCells count="1">
    <mergeCell ref="B9:H9"/>
  </mergeCells>
  <phoneticPr fontId="0" type="noConversion"/>
  <pageMargins left="0.95" right="0.3" top="0.68" bottom="0.51" header="0.33" footer="0.41"/>
  <pageSetup paperSize="9" scale="65" fitToHeight="4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15361" r:id="rId4">
          <objectPr defaultSize="0" autoPict="0" r:id="rId5">
            <anchor moveWithCells="1" sizeWithCells="1">
              <from>
                <xdr:col>1</xdr:col>
                <xdr:colOff>38100</xdr:colOff>
                <xdr:row>1</xdr:row>
                <xdr:rowOff>19050</xdr:rowOff>
              </from>
              <to>
                <xdr:col>3</xdr:col>
                <xdr:colOff>1590675</xdr:colOff>
                <xdr:row>5</xdr:row>
                <xdr:rowOff>0</xdr:rowOff>
              </to>
            </anchor>
          </objectPr>
        </oleObject>
      </mc:Choice>
      <mc:Fallback>
        <oleObject shapeId="1536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">
    <pageSetUpPr fitToPage="1"/>
  </sheetPr>
  <dimension ref="B1:AT252"/>
  <sheetViews>
    <sheetView showGridLines="0" showZeros="0" topLeftCell="B235" zoomScaleSheetLayoutView="100" workbookViewId="0">
      <selection activeCell="G150" sqref="G150"/>
    </sheetView>
  </sheetViews>
  <sheetFormatPr defaultColWidth="9.140625" defaultRowHeight="24" customHeight="1"/>
  <cols>
    <col min="1" max="1" width="2.85546875" style="237" customWidth="1"/>
    <col min="2" max="3" width="12.5703125" style="266" customWidth="1"/>
    <col min="4" max="4" width="69.42578125" style="242" customWidth="1"/>
    <col min="5" max="5" width="8" style="427" customWidth="1"/>
    <col min="6" max="6" width="10.140625" style="310" customWidth="1"/>
    <col min="7" max="7" width="11.85546875" style="312" customWidth="1"/>
    <col min="8" max="8" width="15.42578125" style="312" bestFit="1" customWidth="1"/>
    <col min="9" max="9" width="10" style="240" customWidth="1"/>
    <col min="10" max="10" width="8.85546875" style="240" customWidth="1"/>
    <col min="11" max="11" width="10.85546875" style="240" customWidth="1"/>
    <col min="12" max="12" width="11.28515625" style="240" customWidth="1"/>
    <col min="13" max="13" width="13.28515625" style="240" customWidth="1"/>
    <col min="14" max="14" width="18" style="240" customWidth="1"/>
    <col min="15" max="15" width="11.7109375" style="240" customWidth="1"/>
    <col min="16" max="17" width="12.28515625" style="240" customWidth="1"/>
    <col min="18" max="18" width="16.5703125" style="240" customWidth="1"/>
    <col min="19" max="19" width="9.140625" style="240"/>
    <col min="20" max="20" width="9.140625" style="338"/>
    <col min="21" max="21" width="12" style="240" bestFit="1" customWidth="1"/>
    <col min="22" max="22" width="10.85546875" style="240" bestFit="1" customWidth="1"/>
    <col min="23" max="23" width="9.140625" style="240"/>
    <col min="24" max="25" width="9.28515625" style="240" bestFit="1" customWidth="1"/>
    <col min="26" max="26" width="9.140625" style="240"/>
    <col min="27" max="27" width="10.85546875" style="240" bestFit="1" customWidth="1"/>
    <col min="28" max="46" width="9.140625" style="240"/>
    <col min="47" max="16384" width="9.140625" style="237"/>
  </cols>
  <sheetData>
    <row r="1" spans="2:46" ht="24" customHeight="1" thickBot="1">
      <c r="G1" s="311"/>
    </row>
    <row r="2" spans="2:46" ht="24" customHeight="1">
      <c r="B2" s="268"/>
      <c r="C2" s="269"/>
      <c r="D2" s="270"/>
      <c r="E2" s="428"/>
      <c r="F2" s="313"/>
      <c r="G2" s="314"/>
      <c r="H2" s="315"/>
    </row>
    <row r="3" spans="2:46" ht="14.25">
      <c r="B3" s="272"/>
      <c r="C3" s="273"/>
      <c r="D3" s="274" t="s">
        <v>777</v>
      </c>
      <c r="E3" s="429"/>
      <c r="F3" s="316"/>
      <c r="G3" s="317"/>
      <c r="H3" s="318"/>
    </row>
    <row r="4" spans="2:46" ht="14.25">
      <c r="B4" s="272"/>
      <c r="C4" s="273"/>
      <c r="D4" s="274" t="s">
        <v>778</v>
      </c>
      <c r="E4" s="429"/>
      <c r="F4" s="316"/>
      <c r="G4" s="317"/>
      <c r="H4" s="318"/>
    </row>
    <row r="5" spans="2:46" ht="14.25">
      <c r="B5" s="272"/>
      <c r="C5" s="273"/>
      <c r="D5" s="274" t="s">
        <v>281</v>
      </c>
      <c r="E5" s="429"/>
      <c r="F5" s="316"/>
      <c r="G5" s="317"/>
      <c r="H5" s="318"/>
    </row>
    <row r="6" spans="2:46" ht="24" customHeight="1">
      <c r="B6" s="278" t="s">
        <v>464</v>
      </c>
      <c r="C6" s="279"/>
      <c r="D6" s="276"/>
      <c r="E6" s="430"/>
      <c r="F6" s="319"/>
      <c r="G6" s="317"/>
      <c r="H6" s="318"/>
    </row>
    <row r="7" spans="2:46" ht="12.75">
      <c r="B7" s="278" t="s">
        <v>465</v>
      </c>
      <c r="C7" s="279"/>
      <c r="D7" s="276"/>
      <c r="E7" s="430"/>
      <c r="F7" s="319"/>
      <c r="G7" s="317"/>
      <c r="H7" s="318"/>
    </row>
    <row r="8" spans="2:46" ht="24" customHeight="1">
      <c r="B8" s="278" t="s">
        <v>466</v>
      </c>
      <c r="C8" s="279"/>
      <c r="D8" s="276"/>
      <c r="E8" s="430"/>
      <c r="F8" s="319"/>
      <c r="G8" s="317"/>
      <c r="H8" s="318"/>
    </row>
    <row r="9" spans="2:46" ht="24" customHeight="1" thickBot="1">
      <c r="B9" s="280" t="s">
        <v>198</v>
      </c>
      <c r="C9" s="281"/>
      <c r="D9" s="282"/>
      <c r="E9" s="431"/>
      <c r="F9" s="320"/>
      <c r="G9" s="321"/>
      <c r="H9" s="322"/>
    </row>
    <row r="10" spans="2:46" ht="24" customHeight="1" thickBot="1">
      <c r="B10" s="283"/>
      <c r="C10" s="283"/>
      <c r="D10" s="283"/>
      <c r="E10" s="432"/>
      <c r="F10" s="323"/>
    </row>
    <row r="11" spans="2:46" ht="24" customHeight="1" thickBot="1">
      <c r="B11" s="696" t="s">
        <v>813</v>
      </c>
      <c r="C11" s="697"/>
      <c r="D11" s="697"/>
      <c r="E11" s="697"/>
      <c r="F11" s="697"/>
      <c r="G11" s="697"/>
      <c r="H11" s="698"/>
    </row>
    <row r="12" spans="2:46" ht="24" customHeight="1">
      <c r="B12" s="285"/>
      <c r="C12" s="285"/>
      <c r="D12" s="285"/>
      <c r="E12" s="433"/>
      <c r="F12" s="324"/>
    </row>
    <row r="13" spans="2:46" ht="31.5">
      <c r="B13" s="287" t="s">
        <v>912</v>
      </c>
      <c r="C13" s="288" t="s">
        <v>779</v>
      </c>
      <c r="D13" s="287" t="s">
        <v>716</v>
      </c>
      <c r="E13" s="287" t="s">
        <v>152</v>
      </c>
      <c r="F13" s="325" t="s">
        <v>814</v>
      </c>
      <c r="G13" s="326" t="s">
        <v>815</v>
      </c>
      <c r="H13" s="326" t="s">
        <v>816</v>
      </c>
      <c r="I13" s="240" t="s">
        <v>824</v>
      </c>
      <c r="J13" s="240" t="s">
        <v>825</v>
      </c>
      <c r="K13" s="240" t="s">
        <v>9</v>
      </c>
      <c r="L13" s="240" t="s">
        <v>10</v>
      </c>
      <c r="M13" s="240" t="s">
        <v>11</v>
      </c>
      <c r="N13" s="240" t="s">
        <v>12</v>
      </c>
      <c r="O13" s="240" t="s">
        <v>13</v>
      </c>
      <c r="P13" s="240" t="s">
        <v>14</v>
      </c>
    </row>
    <row r="14" spans="2:46" s="239" customFormat="1" ht="24" customHeight="1">
      <c r="B14" s="290" t="s">
        <v>619</v>
      </c>
      <c r="C14" s="291"/>
      <c r="D14" s="292" t="s">
        <v>329</v>
      </c>
      <c r="E14" s="293"/>
      <c r="F14" s="327"/>
      <c r="G14" s="327"/>
      <c r="H14" s="328"/>
      <c r="I14" s="241"/>
      <c r="J14" s="241"/>
      <c r="K14" s="241"/>
      <c r="L14" s="241"/>
      <c r="M14" s="241"/>
      <c r="N14" s="241"/>
      <c r="O14" s="241"/>
      <c r="P14" s="241"/>
      <c r="Q14" s="241"/>
      <c r="R14" s="295" t="str">
        <f>IF(C14="","",VLOOKUP(C14,#REF!,5,FALSE))</f>
        <v/>
      </c>
      <c r="S14" s="241"/>
      <c r="T14" s="339"/>
      <c r="U14" s="241" t="s">
        <v>650</v>
      </c>
      <c r="V14" s="241" t="s">
        <v>651</v>
      </c>
      <c r="W14" s="241" t="s">
        <v>652</v>
      </c>
      <c r="X14" s="241" t="s">
        <v>653</v>
      </c>
      <c r="Y14" s="241" t="s">
        <v>654</v>
      </c>
      <c r="Z14" s="241" t="s">
        <v>655</v>
      </c>
      <c r="AA14" s="241" t="s">
        <v>656</v>
      </c>
      <c r="AB14" s="241"/>
      <c r="AC14" s="241"/>
      <c r="AD14" s="241"/>
      <c r="AE14" s="241"/>
      <c r="AF14" s="241"/>
      <c r="AG14" s="241"/>
      <c r="AH14" s="241"/>
      <c r="AI14" s="241"/>
      <c r="AJ14" s="241"/>
      <c r="AK14" s="241"/>
      <c r="AL14" s="241"/>
      <c r="AM14" s="241"/>
      <c r="AN14" s="241"/>
      <c r="AO14" s="241"/>
      <c r="AP14" s="241"/>
      <c r="AQ14" s="241"/>
      <c r="AR14" s="241"/>
      <c r="AS14" s="241"/>
      <c r="AT14" s="241"/>
    </row>
    <row r="15" spans="2:46" s="239" customFormat="1" ht="24" customHeight="1">
      <c r="B15" s="290" t="s">
        <v>316</v>
      </c>
      <c r="C15" s="291"/>
      <c r="D15" s="292" t="s">
        <v>292</v>
      </c>
      <c r="E15" s="293"/>
      <c r="F15" s="327"/>
      <c r="G15" s="327"/>
      <c r="H15" s="328"/>
      <c r="I15" s="241"/>
      <c r="J15" s="241"/>
      <c r="K15" s="241"/>
      <c r="L15" s="241"/>
      <c r="M15" s="241"/>
      <c r="N15" s="241"/>
      <c r="O15" s="241"/>
      <c r="P15" s="241"/>
      <c r="Q15" s="241"/>
      <c r="R15" s="295"/>
      <c r="S15" s="241"/>
      <c r="T15" s="339"/>
      <c r="U15" s="241"/>
      <c r="V15" s="241"/>
      <c r="W15" s="241"/>
      <c r="X15" s="241"/>
      <c r="Y15" s="241"/>
      <c r="Z15" s="241"/>
      <c r="AA15" s="241"/>
      <c r="AB15" s="241"/>
      <c r="AC15" s="241"/>
      <c r="AD15" s="241"/>
      <c r="AE15" s="241"/>
      <c r="AF15" s="241"/>
      <c r="AG15" s="241"/>
      <c r="AH15" s="241"/>
      <c r="AI15" s="241"/>
      <c r="AJ15" s="241"/>
      <c r="AK15" s="241"/>
      <c r="AL15" s="241"/>
      <c r="AM15" s="241"/>
      <c r="AN15" s="241"/>
      <c r="AO15" s="241"/>
      <c r="AP15" s="241"/>
      <c r="AQ15" s="241"/>
      <c r="AR15" s="241"/>
      <c r="AS15" s="241"/>
      <c r="AT15" s="241"/>
    </row>
    <row r="16" spans="2:46" s="239" customFormat="1" ht="24" customHeight="1">
      <c r="B16" s="296" t="s">
        <v>331</v>
      </c>
      <c r="C16" s="297">
        <v>1</v>
      </c>
      <c r="D16" s="342" t="s">
        <v>857</v>
      </c>
      <c r="E16" s="293" t="s">
        <v>860</v>
      </c>
      <c r="F16" s="327">
        <v>1</v>
      </c>
      <c r="G16" s="327" t="e">
        <f>ROUND(R16,2)</f>
        <v>#REF!</v>
      </c>
      <c r="H16" s="328" t="e">
        <f t="shared" ref="H16:H43" si="0">ROUND(F16*G16,2)</f>
        <v>#REF!</v>
      </c>
      <c r="I16" s="241" t="e">
        <f>H16</f>
        <v>#REF!</v>
      </c>
      <c r="J16" s="241">
        <f t="shared" ref="J16:O17" si="1">V16</f>
        <v>0</v>
      </c>
      <c r="K16" s="241">
        <f t="shared" si="1"/>
        <v>0</v>
      </c>
      <c r="L16" s="241">
        <f t="shared" si="1"/>
        <v>0</v>
      </c>
      <c r="M16" s="241">
        <f t="shared" si="1"/>
        <v>0</v>
      </c>
      <c r="N16" s="241">
        <f t="shared" si="1"/>
        <v>0</v>
      </c>
      <c r="O16" s="241">
        <f t="shared" si="1"/>
        <v>0</v>
      </c>
      <c r="P16" s="241" t="e">
        <f t="shared" ref="P16:P43" si="2">SUM(I16:O16)</f>
        <v>#REF!</v>
      </c>
      <c r="Q16" s="241" t="e">
        <f>H16-P16</f>
        <v>#REF!</v>
      </c>
      <c r="R16" s="295" t="e">
        <f>IF(C16="","",VLOOKUP(C16,#REF!,5,FALSE))</f>
        <v>#REF!</v>
      </c>
      <c r="S16" s="241"/>
      <c r="T16" s="339"/>
      <c r="U16" s="241" t="e">
        <f>H16</f>
        <v>#REF!</v>
      </c>
      <c r="V16" s="241"/>
      <c r="W16" s="241"/>
      <c r="X16" s="241"/>
      <c r="Y16" s="241"/>
      <c r="Z16" s="241"/>
      <c r="AA16" s="241"/>
      <c r="AB16" s="241"/>
      <c r="AC16" s="241"/>
      <c r="AD16" s="241"/>
      <c r="AE16" s="241"/>
      <c r="AF16" s="241"/>
      <c r="AG16" s="241"/>
      <c r="AH16" s="241"/>
      <c r="AI16" s="241"/>
      <c r="AJ16" s="241"/>
      <c r="AK16" s="241"/>
      <c r="AL16" s="241"/>
      <c r="AM16" s="241"/>
      <c r="AN16" s="241"/>
      <c r="AO16" s="241"/>
      <c r="AP16" s="241"/>
      <c r="AQ16" s="241"/>
      <c r="AR16" s="241"/>
      <c r="AS16" s="241"/>
      <c r="AT16" s="241"/>
    </row>
    <row r="17" spans="2:46" s="239" customFormat="1" ht="24" customHeight="1">
      <c r="B17" s="296" t="s">
        <v>332</v>
      </c>
      <c r="C17" s="297">
        <v>2</v>
      </c>
      <c r="D17" s="342" t="s">
        <v>858</v>
      </c>
      <c r="E17" s="293" t="s">
        <v>860</v>
      </c>
      <c r="F17" s="327">
        <v>1</v>
      </c>
      <c r="G17" s="327" t="e">
        <f>ROUND(R17,2)</f>
        <v>#REF!</v>
      </c>
      <c r="H17" s="328" t="e">
        <f t="shared" si="0"/>
        <v>#REF!</v>
      </c>
      <c r="I17" s="241" t="e">
        <f>H17</f>
        <v>#REF!</v>
      </c>
      <c r="J17" s="241">
        <f t="shared" si="1"/>
        <v>0</v>
      </c>
      <c r="K17" s="241">
        <f t="shared" si="1"/>
        <v>0</v>
      </c>
      <c r="L17" s="241">
        <f t="shared" si="1"/>
        <v>0</v>
      </c>
      <c r="M17" s="241">
        <f t="shared" si="1"/>
        <v>0</v>
      </c>
      <c r="N17" s="241">
        <f t="shared" si="1"/>
        <v>0</v>
      </c>
      <c r="O17" s="241">
        <f t="shared" si="1"/>
        <v>0</v>
      </c>
      <c r="P17" s="241" t="e">
        <f t="shared" si="2"/>
        <v>#REF!</v>
      </c>
      <c r="Q17" s="241" t="e">
        <f t="shared" ref="Q17:Q43" si="3">H17-P17</f>
        <v>#REF!</v>
      </c>
      <c r="R17" s="295" t="e">
        <f>IF(C17="","",VLOOKUP(C17,#REF!,5,FALSE))</f>
        <v>#REF!</v>
      </c>
      <c r="S17" s="241"/>
      <c r="T17" s="339"/>
      <c r="U17" s="241" t="e">
        <f>H17</f>
        <v>#REF!</v>
      </c>
      <c r="V17" s="241"/>
      <c r="W17" s="241"/>
      <c r="X17" s="241"/>
      <c r="Y17" s="241"/>
      <c r="Z17" s="241"/>
      <c r="AA17" s="241"/>
      <c r="AB17" s="241"/>
      <c r="AC17" s="241"/>
      <c r="AD17" s="241"/>
      <c r="AE17" s="241"/>
      <c r="AF17" s="241"/>
      <c r="AG17" s="241"/>
      <c r="AH17" s="241"/>
      <c r="AI17" s="241"/>
      <c r="AJ17" s="241"/>
      <c r="AK17" s="241"/>
      <c r="AL17" s="241"/>
      <c r="AM17" s="241"/>
      <c r="AN17" s="241"/>
      <c r="AO17" s="241"/>
      <c r="AP17" s="241"/>
      <c r="AQ17" s="241"/>
      <c r="AR17" s="241"/>
      <c r="AS17" s="241"/>
      <c r="AT17" s="241"/>
    </row>
    <row r="18" spans="2:46" s="239" customFormat="1" ht="24" customHeight="1">
      <c r="B18" s="296" t="s">
        <v>333</v>
      </c>
      <c r="C18" s="297">
        <v>3</v>
      </c>
      <c r="D18" s="342" t="s">
        <v>859</v>
      </c>
      <c r="E18" s="293" t="s">
        <v>803</v>
      </c>
      <c r="F18" s="327">
        <v>30</v>
      </c>
      <c r="G18" s="327" t="e">
        <f>ROUND(R18,2)</f>
        <v>#REF!</v>
      </c>
      <c r="H18" s="328" t="e">
        <f t="shared" si="0"/>
        <v>#REF!</v>
      </c>
      <c r="I18" s="241">
        <f t="shared" ref="I18:I23" si="4">U18</f>
        <v>0</v>
      </c>
      <c r="J18" s="241" t="e">
        <f>H18</f>
        <v>#REF!</v>
      </c>
      <c r="K18" s="241">
        <f>W18</f>
        <v>0</v>
      </c>
      <c r="L18" s="241">
        <f>X18</f>
        <v>0</v>
      </c>
      <c r="M18" s="241">
        <f>Y18</f>
        <v>0</v>
      </c>
      <c r="N18" s="241">
        <f>Z18</f>
        <v>0</v>
      </c>
      <c r="O18" s="241">
        <f>AA18</f>
        <v>0</v>
      </c>
      <c r="P18" s="241" t="e">
        <f t="shared" si="2"/>
        <v>#REF!</v>
      </c>
      <c r="Q18" s="241" t="e">
        <f t="shared" si="3"/>
        <v>#REF!</v>
      </c>
      <c r="R18" s="295" t="e">
        <f>IF(C18="","",VLOOKUP(C18,#REF!,5,FALSE))</f>
        <v>#REF!</v>
      </c>
      <c r="S18" s="241"/>
      <c r="T18" s="339"/>
      <c r="U18" s="241"/>
      <c r="V18" s="241" t="e">
        <f>H18</f>
        <v>#REF!</v>
      </c>
      <c r="W18" s="241"/>
      <c r="X18" s="241"/>
      <c r="Y18" s="241"/>
      <c r="Z18" s="241"/>
      <c r="AA18" s="241"/>
      <c r="AB18" s="241"/>
      <c r="AC18" s="241"/>
      <c r="AD18" s="241"/>
      <c r="AE18" s="241"/>
      <c r="AF18" s="241"/>
      <c r="AG18" s="241"/>
      <c r="AH18" s="241"/>
      <c r="AI18" s="241"/>
      <c r="AJ18" s="241"/>
      <c r="AK18" s="241"/>
      <c r="AL18" s="241"/>
      <c r="AM18" s="241"/>
      <c r="AN18" s="241"/>
      <c r="AO18" s="241"/>
      <c r="AP18" s="241"/>
      <c r="AQ18" s="241"/>
      <c r="AR18" s="241"/>
      <c r="AS18" s="241"/>
      <c r="AT18" s="241"/>
    </row>
    <row r="19" spans="2:46" s="239" customFormat="1" ht="24" customHeight="1">
      <c r="B19" s="296" t="s">
        <v>334</v>
      </c>
      <c r="C19" s="297">
        <v>4</v>
      </c>
      <c r="D19" s="342" t="s">
        <v>605</v>
      </c>
      <c r="E19" s="293" t="s">
        <v>803</v>
      </c>
      <c r="F19" s="327">
        <v>9</v>
      </c>
      <c r="G19" s="327" t="e">
        <f>ROUND(R19,2)</f>
        <v>#REF!</v>
      </c>
      <c r="H19" s="328" t="e">
        <f t="shared" si="0"/>
        <v>#REF!</v>
      </c>
      <c r="I19" s="241">
        <f t="shared" si="4"/>
        <v>0</v>
      </c>
      <c r="J19" s="241" t="e">
        <f t="shared" ref="J19:N23" si="5">V19</f>
        <v>#REF!</v>
      </c>
      <c r="K19" s="241">
        <f t="shared" si="5"/>
        <v>0</v>
      </c>
      <c r="L19" s="241">
        <f t="shared" si="5"/>
        <v>0</v>
      </c>
      <c r="M19" s="241">
        <f t="shared" si="5"/>
        <v>0</v>
      </c>
      <c r="N19" s="241">
        <f t="shared" si="5"/>
        <v>0</v>
      </c>
      <c r="O19" s="241">
        <f t="shared" ref="O19:O30" si="6">AA19</f>
        <v>0</v>
      </c>
      <c r="P19" s="241" t="e">
        <f t="shared" si="2"/>
        <v>#REF!</v>
      </c>
      <c r="Q19" s="241" t="e">
        <f t="shared" si="3"/>
        <v>#REF!</v>
      </c>
      <c r="R19" s="295" t="e">
        <f>IF(C19="","",VLOOKUP(C19,#REF!,5,FALSE))</f>
        <v>#REF!</v>
      </c>
      <c r="S19" s="241"/>
      <c r="T19" s="339"/>
      <c r="U19" s="241"/>
      <c r="V19" s="241" t="e">
        <f>H19</f>
        <v>#REF!</v>
      </c>
      <c r="W19" s="241"/>
      <c r="X19" s="241"/>
      <c r="Y19" s="241"/>
      <c r="Z19" s="241"/>
      <c r="AA19" s="241"/>
      <c r="AB19" s="241"/>
      <c r="AC19" s="241"/>
      <c r="AD19" s="241"/>
      <c r="AE19" s="241"/>
      <c r="AF19" s="241"/>
      <c r="AG19" s="241"/>
      <c r="AH19" s="241"/>
      <c r="AI19" s="241"/>
      <c r="AJ19" s="241"/>
      <c r="AK19" s="241"/>
      <c r="AL19" s="241"/>
      <c r="AM19" s="241"/>
      <c r="AN19" s="241"/>
      <c r="AO19" s="241"/>
      <c r="AP19" s="241"/>
      <c r="AQ19" s="241"/>
      <c r="AR19" s="241"/>
      <c r="AS19" s="241"/>
      <c r="AT19" s="241"/>
    </row>
    <row r="20" spans="2:46" ht="24" customHeight="1">
      <c r="B20" s="290" t="s">
        <v>317</v>
      </c>
      <c r="C20" s="291"/>
      <c r="D20" s="292" t="s">
        <v>891</v>
      </c>
      <c r="E20" s="293"/>
      <c r="F20" s="327"/>
      <c r="G20" s="327"/>
      <c r="H20" s="328"/>
      <c r="I20" s="241">
        <f t="shared" si="4"/>
        <v>0</v>
      </c>
      <c r="J20" s="241">
        <f t="shared" si="5"/>
        <v>0</v>
      </c>
      <c r="K20" s="241">
        <f t="shared" si="5"/>
        <v>0</v>
      </c>
      <c r="L20" s="241">
        <f t="shared" si="5"/>
        <v>0</v>
      </c>
      <c r="M20" s="241">
        <f t="shared" si="5"/>
        <v>0</v>
      </c>
      <c r="N20" s="241">
        <f t="shared" si="5"/>
        <v>0</v>
      </c>
      <c r="O20" s="241">
        <f t="shared" si="6"/>
        <v>0</v>
      </c>
      <c r="P20" s="241">
        <f t="shared" si="2"/>
        <v>0</v>
      </c>
      <c r="Q20" s="241">
        <f t="shared" si="3"/>
        <v>0</v>
      </c>
      <c r="R20" s="295" t="str">
        <f>IF(C20="","",VLOOKUP(C20,#REF!,5,FALSE))</f>
        <v/>
      </c>
    </row>
    <row r="21" spans="2:46" ht="24" customHeight="1">
      <c r="B21" s="290" t="s">
        <v>335</v>
      </c>
      <c r="C21" s="291"/>
      <c r="D21" s="292" t="s">
        <v>812</v>
      </c>
      <c r="E21" s="293"/>
      <c r="F21" s="327"/>
      <c r="G21" s="327"/>
      <c r="H21" s="328"/>
      <c r="I21" s="241">
        <f t="shared" si="4"/>
        <v>0</v>
      </c>
      <c r="J21" s="241">
        <f t="shared" si="5"/>
        <v>0</v>
      </c>
      <c r="K21" s="241">
        <f t="shared" si="5"/>
        <v>0</v>
      </c>
      <c r="L21" s="241">
        <f t="shared" si="5"/>
        <v>0</v>
      </c>
      <c r="M21" s="241">
        <f t="shared" si="5"/>
        <v>0</v>
      </c>
      <c r="N21" s="241">
        <f t="shared" si="5"/>
        <v>0</v>
      </c>
      <c r="O21" s="241">
        <f t="shared" si="6"/>
        <v>0</v>
      </c>
      <c r="P21" s="241">
        <f t="shared" si="2"/>
        <v>0</v>
      </c>
      <c r="Q21" s="241">
        <f t="shared" si="3"/>
        <v>0</v>
      </c>
      <c r="R21" s="295" t="str">
        <f>IF(C21="","",VLOOKUP(C21,#REF!,5,FALSE))</f>
        <v/>
      </c>
    </row>
    <row r="22" spans="2:46" ht="24" customHeight="1">
      <c r="B22" s="296" t="s">
        <v>336</v>
      </c>
      <c r="C22" s="297">
        <v>5</v>
      </c>
      <c r="D22" s="342" t="s">
        <v>892</v>
      </c>
      <c r="E22" s="294" t="s">
        <v>803</v>
      </c>
      <c r="F22" s="327">
        <v>150</v>
      </c>
      <c r="G22" s="327" t="e">
        <f>ROUND(R22,2)</f>
        <v>#REF!</v>
      </c>
      <c r="H22" s="328" t="e">
        <f t="shared" si="0"/>
        <v>#REF!</v>
      </c>
      <c r="I22" s="241" t="e">
        <f t="shared" si="4"/>
        <v>#REF!</v>
      </c>
      <c r="J22" s="241">
        <f t="shared" si="5"/>
        <v>0</v>
      </c>
      <c r="K22" s="241">
        <f t="shared" si="5"/>
        <v>0</v>
      </c>
      <c r="L22" s="241">
        <f t="shared" si="5"/>
        <v>0</v>
      </c>
      <c r="M22" s="241">
        <f t="shared" si="5"/>
        <v>0</v>
      </c>
      <c r="N22" s="241">
        <f t="shared" si="5"/>
        <v>0</v>
      </c>
      <c r="O22" s="241">
        <f t="shared" si="6"/>
        <v>0</v>
      </c>
      <c r="P22" s="241" t="e">
        <f t="shared" si="2"/>
        <v>#REF!</v>
      </c>
      <c r="Q22" s="241" t="e">
        <f t="shared" si="3"/>
        <v>#REF!</v>
      </c>
      <c r="R22" s="295" t="e">
        <f>IF(C22="","",VLOOKUP(C22,#REF!,5,FALSE))</f>
        <v>#REF!</v>
      </c>
      <c r="U22" s="240" t="e">
        <f>H22</f>
        <v>#REF!</v>
      </c>
    </row>
    <row r="23" spans="2:46" ht="24" customHeight="1">
      <c r="B23" s="296" t="s">
        <v>337</v>
      </c>
      <c r="C23" s="297">
        <v>6</v>
      </c>
      <c r="D23" s="342" t="s">
        <v>890</v>
      </c>
      <c r="E23" s="294" t="s">
        <v>803</v>
      </c>
      <c r="F23" s="327">
        <v>19.399999999999999</v>
      </c>
      <c r="G23" s="327" t="e">
        <f>ROUND(R23,2)</f>
        <v>#REF!</v>
      </c>
      <c r="H23" s="328" t="e">
        <f t="shared" si="0"/>
        <v>#REF!</v>
      </c>
      <c r="I23" s="241" t="e">
        <f t="shared" si="4"/>
        <v>#REF!</v>
      </c>
      <c r="J23" s="241">
        <f t="shared" si="5"/>
        <v>0</v>
      </c>
      <c r="K23" s="241">
        <f t="shared" si="5"/>
        <v>0</v>
      </c>
      <c r="L23" s="241">
        <f t="shared" si="5"/>
        <v>0</v>
      </c>
      <c r="M23" s="241">
        <f t="shared" si="5"/>
        <v>0</v>
      </c>
      <c r="N23" s="241">
        <f t="shared" si="5"/>
        <v>0</v>
      </c>
      <c r="O23" s="241">
        <f t="shared" si="6"/>
        <v>0</v>
      </c>
      <c r="P23" s="241" t="e">
        <f t="shared" si="2"/>
        <v>#REF!</v>
      </c>
      <c r="Q23" s="241" t="e">
        <f t="shared" si="3"/>
        <v>#REF!</v>
      </c>
      <c r="R23" s="295" t="e">
        <f>IF(C23="","",VLOOKUP(C23,#REF!,5,FALSE))</f>
        <v>#REF!</v>
      </c>
      <c r="U23" s="240" t="e">
        <f>H23</f>
        <v>#REF!</v>
      </c>
    </row>
    <row r="24" spans="2:46" ht="24" customHeight="1">
      <c r="B24" s="299" t="s">
        <v>338</v>
      </c>
      <c r="C24" s="300"/>
      <c r="D24" s="292" t="s">
        <v>261</v>
      </c>
      <c r="E24" s="302"/>
      <c r="F24" s="329"/>
      <c r="G24" s="327"/>
      <c r="H24" s="328"/>
      <c r="I24" s="241">
        <f t="shared" ref="I24:I30" si="7">U24</f>
        <v>0</v>
      </c>
      <c r="J24" s="241">
        <f t="shared" ref="J24:J30" si="8">V24</f>
        <v>0</v>
      </c>
      <c r="K24" s="241">
        <f>W24</f>
        <v>0</v>
      </c>
      <c r="L24" s="241">
        <f t="shared" ref="L24:L30" si="9">X24</f>
        <v>0</v>
      </c>
      <c r="M24" s="241">
        <f t="shared" ref="M24:M30" si="10">Y24</f>
        <v>0</v>
      </c>
      <c r="N24" s="241">
        <f t="shared" ref="N24:N30" si="11">Z24</f>
        <v>0</v>
      </c>
      <c r="O24" s="241">
        <f t="shared" si="6"/>
        <v>0</v>
      </c>
      <c r="P24" s="241">
        <f t="shared" si="2"/>
        <v>0</v>
      </c>
      <c r="Q24" s="241">
        <f t="shared" si="3"/>
        <v>0</v>
      </c>
      <c r="R24" s="295" t="str">
        <f>IF(C24="","",VLOOKUP(C24,#REF!,5,FALSE))</f>
        <v/>
      </c>
    </row>
    <row r="25" spans="2:46" ht="24" customHeight="1">
      <c r="B25" s="301" t="s">
        <v>339</v>
      </c>
      <c r="C25" s="294">
        <v>7</v>
      </c>
      <c r="D25" s="342" t="s">
        <v>893</v>
      </c>
      <c r="E25" s="294" t="s">
        <v>802</v>
      </c>
      <c r="F25" s="327">
        <v>1.55</v>
      </c>
      <c r="G25" s="327" t="e">
        <f t="shared" ref="G25:G30" si="12">ROUND(R25,2)</f>
        <v>#REF!</v>
      </c>
      <c r="H25" s="328" t="e">
        <f t="shared" si="0"/>
        <v>#REF!</v>
      </c>
      <c r="I25" s="241" t="e">
        <f t="shared" si="7"/>
        <v>#REF!</v>
      </c>
      <c r="J25" s="241">
        <f t="shared" si="8"/>
        <v>0</v>
      </c>
      <c r="K25" s="241"/>
      <c r="L25" s="241">
        <f t="shared" si="9"/>
        <v>0</v>
      </c>
      <c r="M25" s="241">
        <f t="shared" si="10"/>
        <v>0</v>
      </c>
      <c r="N25" s="241">
        <f t="shared" si="11"/>
        <v>0</v>
      </c>
      <c r="O25" s="241">
        <f t="shared" si="6"/>
        <v>0</v>
      </c>
      <c r="P25" s="241" t="e">
        <f t="shared" si="2"/>
        <v>#REF!</v>
      </c>
      <c r="Q25" s="241" t="e">
        <f t="shared" si="3"/>
        <v>#REF!</v>
      </c>
      <c r="R25" s="295" t="e">
        <f>IF(C25="","",VLOOKUP(C25,#REF!,5,FALSE))</f>
        <v>#REF!</v>
      </c>
      <c r="U25" s="240" t="e">
        <f t="shared" ref="U25:U30" si="13">H25</f>
        <v>#REF!</v>
      </c>
    </row>
    <row r="26" spans="2:46" ht="24" customHeight="1">
      <c r="B26" s="301" t="s">
        <v>340</v>
      </c>
      <c r="C26" s="294">
        <v>8</v>
      </c>
      <c r="D26" s="342" t="s">
        <v>894</v>
      </c>
      <c r="E26" s="294" t="s">
        <v>802</v>
      </c>
      <c r="F26" s="327">
        <v>0.75</v>
      </c>
      <c r="G26" s="327" t="e">
        <f t="shared" si="12"/>
        <v>#REF!</v>
      </c>
      <c r="H26" s="328" t="e">
        <f t="shared" si="0"/>
        <v>#REF!</v>
      </c>
      <c r="I26" s="241" t="e">
        <f t="shared" si="7"/>
        <v>#REF!</v>
      </c>
      <c r="J26" s="241">
        <f t="shared" si="8"/>
        <v>0</v>
      </c>
      <c r="K26" s="241">
        <f>W26</f>
        <v>0</v>
      </c>
      <c r="L26" s="241">
        <f t="shared" si="9"/>
        <v>0</v>
      </c>
      <c r="M26" s="241">
        <f t="shared" si="10"/>
        <v>0</v>
      </c>
      <c r="N26" s="241">
        <f t="shared" si="11"/>
        <v>0</v>
      </c>
      <c r="O26" s="241">
        <f t="shared" si="6"/>
        <v>0</v>
      </c>
      <c r="P26" s="241" t="e">
        <f t="shared" si="2"/>
        <v>#REF!</v>
      </c>
      <c r="Q26" s="241" t="e">
        <f t="shared" si="3"/>
        <v>#REF!</v>
      </c>
      <c r="R26" s="295" t="e">
        <f>IF(C26="","",VLOOKUP(C26,#REF!,5,FALSE))</f>
        <v>#REF!</v>
      </c>
      <c r="U26" s="240" t="e">
        <f t="shared" si="13"/>
        <v>#REF!</v>
      </c>
    </row>
    <row r="27" spans="2:46" ht="24" customHeight="1">
      <c r="B27" s="301" t="s">
        <v>341</v>
      </c>
      <c r="C27" s="294">
        <v>9</v>
      </c>
      <c r="D27" s="342" t="s">
        <v>123</v>
      </c>
      <c r="E27" s="294" t="s">
        <v>802</v>
      </c>
      <c r="F27" s="327">
        <v>0.8</v>
      </c>
      <c r="G27" s="327" t="e">
        <f t="shared" si="12"/>
        <v>#REF!</v>
      </c>
      <c r="H27" s="328" t="e">
        <f t="shared" si="0"/>
        <v>#REF!</v>
      </c>
      <c r="I27" s="241" t="e">
        <f t="shared" si="7"/>
        <v>#REF!</v>
      </c>
      <c r="J27" s="241">
        <f t="shared" si="8"/>
        <v>0</v>
      </c>
      <c r="K27" s="241">
        <f>W27</f>
        <v>0</v>
      </c>
      <c r="L27" s="241">
        <f t="shared" si="9"/>
        <v>0</v>
      </c>
      <c r="M27" s="241">
        <f t="shared" si="10"/>
        <v>0</v>
      </c>
      <c r="N27" s="241">
        <f t="shared" si="11"/>
        <v>0</v>
      </c>
      <c r="O27" s="241">
        <f t="shared" si="6"/>
        <v>0</v>
      </c>
      <c r="P27" s="241" t="e">
        <f t="shared" si="2"/>
        <v>#REF!</v>
      </c>
      <c r="Q27" s="241" t="e">
        <f t="shared" si="3"/>
        <v>#REF!</v>
      </c>
      <c r="R27" s="295" t="e">
        <f>IF(C27="","",VLOOKUP(C27,#REF!,5,FALSE))</f>
        <v>#REF!</v>
      </c>
      <c r="U27" s="240" t="e">
        <f t="shared" si="13"/>
        <v>#REF!</v>
      </c>
    </row>
    <row r="28" spans="2:46" ht="24" customHeight="1">
      <c r="B28" s="301" t="s">
        <v>342</v>
      </c>
      <c r="C28" s="294">
        <v>10</v>
      </c>
      <c r="D28" s="342" t="s">
        <v>895</v>
      </c>
      <c r="E28" s="294" t="s">
        <v>802</v>
      </c>
      <c r="F28" s="327">
        <v>42.5</v>
      </c>
      <c r="G28" s="327" t="e">
        <f t="shared" si="12"/>
        <v>#REF!</v>
      </c>
      <c r="H28" s="328" t="e">
        <f t="shared" si="0"/>
        <v>#REF!</v>
      </c>
      <c r="I28" s="241" t="e">
        <f t="shared" si="7"/>
        <v>#REF!</v>
      </c>
      <c r="J28" s="241">
        <f t="shared" si="8"/>
        <v>0</v>
      </c>
      <c r="K28" s="241">
        <f>W28</f>
        <v>0</v>
      </c>
      <c r="L28" s="241">
        <f t="shared" si="9"/>
        <v>0</v>
      </c>
      <c r="M28" s="241">
        <f t="shared" si="10"/>
        <v>0</v>
      </c>
      <c r="N28" s="241">
        <f t="shared" si="11"/>
        <v>0</v>
      </c>
      <c r="O28" s="241">
        <f t="shared" si="6"/>
        <v>0</v>
      </c>
      <c r="P28" s="241" t="e">
        <f t="shared" si="2"/>
        <v>#REF!</v>
      </c>
      <c r="Q28" s="241" t="e">
        <f t="shared" si="3"/>
        <v>#REF!</v>
      </c>
      <c r="R28" s="295" t="e">
        <f>IF(C28="","",VLOOKUP(C28,#REF!,5,FALSE))</f>
        <v>#REF!</v>
      </c>
      <c r="U28" s="240" t="e">
        <f t="shared" si="13"/>
        <v>#REF!</v>
      </c>
    </row>
    <row r="29" spans="2:46" ht="24" customHeight="1">
      <c r="B29" s="301" t="s">
        <v>343</v>
      </c>
      <c r="C29" s="294">
        <v>11</v>
      </c>
      <c r="D29" s="342" t="s">
        <v>820</v>
      </c>
      <c r="E29" s="294" t="s">
        <v>896</v>
      </c>
      <c r="F29" s="327">
        <v>130.55000000000001</v>
      </c>
      <c r="G29" s="327" t="e">
        <f t="shared" si="12"/>
        <v>#REF!</v>
      </c>
      <c r="H29" s="328" t="e">
        <f t="shared" si="0"/>
        <v>#REF!</v>
      </c>
      <c r="I29" s="241" t="e">
        <f t="shared" si="7"/>
        <v>#REF!</v>
      </c>
      <c r="J29" s="241">
        <f t="shared" si="8"/>
        <v>0</v>
      </c>
      <c r="K29" s="241">
        <f>W29</f>
        <v>0</v>
      </c>
      <c r="L29" s="241">
        <f t="shared" si="9"/>
        <v>0</v>
      </c>
      <c r="M29" s="241">
        <f t="shared" si="10"/>
        <v>0</v>
      </c>
      <c r="N29" s="241">
        <f t="shared" si="11"/>
        <v>0</v>
      </c>
      <c r="O29" s="241">
        <f t="shared" si="6"/>
        <v>0</v>
      </c>
      <c r="P29" s="241" t="e">
        <f t="shared" si="2"/>
        <v>#REF!</v>
      </c>
      <c r="Q29" s="241" t="e">
        <f t="shared" si="3"/>
        <v>#REF!</v>
      </c>
      <c r="R29" s="295" t="e">
        <f>IF(C29="","",VLOOKUP(C29,#REF!,5,FALSE))</f>
        <v>#REF!</v>
      </c>
      <c r="U29" s="240" t="e">
        <f t="shared" si="13"/>
        <v>#REF!</v>
      </c>
    </row>
    <row r="30" spans="2:46" ht="24" customHeight="1">
      <c r="B30" s="301" t="s">
        <v>344</v>
      </c>
      <c r="C30" s="294">
        <v>12</v>
      </c>
      <c r="D30" s="342" t="s">
        <v>865</v>
      </c>
      <c r="E30" s="302" t="s">
        <v>802</v>
      </c>
      <c r="F30" s="329">
        <v>43.5</v>
      </c>
      <c r="G30" s="327" t="e">
        <f t="shared" si="12"/>
        <v>#REF!</v>
      </c>
      <c r="H30" s="328" t="e">
        <f t="shared" si="0"/>
        <v>#REF!</v>
      </c>
      <c r="I30" s="241" t="e">
        <f t="shared" si="7"/>
        <v>#REF!</v>
      </c>
      <c r="J30" s="241">
        <f t="shared" si="8"/>
        <v>0</v>
      </c>
      <c r="K30" s="241">
        <f>W30</f>
        <v>0</v>
      </c>
      <c r="L30" s="241">
        <f t="shared" si="9"/>
        <v>0</v>
      </c>
      <c r="M30" s="241">
        <f t="shared" si="10"/>
        <v>0</v>
      </c>
      <c r="N30" s="241">
        <f t="shared" si="11"/>
        <v>0</v>
      </c>
      <c r="O30" s="241">
        <f t="shared" si="6"/>
        <v>0</v>
      </c>
      <c r="P30" s="241" t="e">
        <f t="shared" si="2"/>
        <v>#REF!</v>
      </c>
      <c r="Q30" s="241" t="e">
        <f t="shared" si="3"/>
        <v>#REF!</v>
      </c>
      <c r="R30" s="295" t="e">
        <f>IF(C30="","",VLOOKUP(C30,#REF!,5,FALSE))</f>
        <v>#REF!</v>
      </c>
      <c r="U30" s="240" t="e">
        <f t="shared" si="13"/>
        <v>#REF!</v>
      </c>
    </row>
    <row r="31" spans="2:46" ht="24" customHeight="1">
      <c r="B31" s="299" t="s">
        <v>345</v>
      </c>
      <c r="C31" s="300"/>
      <c r="D31" s="292" t="s">
        <v>801</v>
      </c>
      <c r="E31" s="294"/>
      <c r="F31" s="330"/>
      <c r="G31" s="327"/>
      <c r="H31" s="328"/>
      <c r="I31" s="241">
        <f t="shared" ref="I31:O31" si="14">U31</f>
        <v>0</v>
      </c>
      <c r="J31" s="241">
        <f t="shared" si="14"/>
        <v>0</v>
      </c>
      <c r="K31" s="241">
        <f t="shared" si="14"/>
        <v>0</v>
      </c>
      <c r="L31" s="241">
        <f t="shared" si="14"/>
        <v>0</v>
      </c>
      <c r="M31" s="241">
        <f t="shared" si="14"/>
        <v>0</v>
      </c>
      <c r="N31" s="241">
        <f t="shared" si="14"/>
        <v>0</v>
      </c>
      <c r="O31" s="241">
        <f t="shared" si="14"/>
        <v>0</v>
      </c>
      <c r="P31" s="241">
        <f t="shared" si="2"/>
        <v>0</v>
      </c>
      <c r="Q31" s="241">
        <f t="shared" si="3"/>
        <v>0</v>
      </c>
      <c r="R31" s="295" t="str">
        <f>IF(C31="","",VLOOKUP(C31,#REF!,5,FALSE))</f>
        <v/>
      </c>
    </row>
    <row r="32" spans="2:46" ht="24" customHeight="1">
      <c r="B32" s="301" t="s">
        <v>346</v>
      </c>
      <c r="C32" s="294">
        <v>13</v>
      </c>
      <c r="D32" s="342" t="s">
        <v>897</v>
      </c>
      <c r="E32" s="294" t="s">
        <v>802</v>
      </c>
      <c r="F32" s="330">
        <v>0.6</v>
      </c>
      <c r="G32" s="327" t="e">
        <f t="shared" ref="G32:G37" si="15">ROUND(R32,2)</f>
        <v>#REF!</v>
      </c>
      <c r="H32" s="328" t="e">
        <f t="shared" si="0"/>
        <v>#REF!</v>
      </c>
      <c r="I32" s="241" t="e">
        <f>U32</f>
        <v>#REF!</v>
      </c>
      <c r="J32" s="241"/>
      <c r="K32" s="241">
        <f t="shared" ref="K32:O34" si="16">W32</f>
        <v>0</v>
      </c>
      <c r="L32" s="241">
        <f t="shared" si="16"/>
        <v>0</v>
      </c>
      <c r="M32" s="241">
        <f t="shared" si="16"/>
        <v>0</v>
      </c>
      <c r="N32" s="241">
        <f t="shared" si="16"/>
        <v>0</v>
      </c>
      <c r="O32" s="241">
        <f t="shared" si="16"/>
        <v>0</v>
      </c>
      <c r="P32" s="241" t="e">
        <f t="shared" si="2"/>
        <v>#REF!</v>
      </c>
      <c r="Q32" s="241" t="e">
        <f t="shared" si="3"/>
        <v>#REF!</v>
      </c>
      <c r="R32" s="295" t="e">
        <f>IF(C32="","",VLOOKUP(C32,#REF!,5,FALSE))</f>
        <v>#REF!</v>
      </c>
      <c r="U32" s="240" t="e">
        <f>H32</f>
        <v>#REF!</v>
      </c>
    </row>
    <row r="33" spans="2:25" ht="24" customHeight="1">
      <c r="B33" s="301" t="s">
        <v>347</v>
      </c>
      <c r="C33" s="294">
        <v>14</v>
      </c>
      <c r="D33" s="342" t="s">
        <v>866</v>
      </c>
      <c r="E33" s="294" t="s">
        <v>802</v>
      </c>
      <c r="F33" s="330">
        <v>0.5</v>
      </c>
      <c r="G33" s="327" t="e">
        <f t="shared" si="15"/>
        <v>#REF!</v>
      </c>
      <c r="H33" s="328" t="e">
        <f t="shared" si="0"/>
        <v>#REF!</v>
      </c>
      <c r="I33" s="241" t="e">
        <f>U33</f>
        <v>#REF!</v>
      </c>
      <c r="J33" s="241">
        <f>V33</f>
        <v>0</v>
      </c>
      <c r="K33" s="241">
        <f t="shared" si="16"/>
        <v>0</v>
      </c>
      <c r="L33" s="241">
        <f t="shared" si="16"/>
        <v>0</v>
      </c>
      <c r="M33" s="241">
        <f t="shared" si="16"/>
        <v>0</v>
      </c>
      <c r="N33" s="241">
        <f t="shared" si="16"/>
        <v>0</v>
      </c>
      <c r="O33" s="241">
        <f t="shared" si="16"/>
        <v>0</v>
      </c>
      <c r="P33" s="241" t="e">
        <f t="shared" si="2"/>
        <v>#REF!</v>
      </c>
      <c r="Q33" s="241" t="e">
        <f t="shared" si="3"/>
        <v>#REF!</v>
      </c>
      <c r="R33" s="295" t="e">
        <f>IF(C33="","",VLOOKUP(C33,#REF!,5,FALSE))</f>
        <v>#REF!</v>
      </c>
      <c r="U33" s="240" t="e">
        <f>H33</f>
        <v>#REF!</v>
      </c>
    </row>
    <row r="34" spans="2:25" ht="24" customHeight="1">
      <c r="B34" s="301" t="s">
        <v>348</v>
      </c>
      <c r="C34" s="294">
        <v>15</v>
      </c>
      <c r="D34" s="342" t="s">
        <v>711</v>
      </c>
      <c r="E34" s="294" t="s">
        <v>802</v>
      </c>
      <c r="F34" s="330">
        <v>1.1000000000000001</v>
      </c>
      <c r="G34" s="327" t="e">
        <f t="shared" si="15"/>
        <v>#REF!</v>
      </c>
      <c r="H34" s="328" t="e">
        <f t="shared" si="0"/>
        <v>#REF!</v>
      </c>
      <c r="I34" s="241" t="e">
        <f>U34</f>
        <v>#REF!</v>
      </c>
      <c r="J34" s="241">
        <f>V34</f>
        <v>0</v>
      </c>
      <c r="K34" s="241">
        <f t="shared" si="16"/>
        <v>0</v>
      </c>
      <c r="L34" s="241">
        <f t="shared" si="16"/>
        <v>0</v>
      </c>
      <c r="M34" s="241">
        <f t="shared" si="16"/>
        <v>0</v>
      </c>
      <c r="N34" s="241">
        <f t="shared" si="16"/>
        <v>0</v>
      </c>
      <c r="O34" s="241">
        <f t="shared" si="16"/>
        <v>0</v>
      </c>
      <c r="P34" s="241" t="e">
        <f t="shared" si="2"/>
        <v>#REF!</v>
      </c>
      <c r="Q34" s="241" t="e">
        <f t="shared" si="3"/>
        <v>#REF!</v>
      </c>
      <c r="R34" s="295" t="e">
        <f>IF(C34="","",VLOOKUP(C34,#REF!,5,FALSE))</f>
        <v>#REF!</v>
      </c>
      <c r="U34" s="240" t="e">
        <f>H34</f>
        <v>#REF!</v>
      </c>
    </row>
    <row r="35" spans="2:25" ht="24" customHeight="1">
      <c r="B35" s="301" t="s">
        <v>349</v>
      </c>
      <c r="C35" s="294">
        <v>16</v>
      </c>
      <c r="D35" s="342" t="s">
        <v>821</v>
      </c>
      <c r="E35" s="294" t="s">
        <v>183</v>
      </c>
      <c r="F35" s="330">
        <v>70.650000000000006</v>
      </c>
      <c r="G35" s="327" t="e">
        <f t="shared" si="15"/>
        <v>#REF!</v>
      </c>
      <c r="H35" s="328" t="e">
        <f t="shared" si="0"/>
        <v>#REF!</v>
      </c>
      <c r="I35" s="241" t="e">
        <f>H35</f>
        <v>#REF!</v>
      </c>
      <c r="J35" s="241"/>
      <c r="K35" s="241"/>
      <c r="L35" s="241"/>
      <c r="M35" s="241"/>
      <c r="N35" s="241"/>
      <c r="O35" s="241"/>
      <c r="P35" s="241" t="e">
        <f t="shared" si="2"/>
        <v>#REF!</v>
      </c>
      <c r="Q35" s="241" t="e">
        <f t="shared" si="3"/>
        <v>#REF!</v>
      </c>
      <c r="R35" s="295" t="e">
        <f>IF(C35="","",VLOOKUP(C35,#REF!,5,FALSE))</f>
        <v>#REF!</v>
      </c>
    </row>
    <row r="36" spans="2:25" ht="24" customHeight="1">
      <c r="B36" s="301" t="s">
        <v>350</v>
      </c>
      <c r="C36" s="294">
        <v>17</v>
      </c>
      <c r="D36" s="342" t="s">
        <v>898</v>
      </c>
      <c r="E36" s="294" t="s">
        <v>803</v>
      </c>
      <c r="F36" s="327">
        <v>0.95</v>
      </c>
      <c r="G36" s="327" t="e">
        <f t="shared" si="15"/>
        <v>#REF!</v>
      </c>
      <c r="H36" s="328" t="e">
        <f t="shared" si="0"/>
        <v>#REF!</v>
      </c>
      <c r="I36" s="241">
        <f t="shared" ref="I36:O37" si="17">U36</f>
        <v>0</v>
      </c>
      <c r="J36" s="241">
        <f t="shared" si="17"/>
        <v>0</v>
      </c>
      <c r="K36" s="241">
        <f t="shared" si="17"/>
        <v>0</v>
      </c>
      <c r="L36" s="241">
        <f t="shared" si="17"/>
        <v>0</v>
      </c>
      <c r="M36" s="241">
        <f t="shared" si="17"/>
        <v>0</v>
      </c>
      <c r="N36" s="241">
        <f t="shared" si="17"/>
        <v>0</v>
      </c>
      <c r="O36" s="241">
        <f t="shared" si="17"/>
        <v>0</v>
      </c>
      <c r="P36" s="241">
        <f t="shared" si="2"/>
        <v>0</v>
      </c>
      <c r="Q36" s="241" t="e">
        <f t="shared" si="3"/>
        <v>#REF!</v>
      </c>
      <c r="R36" s="295" t="e">
        <f>IF(C36="","",VLOOKUP(C36,#REF!,5,FALSE))</f>
        <v>#REF!</v>
      </c>
    </row>
    <row r="37" spans="2:25" ht="24" customHeight="1">
      <c r="B37" s="301" t="s">
        <v>351</v>
      </c>
      <c r="C37" s="294">
        <v>18</v>
      </c>
      <c r="D37" s="342" t="s">
        <v>899</v>
      </c>
      <c r="E37" s="294" t="s">
        <v>803</v>
      </c>
      <c r="F37" s="327">
        <v>0.95</v>
      </c>
      <c r="G37" s="327" t="e">
        <f t="shared" si="15"/>
        <v>#REF!</v>
      </c>
      <c r="H37" s="328" t="e">
        <f t="shared" si="0"/>
        <v>#REF!</v>
      </c>
      <c r="I37" s="241" t="e">
        <f t="shared" si="17"/>
        <v>#REF!</v>
      </c>
      <c r="J37" s="241">
        <f t="shared" si="17"/>
        <v>0</v>
      </c>
      <c r="K37" s="241">
        <f t="shared" si="17"/>
        <v>0</v>
      </c>
      <c r="L37" s="241">
        <f t="shared" si="17"/>
        <v>0</v>
      </c>
      <c r="M37" s="241">
        <f t="shared" si="17"/>
        <v>0</v>
      </c>
      <c r="N37" s="241">
        <f t="shared" si="17"/>
        <v>0</v>
      </c>
      <c r="O37" s="241">
        <f t="shared" si="17"/>
        <v>0</v>
      </c>
      <c r="P37" s="241" t="e">
        <f t="shared" si="2"/>
        <v>#REF!</v>
      </c>
      <c r="Q37" s="241" t="e">
        <f t="shared" si="3"/>
        <v>#REF!</v>
      </c>
      <c r="R37" s="295" t="e">
        <f>IF(C37="","",VLOOKUP(C37,#REF!,5,FALSE))</f>
        <v>#REF!</v>
      </c>
      <c r="U37" s="240" t="e">
        <f>H37</f>
        <v>#REF!</v>
      </c>
    </row>
    <row r="38" spans="2:25" ht="24" customHeight="1">
      <c r="B38" s="299" t="s">
        <v>352</v>
      </c>
      <c r="C38" s="300"/>
      <c r="D38" s="292" t="s">
        <v>900</v>
      </c>
      <c r="E38" s="294"/>
      <c r="F38" s="327"/>
      <c r="G38" s="327"/>
      <c r="H38" s="328"/>
      <c r="I38" s="241">
        <f t="shared" ref="I38:I43" si="18">U38</f>
        <v>0</v>
      </c>
      <c r="J38" s="241">
        <f t="shared" ref="J38:O43" si="19">V38</f>
        <v>0</v>
      </c>
      <c r="K38" s="241">
        <f t="shared" si="19"/>
        <v>0</v>
      </c>
      <c r="L38" s="241">
        <f t="shared" si="19"/>
        <v>0</v>
      </c>
      <c r="M38" s="241">
        <f t="shared" si="19"/>
        <v>0</v>
      </c>
      <c r="N38" s="241">
        <f t="shared" si="19"/>
        <v>0</v>
      </c>
      <c r="O38" s="241">
        <f t="shared" si="19"/>
        <v>0</v>
      </c>
      <c r="P38" s="241">
        <f t="shared" si="2"/>
        <v>0</v>
      </c>
      <c r="Q38" s="241">
        <f t="shared" si="3"/>
        <v>0</v>
      </c>
      <c r="R38" s="295" t="str">
        <f>IF(C38="","",VLOOKUP(C38,#REF!,5,FALSE))</f>
        <v/>
      </c>
    </row>
    <row r="39" spans="2:25" ht="24" customHeight="1">
      <c r="B39" s="301" t="s">
        <v>353</v>
      </c>
      <c r="C39" s="294">
        <v>19</v>
      </c>
      <c r="D39" s="393" t="s">
        <v>901</v>
      </c>
      <c r="E39" s="294" t="s">
        <v>803</v>
      </c>
      <c r="F39" s="327">
        <v>67</v>
      </c>
      <c r="G39" s="327" t="e">
        <f>ROUND(R39,2)</f>
        <v>#REF!</v>
      </c>
      <c r="H39" s="328" t="e">
        <f t="shared" si="0"/>
        <v>#REF!</v>
      </c>
      <c r="I39" s="241">
        <f t="shared" si="18"/>
        <v>0</v>
      </c>
      <c r="J39" s="241">
        <f t="shared" si="19"/>
        <v>0</v>
      </c>
      <c r="K39" s="241" t="e">
        <f t="shared" si="19"/>
        <v>#REF!</v>
      </c>
      <c r="L39" s="241">
        <f t="shared" si="19"/>
        <v>0</v>
      </c>
      <c r="M39" s="241">
        <f t="shared" si="19"/>
        <v>0</v>
      </c>
      <c r="N39" s="241">
        <f t="shared" si="19"/>
        <v>0</v>
      </c>
      <c r="O39" s="241">
        <f t="shared" si="19"/>
        <v>0</v>
      </c>
      <c r="P39" s="241" t="e">
        <f t="shared" si="2"/>
        <v>#REF!</v>
      </c>
      <c r="Q39" s="241" t="e">
        <f t="shared" si="3"/>
        <v>#REF!</v>
      </c>
      <c r="R39" s="295" t="e">
        <f>IF(C39="","",VLOOKUP(C39,#REF!,5,FALSE))</f>
        <v>#REF!</v>
      </c>
      <c r="W39" s="240" t="e">
        <f>H39</f>
        <v>#REF!</v>
      </c>
    </row>
    <row r="40" spans="2:25" ht="24" customHeight="1">
      <c r="B40" s="301" t="s">
        <v>354</v>
      </c>
      <c r="C40" s="294">
        <v>20</v>
      </c>
      <c r="D40" s="345" t="s">
        <v>902</v>
      </c>
      <c r="E40" s="294" t="s">
        <v>803</v>
      </c>
      <c r="F40" s="327">
        <v>40</v>
      </c>
      <c r="G40" s="327" t="e">
        <f>ROUND(R40,2)</f>
        <v>#REF!</v>
      </c>
      <c r="H40" s="328" t="e">
        <f t="shared" si="0"/>
        <v>#REF!</v>
      </c>
      <c r="I40" s="241">
        <f t="shared" si="18"/>
        <v>0</v>
      </c>
      <c r="J40" s="241">
        <f t="shared" si="19"/>
        <v>0</v>
      </c>
      <c r="K40" s="241" t="e">
        <f t="shared" si="19"/>
        <v>#REF!</v>
      </c>
      <c r="L40" s="241">
        <f t="shared" si="19"/>
        <v>0</v>
      </c>
      <c r="M40" s="241">
        <f t="shared" si="19"/>
        <v>0</v>
      </c>
      <c r="N40" s="241">
        <f t="shared" si="19"/>
        <v>0</v>
      </c>
      <c r="O40" s="241">
        <f t="shared" si="19"/>
        <v>0</v>
      </c>
      <c r="P40" s="241" t="e">
        <f t="shared" si="2"/>
        <v>#REF!</v>
      </c>
      <c r="Q40" s="241" t="e">
        <f t="shared" si="3"/>
        <v>#REF!</v>
      </c>
      <c r="R40" s="295" t="e">
        <f>IF(C40="","",VLOOKUP(C40,#REF!,5,FALSE))</f>
        <v>#REF!</v>
      </c>
      <c r="W40" s="240" t="e">
        <f>H40</f>
        <v>#REF!</v>
      </c>
    </row>
    <row r="41" spans="2:25" ht="24" customHeight="1">
      <c r="B41" s="301" t="s">
        <v>355</v>
      </c>
      <c r="C41" s="294">
        <v>21</v>
      </c>
      <c r="D41" s="393" t="s">
        <v>903</v>
      </c>
      <c r="E41" s="294" t="s">
        <v>69</v>
      </c>
      <c r="F41" s="327">
        <v>1</v>
      </c>
      <c r="G41" s="327" t="e">
        <f>ROUND(R41,2)</f>
        <v>#REF!</v>
      </c>
      <c r="H41" s="328" t="e">
        <f t="shared" si="0"/>
        <v>#REF!</v>
      </c>
      <c r="I41" s="241">
        <f t="shared" si="18"/>
        <v>0</v>
      </c>
      <c r="J41" s="241">
        <f t="shared" si="19"/>
        <v>0</v>
      </c>
      <c r="K41" s="241" t="e">
        <f t="shared" si="19"/>
        <v>#REF!</v>
      </c>
      <c r="L41" s="241">
        <f t="shared" si="19"/>
        <v>0</v>
      </c>
      <c r="M41" s="241">
        <f t="shared" si="19"/>
        <v>0</v>
      </c>
      <c r="N41" s="241">
        <f t="shared" si="19"/>
        <v>0</v>
      </c>
      <c r="O41" s="241">
        <f t="shared" si="19"/>
        <v>0</v>
      </c>
      <c r="P41" s="241" t="e">
        <f t="shared" si="2"/>
        <v>#REF!</v>
      </c>
      <c r="Q41" s="241" t="e">
        <f t="shared" si="3"/>
        <v>#REF!</v>
      </c>
      <c r="R41" s="295" t="e">
        <f>IF(C41="","",VLOOKUP(C41,#REF!,5,FALSE))</f>
        <v>#REF!</v>
      </c>
      <c r="W41" s="240" t="e">
        <f>H41</f>
        <v>#REF!</v>
      </c>
    </row>
    <row r="42" spans="2:25" ht="24" customHeight="1">
      <c r="B42" s="301" t="s">
        <v>356</v>
      </c>
      <c r="C42" s="294">
        <v>22</v>
      </c>
      <c r="D42" s="393" t="s">
        <v>158</v>
      </c>
      <c r="E42" s="294" t="s">
        <v>713</v>
      </c>
      <c r="F42" s="327">
        <v>52</v>
      </c>
      <c r="G42" s="327" t="e">
        <f>ROUND(R42,2)</f>
        <v>#REF!</v>
      </c>
      <c r="H42" s="328" t="e">
        <f t="shared" si="0"/>
        <v>#REF!</v>
      </c>
      <c r="I42" s="241">
        <f t="shared" si="18"/>
        <v>0</v>
      </c>
      <c r="J42" s="241">
        <f t="shared" si="19"/>
        <v>0</v>
      </c>
      <c r="K42" s="241" t="e">
        <f t="shared" si="19"/>
        <v>#REF!</v>
      </c>
      <c r="L42" s="241">
        <f t="shared" si="19"/>
        <v>0</v>
      </c>
      <c r="M42" s="241">
        <f t="shared" si="19"/>
        <v>0</v>
      </c>
      <c r="N42" s="241">
        <f t="shared" si="19"/>
        <v>0</v>
      </c>
      <c r="O42" s="241">
        <f t="shared" si="19"/>
        <v>0</v>
      </c>
      <c r="P42" s="241" t="e">
        <f t="shared" si="2"/>
        <v>#REF!</v>
      </c>
      <c r="Q42" s="241" t="e">
        <f t="shared" si="3"/>
        <v>#REF!</v>
      </c>
      <c r="R42" s="295" t="e">
        <f>IF(C42="","",VLOOKUP(C42,#REF!,5,FALSE))</f>
        <v>#REF!</v>
      </c>
      <c r="W42" s="240" t="e">
        <f>H42</f>
        <v>#REF!</v>
      </c>
    </row>
    <row r="43" spans="2:25" ht="24" customHeight="1">
      <c r="B43" s="301" t="s">
        <v>357</v>
      </c>
      <c r="C43" s="294">
        <v>23</v>
      </c>
      <c r="D43" s="393" t="s">
        <v>823</v>
      </c>
      <c r="E43" s="294" t="s">
        <v>802</v>
      </c>
      <c r="F43" s="327">
        <v>89</v>
      </c>
      <c r="G43" s="327" t="e">
        <f>ROUND(R43,2)</f>
        <v>#REF!</v>
      </c>
      <c r="H43" s="328" t="e">
        <f t="shared" si="0"/>
        <v>#REF!</v>
      </c>
      <c r="I43" s="241">
        <f t="shared" si="18"/>
        <v>0</v>
      </c>
      <c r="J43" s="241">
        <f t="shared" si="19"/>
        <v>0</v>
      </c>
      <c r="K43" s="241" t="e">
        <f t="shared" si="19"/>
        <v>#REF!</v>
      </c>
      <c r="L43" s="241">
        <f t="shared" si="19"/>
        <v>0</v>
      </c>
      <c r="M43" s="241">
        <f t="shared" si="19"/>
        <v>0</v>
      </c>
      <c r="N43" s="241">
        <f t="shared" si="19"/>
        <v>0</v>
      </c>
      <c r="O43" s="241">
        <f t="shared" si="19"/>
        <v>0</v>
      </c>
      <c r="P43" s="241" t="e">
        <f t="shared" si="2"/>
        <v>#REF!</v>
      </c>
      <c r="Q43" s="241" t="e">
        <f t="shared" si="3"/>
        <v>#REF!</v>
      </c>
      <c r="R43" s="295" t="e">
        <f>IF(C43="","",VLOOKUP(C43,#REF!,5,FALSE))</f>
        <v>#REF!</v>
      </c>
      <c r="W43" s="240" t="e">
        <f>H43</f>
        <v>#REF!</v>
      </c>
    </row>
    <row r="44" spans="2:25" ht="24" customHeight="1">
      <c r="B44" s="299" t="s">
        <v>358</v>
      </c>
      <c r="C44" s="300"/>
      <c r="D44" s="292" t="s">
        <v>904</v>
      </c>
      <c r="E44" s="294"/>
      <c r="F44" s="327"/>
      <c r="G44" s="327"/>
      <c r="H44" s="328"/>
      <c r="I44" s="241">
        <f t="shared" ref="I44:O45" si="20">U44</f>
        <v>0</v>
      </c>
      <c r="J44" s="241">
        <f t="shared" si="20"/>
        <v>0</v>
      </c>
      <c r="K44" s="241">
        <f t="shared" si="20"/>
        <v>0</v>
      </c>
      <c r="L44" s="241">
        <f t="shared" si="20"/>
        <v>0</v>
      </c>
      <c r="M44" s="241">
        <f t="shared" si="20"/>
        <v>0</v>
      </c>
      <c r="N44" s="241">
        <f t="shared" si="20"/>
        <v>0</v>
      </c>
      <c r="O44" s="241">
        <f t="shared" si="20"/>
        <v>0</v>
      </c>
      <c r="P44" s="241">
        <f t="shared" ref="P44:P68" si="21">SUM(I44:O44)</f>
        <v>0</v>
      </c>
      <c r="Q44" s="241">
        <f t="shared" ref="Q44:Q69" si="22">H44-P44</f>
        <v>0</v>
      </c>
      <c r="R44" s="295" t="str">
        <f>IF(C44="","",VLOOKUP(C44,#REF!,5,FALSE))</f>
        <v/>
      </c>
    </row>
    <row r="45" spans="2:25" ht="24" customHeight="1">
      <c r="B45" s="301" t="s">
        <v>359</v>
      </c>
      <c r="C45" s="294">
        <v>24</v>
      </c>
      <c r="D45" s="342" t="s">
        <v>883</v>
      </c>
      <c r="E45" s="294" t="s">
        <v>775</v>
      </c>
      <c r="F45" s="327">
        <v>1</v>
      </c>
      <c r="G45" s="327" t="e">
        <f>ROUND(R45,2)</f>
        <v>#REF!</v>
      </c>
      <c r="H45" s="328" t="e">
        <f t="shared" ref="H45:H77" si="23">ROUND(F45*G45,2)</f>
        <v>#REF!</v>
      </c>
      <c r="I45" s="241">
        <f t="shared" si="20"/>
        <v>0</v>
      </c>
      <c r="J45" s="241">
        <f t="shared" si="20"/>
        <v>0</v>
      </c>
      <c r="K45" s="241">
        <f t="shared" si="20"/>
        <v>0</v>
      </c>
      <c r="L45" s="241">
        <f t="shared" si="20"/>
        <v>0</v>
      </c>
      <c r="M45" s="241" t="e">
        <f t="shared" si="20"/>
        <v>#REF!</v>
      </c>
      <c r="N45" s="241">
        <f t="shared" si="20"/>
        <v>0</v>
      </c>
      <c r="O45" s="241">
        <f t="shared" si="20"/>
        <v>0</v>
      </c>
      <c r="P45" s="241" t="e">
        <f t="shared" si="21"/>
        <v>#REF!</v>
      </c>
      <c r="Q45" s="241" t="e">
        <f t="shared" si="22"/>
        <v>#REF!</v>
      </c>
      <c r="R45" s="295" t="e">
        <f>IF(C45="","",VLOOKUP(C45,#REF!,5,FALSE))</f>
        <v>#REF!</v>
      </c>
      <c r="Y45" s="240" t="e">
        <f>H45</f>
        <v>#REF!</v>
      </c>
    </row>
    <row r="46" spans="2:25" ht="24" customHeight="1">
      <c r="B46" s="299" t="s">
        <v>159</v>
      </c>
      <c r="C46" s="300"/>
      <c r="D46" s="292" t="s">
        <v>884</v>
      </c>
      <c r="E46" s="294"/>
      <c r="F46" s="327"/>
      <c r="G46" s="327"/>
      <c r="H46" s="328"/>
      <c r="I46" s="241">
        <f t="shared" ref="I46:O51" si="24">U46</f>
        <v>0</v>
      </c>
      <c r="J46" s="241">
        <f t="shared" si="24"/>
        <v>0</v>
      </c>
      <c r="K46" s="241">
        <f t="shared" si="24"/>
        <v>0</v>
      </c>
      <c r="L46" s="241">
        <f t="shared" si="24"/>
        <v>0</v>
      </c>
      <c r="M46" s="241">
        <f t="shared" si="24"/>
        <v>0</v>
      </c>
      <c r="N46" s="241">
        <f t="shared" si="24"/>
        <v>0</v>
      </c>
      <c r="O46" s="241">
        <f t="shared" si="24"/>
        <v>0</v>
      </c>
      <c r="P46" s="241">
        <f t="shared" si="21"/>
        <v>0</v>
      </c>
      <c r="Q46" s="241">
        <f t="shared" si="22"/>
        <v>0</v>
      </c>
      <c r="R46" s="295" t="str">
        <f>IF(C46="","",VLOOKUP(C46,#REF!,5,FALSE))</f>
        <v/>
      </c>
    </row>
    <row r="47" spans="2:25" ht="24" customHeight="1">
      <c r="B47" s="299" t="s">
        <v>360</v>
      </c>
      <c r="C47" s="294"/>
      <c r="D47" s="305" t="s">
        <v>604</v>
      </c>
      <c r="E47" s="303"/>
      <c r="F47" s="331"/>
      <c r="G47" s="327"/>
      <c r="H47" s="328"/>
      <c r="I47" s="241">
        <f t="shared" si="24"/>
        <v>0</v>
      </c>
      <c r="J47" s="241">
        <f t="shared" si="24"/>
        <v>0</v>
      </c>
      <c r="K47" s="241">
        <f t="shared" si="24"/>
        <v>0</v>
      </c>
      <c r="L47" s="241">
        <f t="shared" si="24"/>
        <v>0</v>
      </c>
      <c r="M47" s="241">
        <f t="shared" si="24"/>
        <v>0</v>
      </c>
      <c r="N47" s="241">
        <f t="shared" si="24"/>
        <v>0</v>
      </c>
      <c r="O47" s="241">
        <f t="shared" si="24"/>
        <v>0</v>
      </c>
      <c r="P47" s="241">
        <f t="shared" si="21"/>
        <v>0</v>
      </c>
      <c r="Q47" s="241">
        <f t="shared" si="22"/>
        <v>0</v>
      </c>
      <c r="R47" s="295" t="str">
        <f>IF(C47="","",VLOOKUP(C47,#REF!,5,FALSE))</f>
        <v/>
      </c>
      <c r="U47" s="240">
        <f t="shared" ref="U47:U61" si="25">H47</f>
        <v>0</v>
      </c>
    </row>
    <row r="48" spans="2:25" ht="24" customHeight="1">
      <c r="B48" s="301" t="s">
        <v>361</v>
      </c>
      <c r="C48" s="294">
        <v>25</v>
      </c>
      <c r="D48" s="343" t="s">
        <v>885</v>
      </c>
      <c r="E48" s="303" t="s">
        <v>803</v>
      </c>
      <c r="F48" s="331">
        <v>24</v>
      </c>
      <c r="G48" s="327" t="e">
        <f t="shared" ref="G48:G57" si="26">ROUND(R48,2)</f>
        <v>#REF!</v>
      </c>
      <c r="H48" s="328" t="e">
        <f t="shared" si="23"/>
        <v>#REF!</v>
      </c>
      <c r="I48" s="241" t="e">
        <f t="shared" si="24"/>
        <v>#REF!</v>
      </c>
      <c r="J48" s="241">
        <f t="shared" si="24"/>
        <v>0</v>
      </c>
      <c r="K48" s="241">
        <f t="shared" si="24"/>
        <v>0</v>
      </c>
      <c r="L48" s="241">
        <f t="shared" si="24"/>
        <v>0</v>
      </c>
      <c r="M48" s="241">
        <f t="shared" si="24"/>
        <v>0</v>
      </c>
      <c r="N48" s="241">
        <f t="shared" si="24"/>
        <v>0</v>
      </c>
      <c r="O48" s="241">
        <f t="shared" si="24"/>
        <v>0</v>
      </c>
      <c r="P48" s="241" t="e">
        <f t="shared" si="21"/>
        <v>#REF!</v>
      </c>
      <c r="Q48" s="241" t="e">
        <f t="shared" si="22"/>
        <v>#REF!</v>
      </c>
      <c r="R48" s="295" t="e">
        <f>IF(C48="","",VLOOKUP(C48,#REF!,5,FALSE))</f>
        <v>#REF!</v>
      </c>
      <c r="U48" s="240" t="e">
        <f t="shared" si="25"/>
        <v>#REF!</v>
      </c>
    </row>
    <row r="49" spans="2:21" ht="24" customHeight="1">
      <c r="B49" s="299" t="s">
        <v>362</v>
      </c>
      <c r="C49" s="294"/>
      <c r="D49" s="305" t="s">
        <v>261</v>
      </c>
      <c r="E49" s="303"/>
      <c r="F49" s="331"/>
      <c r="G49" s="327"/>
      <c r="H49" s="328"/>
      <c r="I49" s="241">
        <f t="shared" si="24"/>
        <v>0</v>
      </c>
      <c r="J49" s="241">
        <f t="shared" si="24"/>
        <v>0</v>
      </c>
      <c r="K49" s="241">
        <f t="shared" si="24"/>
        <v>0</v>
      </c>
      <c r="L49" s="241">
        <f t="shared" si="24"/>
        <v>0</v>
      </c>
      <c r="M49" s="241">
        <f t="shared" si="24"/>
        <v>0</v>
      </c>
      <c r="N49" s="241">
        <f t="shared" si="24"/>
        <v>0</v>
      </c>
      <c r="O49" s="241">
        <f t="shared" si="24"/>
        <v>0</v>
      </c>
      <c r="P49" s="241">
        <f t="shared" si="21"/>
        <v>0</v>
      </c>
      <c r="Q49" s="241">
        <f t="shared" si="22"/>
        <v>0</v>
      </c>
      <c r="R49" s="295" t="str">
        <f>IF(C49="","",VLOOKUP(C49,#REF!,5,FALSE))</f>
        <v/>
      </c>
      <c r="U49" s="240">
        <f t="shared" si="25"/>
        <v>0</v>
      </c>
    </row>
    <row r="50" spans="2:21" ht="24" customHeight="1">
      <c r="B50" s="301" t="s">
        <v>363</v>
      </c>
      <c r="C50" s="294">
        <v>7</v>
      </c>
      <c r="D50" s="342" t="s">
        <v>893</v>
      </c>
      <c r="E50" s="294" t="s">
        <v>802</v>
      </c>
      <c r="F50" s="331">
        <v>7.85</v>
      </c>
      <c r="G50" s="327" t="e">
        <f t="shared" si="26"/>
        <v>#REF!</v>
      </c>
      <c r="H50" s="328" t="e">
        <f t="shared" si="23"/>
        <v>#REF!</v>
      </c>
      <c r="I50" s="241" t="e">
        <f t="shared" si="24"/>
        <v>#REF!</v>
      </c>
      <c r="J50" s="241">
        <f t="shared" si="24"/>
        <v>0</v>
      </c>
      <c r="K50" s="241">
        <f t="shared" si="24"/>
        <v>0</v>
      </c>
      <c r="L50" s="241">
        <f t="shared" si="24"/>
        <v>0</v>
      </c>
      <c r="M50" s="241">
        <f t="shared" si="24"/>
        <v>0</v>
      </c>
      <c r="N50" s="241">
        <f t="shared" si="24"/>
        <v>0</v>
      </c>
      <c r="O50" s="241">
        <f t="shared" si="24"/>
        <v>0</v>
      </c>
      <c r="P50" s="241" t="e">
        <f t="shared" si="21"/>
        <v>#REF!</v>
      </c>
      <c r="Q50" s="241" t="e">
        <f t="shared" si="22"/>
        <v>#REF!</v>
      </c>
      <c r="R50" s="295" t="e">
        <f>IF(C50="","",VLOOKUP(C50,#REF!,5,FALSE))</f>
        <v>#REF!</v>
      </c>
      <c r="U50" s="240" t="e">
        <f t="shared" si="25"/>
        <v>#REF!</v>
      </c>
    </row>
    <row r="51" spans="2:21" ht="24" customHeight="1">
      <c r="B51" s="301" t="s">
        <v>364</v>
      </c>
      <c r="C51" s="294">
        <v>26</v>
      </c>
      <c r="D51" s="393" t="s">
        <v>886</v>
      </c>
      <c r="E51" s="344" t="s">
        <v>802</v>
      </c>
      <c r="F51" s="397">
        <v>3.45</v>
      </c>
      <c r="G51" s="327" t="e">
        <f t="shared" si="26"/>
        <v>#REF!</v>
      </c>
      <c r="H51" s="328" t="e">
        <f t="shared" si="23"/>
        <v>#REF!</v>
      </c>
      <c r="I51" s="241" t="e">
        <f t="shared" si="24"/>
        <v>#REF!</v>
      </c>
      <c r="J51" s="241">
        <f t="shared" si="24"/>
        <v>0</v>
      </c>
      <c r="K51" s="241">
        <f t="shared" si="24"/>
        <v>0</v>
      </c>
      <c r="L51" s="241">
        <f t="shared" si="24"/>
        <v>0</v>
      </c>
      <c r="M51" s="241">
        <f t="shared" si="24"/>
        <v>0</v>
      </c>
      <c r="N51" s="241">
        <f t="shared" si="24"/>
        <v>0</v>
      </c>
      <c r="O51" s="241">
        <f t="shared" si="24"/>
        <v>0</v>
      </c>
      <c r="P51" s="241" t="e">
        <f t="shared" si="21"/>
        <v>#REF!</v>
      </c>
      <c r="Q51" s="241" t="e">
        <f t="shared" si="22"/>
        <v>#REF!</v>
      </c>
      <c r="R51" s="295" t="e">
        <f>IF(C51="","",VLOOKUP(C51,#REF!,5,FALSE))</f>
        <v>#REF!</v>
      </c>
      <c r="U51" s="240" t="e">
        <f t="shared" si="25"/>
        <v>#REF!</v>
      </c>
    </row>
    <row r="52" spans="2:21" ht="24" customHeight="1">
      <c r="B52" s="301" t="s">
        <v>365</v>
      </c>
      <c r="C52" s="294">
        <v>27</v>
      </c>
      <c r="D52" s="393" t="s">
        <v>887</v>
      </c>
      <c r="E52" s="344" t="s">
        <v>802</v>
      </c>
      <c r="F52" s="397">
        <v>13.85</v>
      </c>
      <c r="G52" s="327" t="e">
        <f t="shared" si="26"/>
        <v>#REF!</v>
      </c>
      <c r="H52" s="328" t="e">
        <f t="shared" si="23"/>
        <v>#REF!</v>
      </c>
      <c r="I52" s="241" t="e">
        <f>H52</f>
        <v>#REF!</v>
      </c>
      <c r="J52" s="241"/>
      <c r="K52" s="241"/>
      <c r="L52" s="241"/>
      <c r="M52" s="241"/>
      <c r="N52" s="241"/>
      <c r="O52" s="241"/>
      <c r="P52" s="241" t="e">
        <f t="shared" si="21"/>
        <v>#REF!</v>
      </c>
      <c r="Q52" s="241" t="e">
        <f t="shared" si="22"/>
        <v>#REF!</v>
      </c>
      <c r="R52" s="295" t="e">
        <f>IF(C52="","",VLOOKUP(C52,#REF!,5,FALSE))</f>
        <v>#REF!</v>
      </c>
    </row>
    <row r="53" spans="2:21" ht="24" customHeight="1">
      <c r="B53" s="301" t="s">
        <v>366</v>
      </c>
      <c r="C53" s="294">
        <v>28</v>
      </c>
      <c r="D53" s="393" t="s">
        <v>888</v>
      </c>
      <c r="E53" s="344" t="s">
        <v>803</v>
      </c>
      <c r="F53" s="398">
        <v>18.3</v>
      </c>
      <c r="G53" s="327" t="e">
        <f t="shared" si="26"/>
        <v>#REF!</v>
      </c>
      <c r="H53" s="328" t="e">
        <f t="shared" si="23"/>
        <v>#REF!</v>
      </c>
      <c r="I53" s="241"/>
      <c r="J53" s="241" t="e">
        <f>H53</f>
        <v>#REF!</v>
      </c>
      <c r="K53" s="241"/>
      <c r="L53" s="241"/>
      <c r="M53" s="241"/>
      <c r="N53" s="241"/>
      <c r="O53" s="241"/>
      <c r="P53" s="241" t="e">
        <f t="shared" si="21"/>
        <v>#REF!</v>
      </c>
      <c r="Q53" s="241" t="e">
        <f t="shared" si="22"/>
        <v>#REF!</v>
      </c>
      <c r="R53" s="295" t="e">
        <f>IF(C53="","",VLOOKUP(C53,#REF!,5,FALSE))</f>
        <v>#REF!</v>
      </c>
    </row>
    <row r="54" spans="2:21" ht="24" customHeight="1">
      <c r="B54" s="301" t="s">
        <v>367</v>
      </c>
      <c r="C54" s="294">
        <v>8</v>
      </c>
      <c r="D54" s="393" t="s">
        <v>894</v>
      </c>
      <c r="E54" s="344" t="s">
        <v>802</v>
      </c>
      <c r="F54" s="396">
        <f>5.8+17.25</f>
        <v>23.05</v>
      </c>
      <c r="G54" s="327" t="e">
        <f t="shared" si="26"/>
        <v>#REF!</v>
      </c>
      <c r="H54" s="328" t="e">
        <f t="shared" si="23"/>
        <v>#REF!</v>
      </c>
      <c r="I54" s="241"/>
      <c r="J54" s="241" t="e">
        <f>H54</f>
        <v>#REF!</v>
      </c>
      <c r="K54" s="241"/>
      <c r="L54" s="241"/>
      <c r="M54" s="241"/>
      <c r="N54" s="241"/>
      <c r="O54" s="241"/>
      <c r="P54" s="241" t="e">
        <f t="shared" si="21"/>
        <v>#REF!</v>
      </c>
      <c r="Q54" s="241" t="e">
        <f t="shared" si="22"/>
        <v>#REF!</v>
      </c>
      <c r="R54" s="295" t="e">
        <f>IF(C54="","",VLOOKUP(C54,#REF!,5,FALSE))</f>
        <v>#REF!</v>
      </c>
    </row>
    <row r="55" spans="2:21" ht="24" customHeight="1">
      <c r="B55" s="301" t="s">
        <v>368</v>
      </c>
      <c r="C55" s="346">
        <v>30</v>
      </c>
      <c r="D55" s="343" t="s">
        <v>889</v>
      </c>
      <c r="E55" s="401" t="s">
        <v>802</v>
      </c>
      <c r="F55" s="398">
        <v>2.15</v>
      </c>
      <c r="G55" s="327" t="e">
        <f t="shared" si="26"/>
        <v>#REF!</v>
      </c>
      <c r="H55" s="328" t="e">
        <f t="shared" si="23"/>
        <v>#REF!</v>
      </c>
      <c r="I55" s="241" t="e">
        <f>H55</f>
        <v>#REF!</v>
      </c>
      <c r="J55" s="241"/>
      <c r="K55" s="241"/>
      <c r="L55" s="241"/>
      <c r="M55" s="241"/>
      <c r="N55" s="241"/>
      <c r="O55" s="241"/>
      <c r="P55" s="241" t="e">
        <f t="shared" si="21"/>
        <v>#REF!</v>
      </c>
      <c r="Q55" s="241" t="e">
        <f t="shared" si="22"/>
        <v>#REF!</v>
      </c>
      <c r="R55" s="295" t="e">
        <f>IF(C55="","",VLOOKUP(C55,#REF!,5,FALSE))</f>
        <v>#REF!</v>
      </c>
    </row>
    <row r="56" spans="2:21" ht="24" customHeight="1">
      <c r="B56" s="301" t="s">
        <v>369</v>
      </c>
      <c r="C56" s="294">
        <v>11</v>
      </c>
      <c r="D56" s="343" t="s">
        <v>820</v>
      </c>
      <c r="E56" s="344" t="s">
        <v>817</v>
      </c>
      <c r="F56" s="398">
        <v>8.35</v>
      </c>
      <c r="G56" s="327" t="e">
        <f t="shared" si="26"/>
        <v>#REF!</v>
      </c>
      <c r="H56" s="328" t="e">
        <f t="shared" si="23"/>
        <v>#REF!</v>
      </c>
      <c r="I56" s="241" t="e">
        <f t="shared" ref="I56:I77" si="27">U56</f>
        <v>#REF!</v>
      </c>
      <c r="J56" s="241">
        <f t="shared" ref="J56:J77" si="28">V56</f>
        <v>0</v>
      </c>
      <c r="K56" s="241">
        <f t="shared" ref="K56:K77" si="29">W56</f>
        <v>0</v>
      </c>
      <c r="L56" s="241">
        <f t="shared" ref="L56:L77" si="30">X56</f>
        <v>0</v>
      </c>
      <c r="M56" s="241">
        <f t="shared" ref="M56:M77" si="31">Y56</f>
        <v>0</v>
      </c>
      <c r="N56" s="241">
        <f t="shared" ref="N56:N77" si="32">Z56</f>
        <v>0</v>
      </c>
      <c r="O56" s="241">
        <f t="shared" ref="O56:O77" si="33">AA56</f>
        <v>0</v>
      </c>
      <c r="P56" s="241" t="e">
        <f t="shared" si="21"/>
        <v>#REF!</v>
      </c>
      <c r="Q56" s="241" t="e">
        <f t="shared" si="22"/>
        <v>#REF!</v>
      </c>
      <c r="R56" s="295" t="e">
        <f>IF(C56="","",VLOOKUP(C56,#REF!,5,FALSE))</f>
        <v>#REF!</v>
      </c>
      <c r="U56" s="240" t="e">
        <f t="shared" si="25"/>
        <v>#REF!</v>
      </c>
    </row>
    <row r="57" spans="2:21" ht="24" customHeight="1">
      <c r="B57" s="301" t="s">
        <v>370</v>
      </c>
      <c r="C57" s="294">
        <v>12</v>
      </c>
      <c r="D57" s="393" t="s">
        <v>865</v>
      </c>
      <c r="E57" s="401" t="s">
        <v>802</v>
      </c>
      <c r="F57" s="398">
        <v>2.8</v>
      </c>
      <c r="G57" s="327" t="e">
        <f t="shared" si="26"/>
        <v>#REF!</v>
      </c>
      <c r="H57" s="328" t="e">
        <f t="shared" si="23"/>
        <v>#REF!</v>
      </c>
      <c r="I57" s="241" t="e">
        <f t="shared" si="27"/>
        <v>#REF!</v>
      </c>
      <c r="J57" s="241">
        <f t="shared" si="28"/>
        <v>0</v>
      </c>
      <c r="K57" s="241">
        <f t="shared" si="29"/>
        <v>0</v>
      </c>
      <c r="L57" s="241">
        <f t="shared" si="30"/>
        <v>0</v>
      </c>
      <c r="M57" s="241">
        <f t="shared" si="31"/>
        <v>0</v>
      </c>
      <c r="N57" s="241">
        <f t="shared" si="32"/>
        <v>0</v>
      </c>
      <c r="O57" s="241">
        <f t="shared" si="33"/>
        <v>0</v>
      </c>
      <c r="P57" s="241" t="e">
        <f t="shared" si="21"/>
        <v>#REF!</v>
      </c>
      <c r="Q57" s="241" t="e">
        <f t="shared" si="22"/>
        <v>#REF!</v>
      </c>
      <c r="R57" s="295" t="e">
        <f>IF(C57="","",VLOOKUP(C57,#REF!,5,FALSE))</f>
        <v>#REF!</v>
      </c>
      <c r="U57" s="240" t="e">
        <f t="shared" si="25"/>
        <v>#REF!</v>
      </c>
    </row>
    <row r="58" spans="2:21" ht="24" customHeight="1">
      <c r="B58" s="299" t="s">
        <v>371</v>
      </c>
      <c r="C58" s="300"/>
      <c r="D58" s="292" t="s">
        <v>801</v>
      </c>
      <c r="E58" s="304"/>
      <c r="F58" s="331"/>
      <c r="G58" s="327"/>
      <c r="H58" s="328"/>
      <c r="I58" s="241">
        <f t="shared" si="27"/>
        <v>0</v>
      </c>
      <c r="J58" s="241">
        <f t="shared" si="28"/>
        <v>0</v>
      </c>
      <c r="K58" s="241">
        <f t="shared" si="29"/>
        <v>0</v>
      </c>
      <c r="L58" s="241">
        <f t="shared" si="30"/>
        <v>0</v>
      </c>
      <c r="M58" s="241">
        <f t="shared" si="31"/>
        <v>0</v>
      </c>
      <c r="N58" s="241">
        <f t="shared" si="32"/>
        <v>0</v>
      </c>
      <c r="O58" s="241">
        <f t="shared" si="33"/>
        <v>0</v>
      </c>
      <c r="P58" s="241">
        <f t="shared" si="21"/>
        <v>0</v>
      </c>
      <c r="Q58" s="241">
        <f t="shared" si="22"/>
        <v>0</v>
      </c>
      <c r="R58" s="295" t="str">
        <f>IF(C58="","",VLOOKUP(C58,#REF!,5,FALSE))</f>
        <v/>
      </c>
      <c r="U58" s="240">
        <f t="shared" si="25"/>
        <v>0</v>
      </c>
    </row>
    <row r="59" spans="2:21" ht="24" customHeight="1">
      <c r="B59" s="301" t="s">
        <v>372</v>
      </c>
      <c r="C59" s="294">
        <v>13</v>
      </c>
      <c r="D59" s="393" t="s">
        <v>897</v>
      </c>
      <c r="E59" s="401" t="s">
        <v>802</v>
      </c>
      <c r="F59" s="397">
        <v>2.15</v>
      </c>
      <c r="G59" s="327" t="e">
        <f t="shared" ref="G59:G70" si="34">ROUND(R59,2)</f>
        <v>#REF!</v>
      </c>
      <c r="H59" s="328" t="e">
        <f t="shared" si="23"/>
        <v>#REF!</v>
      </c>
      <c r="I59" s="241" t="e">
        <f t="shared" si="27"/>
        <v>#REF!</v>
      </c>
      <c r="J59" s="241">
        <f t="shared" si="28"/>
        <v>0</v>
      </c>
      <c r="K59" s="241">
        <f t="shared" si="29"/>
        <v>0</v>
      </c>
      <c r="L59" s="241">
        <f t="shared" si="30"/>
        <v>0</v>
      </c>
      <c r="M59" s="241">
        <f t="shared" si="31"/>
        <v>0</v>
      </c>
      <c r="N59" s="241">
        <f t="shared" si="32"/>
        <v>0</v>
      </c>
      <c r="O59" s="241">
        <f t="shared" si="33"/>
        <v>0</v>
      </c>
      <c r="P59" s="241" t="e">
        <f t="shared" si="21"/>
        <v>#REF!</v>
      </c>
      <c r="Q59" s="241" t="e">
        <f t="shared" si="22"/>
        <v>#REF!</v>
      </c>
      <c r="R59" s="295" t="e">
        <f>IF(C59="","",VLOOKUP(C59,#REF!,5,FALSE))</f>
        <v>#REF!</v>
      </c>
      <c r="U59" s="240" t="e">
        <f t="shared" si="25"/>
        <v>#REF!</v>
      </c>
    </row>
    <row r="60" spans="2:21" ht="24" customHeight="1">
      <c r="B60" s="301" t="s">
        <v>373</v>
      </c>
      <c r="C60" s="294">
        <v>14</v>
      </c>
      <c r="D60" s="393" t="s">
        <v>866</v>
      </c>
      <c r="E60" s="344" t="s">
        <v>802</v>
      </c>
      <c r="F60" s="397">
        <v>0.75</v>
      </c>
      <c r="G60" s="327" t="e">
        <f t="shared" si="34"/>
        <v>#REF!</v>
      </c>
      <c r="H60" s="328" t="e">
        <f t="shared" si="23"/>
        <v>#REF!</v>
      </c>
      <c r="I60" s="241" t="e">
        <f t="shared" si="27"/>
        <v>#REF!</v>
      </c>
      <c r="J60" s="241">
        <f t="shared" si="28"/>
        <v>0</v>
      </c>
      <c r="K60" s="241">
        <f t="shared" si="29"/>
        <v>0</v>
      </c>
      <c r="L60" s="241">
        <f t="shared" si="30"/>
        <v>0</v>
      </c>
      <c r="M60" s="241">
        <f t="shared" si="31"/>
        <v>0</v>
      </c>
      <c r="N60" s="241">
        <f t="shared" si="32"/>
        <v>0</v>
      </c>
      <c r="O60" s="241">
        <f t="shared" si="33"/>
        <v>0</v>
      </c>
      <c r="P60" s="241" t="e">
        <f t="shared" si="21"/>
        <v>#REF!</v>
      </c>
      <c r="Q60" s="241" t="e">
        <f t="shared" si="22"/>
        <v>#REF!</v>
      </c>
      <c r="R60" s="295" t="e">
        <f>IF(C60="","",VLOOKUP(C60,#REF!,5,FALSE))</f>
        <v>#REF!</v>
      </c>
      <c r="U60" s="240" t="e">
        <f t="shared" si="25"/>
        <v>#REF!</v>
      </c>
    </row>
    <row r="61" spans="2:21" ht="24" customHeight="1">
      <c r="B61" s="301" t="s">
        <v>374</v>
      </c>
      <c r="C61" s="294">
        <v>31</v>
      </c>
      <c r="D61" s="393" t="s">
        <v>657</v>
      </c>
      <c r="E61" s="401" t="s">
        <v>802</v>
      </c>
      <c r="F61" s="397">
        <v>2.0499999999999998</v>
      </c>
      <c r="G61" s="327" t="e">
        <f t="shared" si="34"/>
        <v>#REF!</v>
      </c>
      <c r="H61" s="328" t="e">
        <f t="shared" si="23"/>
        <v>#REF!</v>
      </c>
      <c r="I61" s="241" t="e">
        <f t="shared" si="27"/>
        <v>#REF!</v>
      </c>
      <c r="J61" s="241">
        <f t="shared" si="28"/>
        <v>0</v>
      </c>
      <c r="K61" s="241">
        <f t="shared" si="29"/>
        <v>0</v>
      </c>
      <c r="L61" s="241">
        <f t="shared" si="30"/>
        <v>0</v>
      </c>
      <c r="M61" s="241">
        <f t="shared" si="31"/>
        <v>0</v>
      </c>
      <c r="N61" s="241">
        <f t="shared" si="32"/>
        <v>0</v>
      </c>
      <c r="O61" s="241">
        <f t="shared" si="33"/>
        <v>0</v>
      </c>
      <c r="P61" s="241" t="e">
        <f t="shared" si="21"/>
        <v>#REF!</v>
      </c>
      <c r="Q61" s="241" t="e">
        <f t="shared" si="22"/>
        <v>#REF!</v>
      </c>
      <c r="R61" s="295" t="e">
        <f>IF(C61="","",VLOOKUP(C61,#REF!,5,FALSE))</f>
        <v>#REF!</v>
      </c>
      <c r="U61" s="240" t="e">
        <f t="shared" si="25"/>
        <v>#REF!</v>
      </c>
    </row>
    <row r="62" spans="2:21" ht="24" customHeight="1">
      <c r="B62" s="301" t="s">
        <v>375</v>
      </c>
      <c r="C62" s="294">
        <v>15</v>
      </c>
      <c r="D62" s="345" t="s">
        <v>711</v>
      </c>
      <c r="E62" s="401" t="s">
        <v>802</v>
      </c>
      <c r="F62" s="399">
        <v>4.25</v>
      </c>
      <c r="G62" s="327" t="e">
        <f t="shared" si="34"/>
        <v>#REF!</v>
      </c>
      <c r="H62" s="328" t="e">
        <f t="shared" si="23"/>
        <v>#REF!</v>
      </c>
      <c r="I62" s="241" t="e">
        <f t="shared" si="27"/>
        <v>#REF!</v>
      </c>
      <c r="J62" s="241">
        <f t="shared" si="28"/>
        <v>0</v>
      </c>
      <c r="K62" s="241">
        <f t="shared" si="29"/>
        <v>0</v>
      </c>
      <c r="L62" s="241">
        <f t="shared" si="30"/>
        <v>0</v>
      </c>
      <c r="M62" s="241">
        <f t="shared" si="31"/>
        <v>0</v>
      </c>
      <c r="N62" s="241">
        <f t="shared" si="32"/>
        <v>0</v>
      </c>
      <c r="O62" s="241">
        <f t="shared" si="33"/>
        <v>0</v>
      </c>
      <c r="P62" s="241" t="e">
        <f t="shared" si="21"/>
        <v>#REF!</v>
      </c>
      <c r="Q62" s="241" t="e">
        <f t="shared" si="22"/>
        <v>#REF!</v>
      </c>
      <c r="R62" s="295" t="e">
        <f>IF(C62="","",VLOOKUP(C62,#REF!,5,FALSE))</f>
        <v>#REF!</v>
      </c>
      <c r="U62" s="240" t="e">
        <f>H62</f>
        <v>#REF!</v>
      </c>
    </row>
    <row r="63" spans="2:21" ht="24" customHeight="1">
      <c r="B63" s="301" t="s">
        <v>376</v>
      </c>
      <c r="C63" s="294">
        <v>32</v>
      </c>
      <c r="D63" s="345" t="s">
        <v>658</v>
      </c>
      <c r="E63" s="401" t="s">
        <v>802</v>
      </c>
      <c r="F63" s="399">
        <v>0.65</v>
      </c>
      <c r="G63" s="327" t="e">
        <f t="shared" si="34"/>
        <v>#REF!</v>
      </c>
      <c r="H63" s="328" t="e">
        <f t="shared" si="23"/>
        <v>#REF!</v>
      </c>
      <c r="I63" s="241" t="e">
        <f t="shared" si="27"/>
        <v>#REF!</v>
      </c>
      <c r="J63" s="241">
        <f t="shared" si="28"/>
        <v>0</v>
      </c>
      <c r="K63" s="241">
        <f t="shared" si="29"/>
        <v>0</v>
      </c>
      <c r="L63" s="241">
        <f t="shared" si="30"/>
        <v>0</v>
      </c>
      <c r="M63" s="241">
        <f t="shared" si="31"/>
        <v>0</v>
      </c>
      <c r="N63" s="241">
        <f t="shared" si="32"/>
        <v>0</v>
      </c>
      <c r="O63" s="241">
        <f t="shared" si="33"/>
        <v>0</v>
      </c>
      <c r="P63" s="241" t="e">
        <f t="shared" si="21"/>
        <v>#REF!</v>
      </c>
      <c r="Q63" s="241" t="e">
        <f t="shared" si="22"/>
        <v>#REF!</v>
      </c>
      <c r="R63" s="295" t="e">
        <f>IF(C63="","",VLOOKUP(C63,#REF!,5,FALSE))</f>
        <v>#REF!</v>
      </c>
      <c r="U63" s="240" t="e">
        <f>H63</f>
        <v>#REF!</v>
      </c>
    </row>
    <row r="64" spans="2:21" ht="24" customHeight="1">
      <c r="B64" s="301" t="s">
        <v>377</v>
      </c>
      <c r="C64" s="294">
        <v>16</v>
      </c>
      <c r="D64" s="393" t="s">
        <v>821</v>
      </c>
      <c r="E64" s="344" t="s">
        <v>183</v>
      </c>
      <c r="F64" s="397">
        <v>230.45</v>
      </c>
      <c r="G64" s="327" t="e">
        <f t="shared" si="34"/>
        <v>#REF!</v>
      </c>
      <c r="H64" s="328" t="e">
        <f t="shared" si="23"/>
        <v>#REF!</v>
      </c>
      <c r="I64" s="241" t="e">
        <f t="shared" si="27"/>
        <v>#REF!</v>
      </c>
      <c r="J64" s="241">
        <f t="shared" si="28"/>
        <v>0</v>
      </c>
      <c r="K64" s="241">
        <f t="shared" si="29"/>
        <v>0</v>
      </c>
      <c r="L64" s="241">
        <f t="shared" si="30"/>
        <v>0</v>
      </c>
      <c r="M64" s="241">
        <f t="shared" si="31"/>
        <v>0</v>
      </c>
      <c r="N64" s="241">
        <f t="shared" si="32"/>
        <v>0</v>
      </c>
      <c r="O64" s="241">
        <f t="shared" si="33"/>
        <v>0</v>
      </c>
      <c r="P64" s="241" t="e">
        <f t="shared" si="21"/>
        <v>#REF!</v>
      </c>
      <c r="Q64" s="241" t="e">
        <f t="shared" si="22"/>
        <v>#REF!</v>
      </c>
      <c r="R64" s="295" t="e">
        <f>IF(C64="","",VLOOKUP(C64,#REF!,5,FALSE))</f>
        <v>#REF!</v>
      </c>
      <c r="U64" s="240" t="e">
        <f>H64</f>
        <v>#REF!</v>
      </c>
    </row>
    <row r="65" spans="2:25" ht="24" customHeight="1">
      <c r="B65" s="301" t="s">
        <v>378</v>
      </c>
      <c r="C65" s="294">
        <v>33</v>
      </c>
      <c r="D65" s="393" t="s">
        <v>881</v>
      </c>
      <c r="E65" s="344" t="s">
        <v>183</v>
      </c>
      <c r="F65" s="397">
        <v>25.6</v>
      </c>
      <c r="G65" s="327" t="e">
        <f t="shared" si="34"/>
        <v>#REF!</v>
      </c>
      <c r="H65" s="328" t="e">
        <f t="shared" si="23"/>
        <v>#REF!</v>
      </c>
      <c r="I65" s="241" t="e">
        <f t="shared" si="27"/>
        <v>#REF!</v>
      </c>
      <c r="J65" s="241">
        <f t="shared" si="28"/>
        <v>0</v>
      </c>
      <c r="K65" s="241">
        <f t="shared" si="29"/>
        <v>0</v>
      </c>
      <c r="L65" s="241">
        <f t="shared" si="30"/>
        <v>0</v>
      </c>
      <c r="M65" s="241">
        <f t="shared" si="31"/>
        <v>0</v>
      </c>
      <c r="N65" s="241">
        <f t="shared" si="32"/>
        <v>0</v>
      </c>
      <c r="O65" s="241">
        <f t="shared" si="33"/>
        <v>0</v>
      </c>
      <c r="P65" s="241" t="e">
        <f t="shared" si="21"/>
        <v>#REF!</v>
      </c>
      <c r="Q65" s="241" t="e">
        <f t="shared" si="22"/>
        <v>#REF!</v>
      </c>
      <c r="R65" s="295" t="e">
        <f>IF(C65="","",VLOOKUP(C65,#REF!,5,FALSE))</f>
        <v>#REF!</v>
      </c>
      <c r="U65" s="240" t="e">
        <f>H65</f>
        <v>#REF!</v>
      </c>
    </row>
    <row r="66" spans="2:25" ht="24" customHeight="1">
      <c r="B66" s="301" t="s">
        <v>379</v>
      </c>
      <c r="C66" s="294">
        <v>17</v>
      </c>
      <c r="D66" s="393" t="s">
        <v>898</v>
      </c>
      <c r="E66" s="426" t="s">
        <v>803</v>
      </c>
      <c r="F66" s="397">
        <v>21.3</v>
      </c>
      <c r="G66" s="327" t="e">
        <f t="shared" si="34"/>
        <v>#REF!</v>
      </c>
      <c r="H66" s="328" t="e">
        <f t="shared" si="23"/>
        <v>#REF!</v>
      </c>
      <c r="I66" s="241">
        <f t="shared" si="27"/>
        <v>0</v>
      </c>
      <c r="J66" s="241">
        <f t="shared" si="28"/>
        <v>0</v>
      </c>
      <c r="K66" s="241">
        <f t="shared" si="29"/>
        <v>0</v>
      </c>
      <c r="L66" s="241">
        <f t="shared" si="30"/>
        <v>0</v>
      </c>
      <c r="M66" s="241" t="e">
        <f t="shared" si="31"/>
        <v>#REF!</v>
      </c>
      <c r="N66" s="241">
        <f t="shared" si="32"/>
        <v>0</v>
      </c>
      <c r="O66" s="241">
        <f t="shared" si="33"/>
        <v>0</v>
      </c>
      <c r="P66" s="241" t="e">
        <f t="shared" si="21"/>
        <v>#REF!</v>
      </c>
      <c r="Q66" s="241" t="e">
        <f t="shared" si="22"/>
        <v>#REF!</v>
      </c>
      <c r="R66" s="295" t="e">
        <f>IF(C66="","",VLOOKUP(C66,#REF!,5,FALSE))</f>
        <v>#REF!</v>
      </c>
      <c r="Y66" s="240" t="e">
        <f>H66</f>
        <v>#REF!</v>
      </c>
    </row>
    <row r="67" spans="2:25" ht="24" customHeight="1">
      <c r="B67" s="301" t="s">
        <v>380</v>
      </c>
      <c r="C67" s="294">
        <v>34</v>
      </c>
      <c r="D67" s="393" t="s">
        <v>659</v>
      </c>
      <c r="E67" s="426" t="s">
        <v>803</v>
      </c>
      <c r="F67" s="397">
        <v>14.3</v>
      </c>
      <c r="G67" s="327" t="e">
        <f t="shared" si="34"/>
        <v>#REF!</v>
      </c>
      <c r="H67" s="328" t="e">
        <f t="shared" si="23"/>
        <v>#REF!</v>
      </c>
      <c r="I67" s="241" t="e">
        <f t="shared" si="27"/>
        <v>#REF!</v>
      </c>
      <c r="J67" s="241">
        <f t="shared" si="28"/>
        <v>0</v>
      </c>
      <c r="K67" s="241">
        <f t="shared" si="29"/>
        <v>0</v>
      </c>
      <c r="L67" s="241">
        <f t="shared" si="30"/>
        <v>0</v>
      </c>
      <c r="M67" s="241">
        <f t="shared" si="31"/>
        <v>0</v>
      </c>
      <c r="N67" s="241">
        <f t="shared" si="32"/>
        <v>0</v>
      </c>
      <c r="O67" s="241">
        <f t="shared" si="33"/>
        <v>0</v>
      </c>
      <c r="P67" s="241" t="e">
        <f t="shared" si="21"/>
        <v>#REF!</v>
      </c>
      <c r="Q67" s="241" t="e">
        <f t="shared" si="22"/>
        <v>#REF!</v>
      </c>
      <c r="R67" s="295" t="e">
        <f>IF(C67="","",VLOOKUP(C67,#REF!,5,FALSE))</f>
        <v>#REF!</v>
      </c>
      <c r="U67" s="240" t="e">
        <f>H67</f>
        <v>#REF!</v>
      </c>
    </row>
    <row r="68" spans="2:25" ht="24" customHeight="1">
      <c r="B68" s="301" t="s">
        <v>381</v>
      </c>
      <c r="C68" s="294">
        <v>18</v>
      </c>
      <c r="D68" s="393" t="s">
        <v>899</v>
      </c>
      <c r="E68" s="426" t="s">
        <v>803</v>
      </c>
      <c r="F68" s="397">
        <v>20.2</v>
      </c>
      <c r="G68" s="327" t="e">
        <f t="shared" si="34"/>
        <v>#REF!</v>
      </c>
      <c r="H68" s="328" t="e">
        <f t="shared" si="23"/>
        <v>#REF!</v>
      </c>
      <c r="I68" s="241" t="e">
        <f t="shared" si="27"/>
        <v>#REF!</v>
      </c>
      <c r="J68" s="241">
        <f t="shared" si="28"/>
        <v>0</v>
      </c>
      <c r="K68" s="241">
        <f t="shared" si="29"/>
        <v>0</v>
      </c>
      <c r="L68" s="241">
        <f t="shared" si="30"/>
        <v>0</v>
      </c>
      <c r="M68" s="241">
        <f t="shared" si="31"/>
        <v>0</v>
      </c>
      <c r="N68" s="241">
        <f t="shared" si="32"/>
        <v>0</v>
      </c>
      <c r="O68" s="241">
        <f t="shared" si="33"/>
        <v>0</v>
      </c>
      <c r="P68" s="241" t="e">
        <f t="shared" si="21"/>
        <v>#REF!</v>
      </c>
      <c r="Q68" s="241" t="e">
        <f t="shared" si="22"/>
        <v>#REF!</v>
      </c>
      <c r="R68" s="295" t="e">
        <f>IF(C68="","",VLOOKUP(C68,#REF!,5,FALSE))</f>
        <v>#REF!</v>
      </c>
      <c r="U68" s="240" t="e">
        <f>H68</f>
        <v>#REF!</v>
      </c>
    </row>
    <row r="69" spans="2:25" ht="24" customHeight="1">
      <c r="B69" s="301" t="s">
        <v>382</v>
      </c>
      <c r="C69" s="294">
        <v>35</v>
      </c>
      <c r="D69" s="393" t="s">
        <v>660</v>
      </c>
      <c r="E69" s="426" t="s">
        <v>803</v>
      </c>
      <c r="F69" s="397">
        <v>15.4</v>
      </c>
      <c r="G69" s="327" t="e">
        <f t="shared" si="34"/>
        <v>#REF!</v>
      </c>
      <c r="H69" s="328" t="e">
        <f t="shared" si="23"/>
        <v>#REF!</v>
      </c>
      <c r="I69" s="241" t="e">
        <f t="shared" si="27"/>
        <v>#REF!</v>
      </c>
      <c r="J69" s="241">
        <f t="shared" si="28"/>
        <v>0</v>
      </c>
      <c r="K69" s="241">
        <f t="shared" si="29"/>
        <v>0</v>
      </c>
      <c r="L69" s="241">
        <f t="shared" si="30"/>
        <v>0</v>
      </c>
      <c r="M69" s="241">
        <f t="shared" si="31"/>
        <v>0</v>
      </c>
      <c r="N69" s="241">
        <f t="shared" si="32"/>
        <v>0</v>
      </c>
      <c r="O69" s="241">
        <f t="shared" si="33"/>
        <v>0</v>
      </c>
      <c r="P69" s="241" t="e">
        <f t="shared" ref="P69:P77" si="35">SUM(I69:O69)</f>
        <v>#REF!</v>
      </c>
      <c r="Q69" s="241" t="e">
        <f t="shared" si="22"/>
        <v>#REF!</v>
      </c>
      <c r="R69" s="295" t="e">
        <f>IF(C69="","",VLOOKUP(C69,#REF!,5,FALSE))</f>
        <v>#REF!</v>
      </c>
      <c r="U69" s="240" t="e">
        <f>H69</f>
        <v>#REF!</v>
      </c>
    </row>
    <row r="70" spans="2:25" ht="24" customHeight="1">
      <c r="B70" s="301" t="s">
        <v>383</v>
      </c>
      <c r="C70" s="294">
        <v>36</v>
      </c>
      <c r="D70" s="393" t="s">
        <v>818</v>
      </c>
      <c r="E70" s="401" t="s">
        <v>802</v>
      </c>
      <c r="F70" s="397">
        <v>20</v>
      </c>
      <c r="G70" s="327" t="e">
        <f t="shared" si="34"/>
        <v>#REF!</v>
      </c>
      <c r="H70" s="328" t="e">
        <f t="shared" si="23"/>
        <v>#REF!</v>
      </c>
      <c r="I70" s="241">
        <f t="shared" si="27"/>
        <v>0</v>
      </c>
      <c r="J70" s="241" t="e">
        <f t="shared" si="28"/>
        <v>#REF!</v>
      </c>
      <c r="K70" s="241">
        <f t="shared" si="29"/>
        <v>0</v>
      </c>
      <c r="L70" s="241">
        <f t="shared" si="30"/>
        <v>0</v>
      </c>
      <c r="M70" s="241">
        <f t="shared" si="31"/>
        <v>0</v>
      </c>
      <c r="N70" s="241">
        <f t="shared" si="32"/>
        <v>0</v>
      </c>
      <c r="O70" s="241">
        <f t="shared" si="33"/>
        <v>0</v>
      </c>
      <c r="P70" s="241" t="e">
        <f t="shared" si="35"/>
        <v>#REF!</v>
      </c>
      <c r="Q70" s="241" t="e">
        <f t="shared" ref="Q70:Q78" si="36">H70-P70</f>
        <v>#REF!</v>
      </c>
      <c r="R70" s="295" t="e">
        <f>IF(C70="","",VLOOKUP(C70,#REF!,5,FALSE))</f>
        <v>#REF!</v>
      </c>
      <c r="V70" s="240" t="e">
        <f>H70</f>
        <v>#REF!</v>
      </c>
    </row>
    <row r="71" spans="2:25" ht="24" customHeight="1">
      <c r="B71" s="299" t="s">
        <v>384</v>
      </c>
      <c r="C71" s="300"/>
      <c r="D71" s="292" t="s">
        <v>661</v>
      </c>
      <c r="E71" s="300"/>
      <c r="F71" s="332"/>
      <c r="G71" s="327"/>
      <c r="H71" s="328"/>
      <c r="I71" s="241">
        <f t="shared" si="27"/>
        <v>0</v>
      </c>
      <c r="J71" s="241">
        <f t="shared" si="28"/>
        <v>0</v>
      </c>
      <c r="K71" s="241">
        <f t="shared" si="29"/>
        <v>0</v>
      </c>
      <c r="L71" s="241">
        <f t="shared" si="30"/>
        <v>0</v>
      </c>
      <c r="M71" s="241">
        <f t="shared" si="31"/>
        <v>0</v>
      </c>
      <c r="N71" s="241">
        <f t="shared" si="32"/>
        <v>0</v>
      </c>
      <c r="O71" s="241">
        <f t="shared" si="33"/>
        <v>0</v>
      </c>
      <c r="P71" s="241">
        <f t="shared" si="35"/>
        <v>0</v>
      </c>
      <c r="Q71" s="241">
        <f t="shared" si="36"/>
        <v>0</v>
      </c>
      <c r="R71" s="295" t="str">
        <f>IF(C71="","",VLOOKUP(C71,#REF!,5,FALSE))</f>
        <v/>
      </c>
    </row>
    <row r="72" spans="2:25" ht="24" customHeight="1">
      <c r="B72" s="301" t="s">
        <v>385</v>
      </c>
      <c r="C72" s="294">
        <v>37</v>
      </c>
      <c r="D72" s="345" t="s">
        <v>800</v>
      </c>
      <c r="E72" s="426" t="s">
        <v>803</v>
      </c>
      <c r="F72" s="397">
        <v>23.9</v>
      </c>
      <c r="G72" s="327" t="e">
        <f t="shared" ref="G72:G77" si="37">ROUND(R72,2)</f>
        <v>#REF!</v>
      </c>
      <c r="H72" s="328" t="e">
        <f t="shared" si="23"/>
        <v>#REF!</v>
      </c>
      <c r="I72" s="241" t="e">
        <f t="shared" si="27"/>
        <v>#REF!</v>
      </c>
      <c r="J72" s="241">
        <f t="shared" si="28"/>
        <v>0</v>
      </c>
      <c r="K72" s="241">
        <f t="shared" si="29"/>
        <v>0</v>
      </c>
      <c r="L72" s="241">
        <f t="shared" si="30"/>
        <v>0</v>
      </c>
      <c r="M72" s="241">
        <f t="shared" si="31"/>
        <v>0</v>
      </c>
      <c r="N72" s="241">
        <f t="shared" si="32"/>
        <v>0</v>
      </c>
      <c r="O72" s="241">
        <f t="shared" si="33"/>
        <v>0</v>
      </c>
      <c r="P72" s="241" t="e">
        <f t="shared" si="35"/>
        <v>#REF!</v>
      </c>
      <c r="Q72" s="241" t="e">
        <f t="shared" si="36"/>
        <v>#REF!</v>
      </c>
      <c r="R72" s="295" t="e">
        <f>IF(C72="","",VLOOKUP(C72,#REF!,5,FALSE))</f>
        <v>#REF!</v>
      </c>
      <c r="U72" s="240" t="e">
        <f t="shared" ref="U72:U77" si="38">H72</f>
        <v>#REF!</v>
      </c>
    </row>
    <row r="73" spans="2:25" ht="24" customHeight="1">
      <c r="B73" s="301" t="s">
        <v>386</v>
      </c>
      <c r="C73" s="294">
        <v>38</v>
      </c>
      <c r="D73" s="345" t="s">
        <v>8</v>
      </c>
      <c r="E73" s="426" t="s">
        <v>803</v>
      </c>
      <c r="F73" s="397">
        <v>0.5</v>
      </c>
      <c r="G73" s="327" t="e">
        <f t="shared" si="37"/>
        <v>#REF!</v>
      </c>
      <c r="H73" s="328" t="e">
        <f t="shared" si="23"/>
        <v>#REF!</v>
      </c>
      <c r="I73" s="241" t="e">
        <f t="shared" si="27"/>
        <v>#REF!</v>
      </c>
      <c r="J73" s="241">
        <f t="shared" si="28"/>
        <v>0</v>
      </c>
      <c r="K73" s="241">
        <f t="shared" si="29"/>
        <v>0</v>
      </c>
      <c r="L73" s="241">
        <f t="shared" si="30"/>
        <v>0</v>
      </c>
      <c r="M73" s="241">
        <f t="shared" si="31"/>
        <v>0</v>
      </c>
      <c r="N73" s="241">
        <f t="shared" si="32"/>
        <v>0</v>
      </c>
      <c r="O73" s="241">
        <f t="shared" si="33"/>
        <v>0</v>
      </c>
      <c r="P73" s="241" t="e">
        <f t="shared" si="35"/>
        <v>#REF!</v>
      </c>
      <c r="Q73" s="241" t="e">
        <f t="shared" si="36"/>
        <v>#REF!</v>
      </c>
      <c r="R73" s="295" t="e">
        <f>IF(C73="","",VLOOKUP(C73,#REF!,5,FALSE))</f>
        <v>#REF!</v>
      </c>
      <c r="U73" s="240" t="e">
        <f t="shared" si="38"/>
        <v>#REF!</v>
      </c>
    </row>
    <row r="74" spans="2:25" ht="24" customHeight="1">
      <c r="B74" s="301" t="s">
        <v>387</v>
      </c>
      <c r="C74" s="294">
        <v>39</v>
      </c>
      <c r="D74" s="345" t="s">
        <v>662</v>
      </c>
      <c r="E74" s="426" t="s">
        <v>803</v>
      </c>
      <c r="F74" s="397">
        <v>0.5</v>
      </c>
      <c r="G74" s="327" t="e">
        <f t="shared" si="37"/>
        <v>#REF!</v>
      </c>
      <c r="H74" s="328" t="e">
        <f t="shared" si="23"/>
        <v>#REF!</v>
      </c>
      <c r="I74" s="241" t="e">
        <f t="shared" si="27"/>
        <v>#REF!</v>
      </c>
      <c r="J74" s="241">
        <f t="shared" si="28"/>
        <v>0</v>
      </c>
      <c r="K74" s="241">
        <f t="shared" si="29"/>
        <v>0</v>
      </c>
      <c r="L74" s="241">
        <f t="shared" si="30"/>
        <v>0</v>
      </c>
      <c r="M74" s="241">
        <f t="shared" si="31"/>
        <v>0</v>
      </c>
      <c r="N74" s="241">
        <f t="shared" si="32"/>
        <v>0</v>
      </c>
      <c r="O74" s="241">
        <f t="shared" si="33"/>
        <v>0</v>
      </c>
      <c r="P74" s="241" t="e">
        <f t="shared" si="35"/>
        <v>#REF!</v>
      </c>
      <c r="Q74" s="241" t="e">
        <f t="shared" si="36"/>
        <v>#REF!</v>
      </c>
      <c r="R74" s="295" t="e">
        <f>IF(C74="","",VLOOKUP(C74,#REF!,5,FALSE))</f>
        <v>#REF!</v>
      </c>
      <c r="U74" s="240" t="e">
        <f t="shared" si="38"/>
        <v>#REF!</v>
      </c>
    </row>
    <row r="75" spans="2:25" ht="24" customHeight="1">
      <c r="B75" s="301" t="s">
        <v>388</v>
      </c>
      <c r="C75" s="294">
        <v>40</v>
      </c>
      <c r="D75" s="345" t="s">
        <v>124</v>
      </c>
      <c r="E75" s="426" t="s">
        <v>803</v>
      </c>
      <c r="F75" s="397">
        <v>15.2</v>
      </c>
      <c r="G75" s="327" t="e">
        <f t="shared" si="37"/>
        <v>#REF!</v>
      </c>
      <c r="H75" s="328" t="e">
        <f t="shared" si="23"/>
        <v>#REF!</v>
      </c>
      <c r="I75" s="241" t="e">
        <f t="shared" si="27"/>
        <v>#REF!</v>
      </c>
      <c r="J75" s="241">
        <f t="shared" si="28"/>
        <v>0</v>
      </c>
      <c r="K75" s="241">
        <f t="shared" si="29"/>
        <v>0</v>
      </c>
      <c r="L75" s="241">
        <f t="shared" si="30"/>
        <v>0</v>
      </c>
      <c r="M75" s="241">
        <f t="shared" si="31"/>
        <v>0</v>
      </c>
      <c r="N75" s="241">
        <f t="shared" si="32"/>
        <v>0</v>
      </c>
      <c r="O75" s="241">
        <f t="shared" si="33"/>
        <v>0</v>
      </c>
      <c r="P75" s="241" t="e">
        <f t="shared" si="35"/>
        <v>#REF!</v>
      </c>
      <c r="Q75" s="241" t="e">
        <f t="shared" si="36"/>
        <v>#REF!</v>
      </c>
      <c r="R75" s="295" t="e">
        <f>IF(C75="","",VLOOKUP(C75,#REF!,5,FALSE))</f>
        <v>#REF!</v>
      </c>
      <c r="U75" s="240" t="e">
        <f t="shared" si="38"/>
        <v>#REF!</v>
      </c>
    </row>
    <row r="76" spans="2:25" ht="24" customHeight="1">
      <c r="B76" s="301" t="s">
        <v>389</v>
      </c>
      <c r="C76" s="294">
        <v>41</v>
      </c>
      <c r="D76" s="345" t="s">
        <v>663</v>
      </c>
      <c r="E76" s="426" t="s">
        <v>69</v>
      </c>
      <c r="F76" s="397">
        <v>1</v>
      </c>
      <c r="G76" s="327" t="e">
        <f t="shared" si="37"/>
        <v>#REF!</v>
      </c>
      <c r="H76" s="328" t="e">
        <f t="shared" si="23"/>
        <v>#REF!</v>
      </c>
      <c r="I76" s="241" t="e">
        <f t="shared" si="27"/>
        <v>#REF!</v>
      </c>
      <c r="J76" s="241">
        <f t="shared" si="28"/>
        <v>0</v>
      </c>
      <c r="K76" s="241">
        <f t="shared" si="29"/>
        <v>0</v>
      </c>
      <c r="L76" s="241">
        <f t="shared" si="30"/>
        <v>0</v>
      </c>
      <c r="M76" s="241">
        <f t="shared" si="31"/>
        <v>0</v>
      </c>
      <c r="N76" s="241">
        <f t="shared" si="32"/>
        <v>0</v>
      </c>
      <c r="O76" s="241">
        <f t="shared" si="33"/>
        <v>0</v>
      </c>
      <c r="P76" s="241" t="e">
        <f t="shared" si="35"/>
        <v>#REF!</v>
      </c>
      <c r="Q76" s="241" t="e">
        <f t="shared" si="36"/>
        <v>#REF!</v>
      </c>
      <c r="R76" s="295" t="e">
        <f>IF(C76="","",VLOOKUP(C76,#REF!,5,FALSE))</f>
        <v>#REF!</v>
      </c>
      <c r="U76" s="240" t="e">
        <f t="shared" si="38"/>
        <v>#REF!</v>
      </c>
    </row>
    <row r="77" spans="2:25" ht="24" customHeight="1">
      <c r="B77" s="301" t="s">
        <v>390</v>
      </c>
      <c r="C77" s="294">
        <v>42</v>
      </c>
      <c r="D77" s="345" t="s">
        <v>664</v>
      </c>
      <c r="E77" s="426" t="s">
        <v>803</v>
      </c>
      <c r="F77" s="397">
        <v>0.5</v>
      </c>
      <c r="G77" s="327" t="e">
        <f t="shared" si="37"/>
        <v>#REF!</v>
      </c>
      <c r="H77" s="328" t="e">
        <f t="shared" si="23"/>
        <v>#REF!</v>
      </c>
      <c r="I77" s="241" t="e">
        <f t="shared" si="27"/>
        <v>#REF!</v>
      </c>
      <c r="J77" s="241">
        <f t="shared" si="28"/>
        <v>0</v>
      </c>
      <c r="K77" s="241">
        <f t="shared" si="29"/>
        <v>0</v>
      </c>
      <c r="L77" s="241">
        <f t="shared" si="30"/>
        <v>0</v>
      </c>
      <c r="M77" s="241">
        <f t="shared" si="31"/>
        <v>0</v>
      </c>
      <c r="N77" s="241">
        <f t="shared" si="32"/>
        <v>0</v>
      </c>
      <c r="O77" s="241">
        <f t="shared" si="33"/>
        <v>0</v>
      </c>
      <c r="P77" s="241" t="e">
        <f t="shared" si="35"/>
        <v>#REF!</v>
      </c>
      <c r="Q77" s="241" t="e">
        <f t="shared" si="36"/>
        <v>#REF!</v>
      </c>
      <c r="R77" s="295" t="e">
        <f>IF(C77="","",VLOOKUP(C77,#REF!,5,FALSE))</f>
        <v>#REF!</v>
      </c>
      <c r="U77" s="240" t="e">
        <f t="shared" si="38"/>
        <v>#REF!</v>
      </c>
    </row>
    <row r="78" spans="2:25" ht="24" customHeight="1">
      <c r="B78" s="299" t="s">
        <v>391</v>
      </c>
      <c r="C78" s="300"/>
      <c r="D78" s="292" t="s">
        <v>665</v>
      </c>
      <c r="E78" s="294"/>
      <c r="F78" s="327"/>
      <c r="G78" s="327"/>
      <c r="H78" s="328"/>
      <c r="I78" s="241">
        <f t="shared" ref="I78:I85" si="39">U78</f>
        <v>0</v>
      </c>
      <c r="J78" s="241">
        <f t="shared" ref="J78:J85" si="40">V78</f>
        <v>0</v>
      </c>
      <c r="K78" s="241">
        <f t="shared" ref="K78:K85" si="41">W78</f>
        <v>0</v>
      </c>
      <c r="L78" s="241">
        <f t="shared" ref="L78:L85" si="42">X78</f>
        <v>0</v>
      </c>
      <c r="M78" s="241">
        <f t="shared" ref="M78:M85" si="43">Y78</f>
        <v>0</v>
      </c>
      <c r="N78" s="241">
        <f t="shared" ref="N78:N85" si="44">Z78</f>
        <v>0</v>
      </c>
      <c r="O78" s="241">
        <f t="shared" ref="O78:O85" si="45">AA78</f>
        <v>0</v>
      </c>
      <c r="P78" s="241">
        <f t="shared" ref="P78:P131" si="46">SUM(I78:O78)</f>
        <v>0</v>
      </c>
      <c r="Q78" s="241">
        <f t="shared" si="36"/>
        <v>0</v>
      </c>
      <c r="R78" s="295" t="str">
        <f>IF(C78="","",VLOOKUP(C78,#REF!,5,FALSE))</f>
        <v/>
      </c>
    </row>
    <row r="79" spans="2:25" ht="24" customHeight="1">
      <c r="B79" s="301" t="s">
        <v>392</v>
      </c>
      <c r="C79" s="294">
        <v>43</v>
      </c>
      <c r="D79" s="345" t="s">
        <v>666</v>
      </c>
      <c r="E79" s="426" t="s">
        <v>803</v>
      </c>
      <c r="F79" s="397">
        <v>62.35</v>
      </c>
      <c r="G79" s="327" t="e">
        <f t="shared" ref="G79:G123" si="47">ROUND(R79,2)</f>
        <v>#REF!</v>
      </c>
      <c r="H79" s="328" t="e">
        <f t="shared" ref="H79:H131" si="48">ROUND(F79*G79,2)</f>
        <v>#REF!</v>
      </c>
      <c r="I79" s="241" t="e">
        <f t="shared" si="39"/>
        <v>#REF!</v>
      </c>
      <c r="J79" s="241">
        <f t="shared" si="40"/>
        <v>0</v>
      </c>
      <c r="K79" s="241">
        <f t="shared" si="41"/>
        <v>0</v>
      </c>
      <c r="L79" s="241">
        <f t="shared" si="42"/>
        <v>0</v>
      </c>
      <c r="M79" s="241">
        <f t="shared" si="43"/>
        <v>0</v>
      </c>
      <c r="N79" s="241">
        <f t="shared" si="44"/>
        <v>0</v>
      </c>
      <c r="O79" s="241">
        <f t="shared" si="45"/>
        <v>0</v>
      </c>
      <c r="P79" s="241" t="e">
        <f t="shared" si="46"/>
        <v>#REF!</v>
      </c>
      <c r="Q79" s="241" t="e">
        <f t="shared" ref="Q79:Q131" si="49">H79-P79</f>
        <v>#REF!</v>
      </c>
      <c r="R79" s="295" t="e">
        <f>IF(C79="","",VLOOKUP(C79,#REF!,5,FALSE))</f>
        <v>#REF!</v>
      </c>
      <c r="U79" s="240" t="e">
        <f t="shared" ref="U79:U85" si="50">H79</f>
        <v>#REF!</v>
      </c>
    </row>
    <row r="80" spans="2:25" ht="24" customHeight="1">
      <c r="B80" s="301" t="s">
        <v>393</v>
      </c>
      <c r="C80" s="294">
        <v>44</v>
      </c>
      <c r="D80" s="345" t="s">
        <v>819</v>
      </c>
      <c r="E80" s="426" t="s">
        <v>803</v>
      </c>
      <c r="F80" s="397">
        <v>62.35</v>
      </c>
      <c r="G80" s="327" t="e">
        <f t="shared" si="47"/>
        <v>#REF!</v>
      </c>
      <c r="H80" s="328" t="e">
        <f t="shared" si="48"/>
        <v>#REF!</v>
      </c>
      <c r="I80" s="241" t="e">
        <f t="shared" si="39"/>
        <v>#REF!</v>
      </c>
      <c r="J80" s="241">
        <f t="shared" si="40"/>
        <v>0</v>
      </c>
      <c r="K80" s="241">
        <f t="shared" si="41"/>
        <v>0</v>
      </c>
      <c r="L80" s="241">
        <f t="shared" si="42"/>
        <v>0</v>
      </c>
      <c r="M80" s="241">
        <f t="shared" si="43"/>
        <v>0</v>
      </c>
      <c r="N80" s="241">
        <f t="shared" si="44"/>
        <v>0</v>
      </c>
      <c r="O80" s="241">
        <f t="shared" si="45"/>
        <v>0</v>
      </c>
      <c r="P80" s="241" t="e">
        <f t="shared" si="46"/>
        <v>#REF!</v>
      </c>
      <c r="Q80" s="241" t="e">
        <f t="shared" si="49"/>
        <v>#REF!</v>
      </c>
      <c r="R80" s="295" t="e">
        <f>IF(C80="","",VLOOKUP(C80,#REF!,5,FALSE))</f>
        <v>#REF!</v>
      </c>
      <c r="U80" s="240" t="e">
        <f t="shared" si="50"/>
        <v>#REF!</v>
      </c>
    </row>
    <row r="81" spans="2:21" ht="24" customHeight="1">
      <c r="B81" s="301" t="s">
        <v>394</v>
      </c>
      <c r="C81" s="294">
        <v>45</v>
      </c>
      <c r="D81" s="345" t="s">
        <v>667</v>
      </c>
      <c r="E81" s="426" t="s">
        <v>803</v>
      </c>
      <c r="F81" s="397">
        <v>62.35</v>
      </c>
      <c r="G81" s="327" t="e">
        <f t="shared" si="47"/>
        <v>#REF!</v>
      </c>
      <c r="H81" s="328" t="e">
        <f t="shared" si="48"/>
        <v>#REF!</v>
      </c>
      <c r="I81" s="241" t="e">
        <f t="shared" si="39"/>
        <v>#REF!</v>
      </c>
      <c r="J81" s="241">
        <f t="shared" si="40"/>
        <v>0</v>
      </c>
      <c r="K81" s="241">
        <f t="shared" si="41"/>
        <v>0</v>
      </c>
      <c r="L81" s="241">
        <f t="shared" si="42"/>
        <v>0</v>
      </c>
      <c r="M81" s="241">
        <f t="shared" si="43"/>
        <v>0</v>
      </c>
      <c r="N81" s="241">
        <f t="shared" si="44"/>
        <v>0</v>
      </c>
      <c r="O81" s="241">
        <f t="shared" si="45"/>
        <v>0</v>
      </c>
      <c r="P81" s="241" t="e">
        <f t="shared" si="46"/>
        <v>#REF!</v>
      </c>
      <c r="Q81" s="241" t="e">
        <f t="shared" si="49"/>
        <v>#REF!</v>
      </c>
      <c r="R81" s="295" t="e">
        <f>IF(C81="","",VLOOKUP(C81,#REF!,5,FALSE))</f>
        <v>#REF!</v>
      </c>
      <c r="U81" s="240" t="e">
        <f t="shared" si="50"/>
        <v>#REF!</v>
      </c>
    </row>
    <row r="82" spans="2:21" ht="24" customHeight="1">
      <c r="B82" s="301" t="s">
        <v>395</v>
      </c>
      <c r="C82" s="294">
        <v>46</v>
      </c>
      <c r="D82" s="345" t="s">
        <v>668</v>
      </c>
      <c r="E82" s="426" t="s">
        <v>803</v>
      </c>
      <c r="F82" s="397">
        <v>0.5</v>
      </c>
      <c r="G82" s="327" t="e">
        <f t="shared" si="47"/>
        <v>#REF!</v>
      </c>
      <c r="H82" s="328" t="e">
        <f t="shared" si="48"/>
        <v>#REF!</v>
      </c>
      <c r="I82" s="241" t="e">
        <f t="shared" si="39"/>
        <v>#REF!</v>
      </c>
      <c r="J82" s="241">
        <f t="shared" si="40"/>
        <v>0</v>
      </c>
      <c r="K82" s="241">
        <f t="shared" si="41"/>
        <v>0</v>
      </c>
      <c r="L82" s="241">
        <f t="shared" si="42"/>
        <v>0</v>
      </c>
      <c r="M82" s="241">
        <f t="shared" si="43"/>
        <v>0</v>
      </c>
      <c r="N82" s="241">
        <f t="shared" si="44"/>
        <v>0</v>
      </c>
      <c r="O82" s="241">
        <f t="shared" si="45"/>
        <v>0</v>
      </c>
      <c r="P82" s="241" t="e">
        <f t="shared" si="46"/>
        <v>#REF!</v>
      </c>
      <c r="Q82" s="241" t="e">
        <f t="shared" si="49"/>
        <v>#REF!</v>
      </c>
      <c r="R82" s="295" t="e">
        <f>IF(C82="","",VLOOKUP(C82,#REF!,5,FALSE))</f>
        <v>#REF!</v>
      </c>
      <c r="U82" s="240" t="e">
        <f t="shared" si="50"/>
        <v>#REF!</v>
      </c>
    </row>
    <row r="83" spans="2:21" ht="24" customHeight="1">
      <c r="B83" s="301" t="s">
        <v>396</v>
      </c>
      <c r="C83" s="294">
        <v>47</v>
      </c>
      <c r="D83" s="345" t="s">
        <v>669</v>
      </c>
      <c r="E83" s="426" t="s">
        <v>803</v>
      </c>
      <c r="F83" s="397">
        <v>5.9</v>
      </c>
      <c r="G83" s="327" t="e">
        <f t="shared" si="47"/>
        <v>#REF!</v>
      </c>
      <c r="H83" s="328" t="e">
        <f t="shared" si="48"/>
        <v>#REF!</v>
      </c>
      <c r="I83" s="241" t="e">
        <f t="shared" si="39"/>
        <v>#REF!</v>
      </c>
      <c r="J83" s="241">
        <f t="shared" si="40"/>
        <v>0</v>
      </c>
      <c r="K83" s="241">
        <f t="shared" si="41"/>
        <v>0</v>
      </c>
      <c r="L83" s="241">
        <f t="shared" si="42"/>
        <v>0</v>
      </c>
      <c r="M83" s="241">
        <f t="shared" si="43"/>
        <v>0</v>
      </c>
      <c r="N83" s="241">
        <f t="shared" si="44"/>
        <v>0</v>
      </c>
      <c r="O83" s="241">
        <f t="shared" si="45"/>
        <v>0</v>
      </c>
      <c r="P83" s="241" t="e">
        <f t="shared" si="46"/>
        <v>#REF!</v>
      </c>
      <c r="Q83" s="241" t="e">
        <f t="shared" si="49"/>
        <v>#REF!</v>
      </c>
      <c r="R83" s="295" t="e">
        <f>IF(C83="","",VLOOKUP(C83,#REF!,5,FALSE))</f>
        <v>#REF!</v>
      </c>
      <c r="U83" s="240" t="e">
        <f t="shared" si="50"/>
        <v>#REF!</v>
      </c>
    </row>
    <row r="84" spans="2:21" ht="24" customHeight="1">
      <c r="B84" s="301" t="s">
        <v>397</v>
      </c>
      <c r="C84" s="294">
        <v>48</v>
      </c>
      <c r="D84" s="345" t="s">
        <v>670</v>
      </c>
      <c r="E84" s="426" t="s">
        <v>803</v>
      </c>
      <c r="F84" s="397">
        <v>5.3</v>
      </c>
      <c r="G84" s="327" t="e">
        <f t="shared" si="47"/>
        <v>#REF!</v>
      </c>
      <c r="H84" s="328" t="e">
        <f t="shared" si="48"/>
        <v>#REF!</v>
      </c>
      <c r="I84" s="241" t="e">
        <f t="shared" si="39"/>
        <v>#REF!</v>
      </c>
      <c r="J84" s="241">
        <f t="shared" si="40"/>
        <v>0</v>
      </c>
      <c r="K84" s="241">
        <f t="shared" si="41"/>
        <v>0</v>
      </c>
      <c r="L84" s="241">
        <f t="shared" si="42"/>
        <v>0</v>
      </c>
      <c r="M84" s="241">
        <f t="shared" si="43"/>
        <v>0</v>
      </c>
      <c r="N84" s="241">
        <f t="shared" si="44"/>
        <v>0</v>
      </c>
      <c r="O84" s="241">
        <f t="shared" si="45"/>
        <v>0</v>
      </c>
      <c r="P84" s="241" t="e">
        <f t="shared" si="46"/>
        <v>#REF!</v>
      </c>
      <c r="Q84" s="241" t="e">
        <f t="shared" si="49"/>
        <v>#REF!</v>
      </c>
      <c r="R84" s="295" t="e">
        <f>IF(C84="","",VLOOKUP(C84,#REF!,5,FALSE))</f>
        <v>#REF!</v>
      </c>
      <c r="U84" s="240" t="e">
        <f t="shared" si="50"/>
        <v>#REF!</v>
      </c>
    </row>
    <row r="85" spans="2:21" ht="24" customHeight="1">
      <c r="B85" s="299" t="s">
        <v>398</v>
      </c>
      <c r="C85" s="300"/>
      <c r="D85" s="292" t="s">
        <v>781</v>
      </c>
      <c r="E85" s="294"/>
      <c r="F85" s="327"/>
      <c r="G85" s="327"/>
      <c r="H85" s="328"/>
      <c r="I85" s="241">
        <f t="shared" si="39"/>
        <v>0</v>
      </c>
      <c r="J85" s="241">
        <f t="shared" si="40"/>
        <v>0</v>
      </c>
      <c r="K85" s="241">
        <f t="shared" si="41"/>
        <v>0</v>
      </c>
      <c r="L85" s="241">
        <f t="shared" si="42"/>
        <v>0</v>
      </c>
      <c r="M85" s="241">
        <f t="shared" si="43"/>
        <v>0</v>
      </c>
      <c r="N85" s="241">
        <f t="shared" si="44"/>
        <v>0</v>
      </c>
      <c r="O85" s="241">
        <f t="shared" si="45"/>
        <v>0</v>
      </c>
      <c r="P85" s="241">
        <f t="shared" si="46"/>
        <v>0</v>
      </c>
      <c r="Q85" s="241">
        <f t="shared" si="49"/>
        <v>0</v>
      </c>
      <c r="R85" s="295" t="str">
        <f>IF(C85="","",VLOOKUP(C85,#REF!,5,FALSE))</f>
        <v/>
      </c>
      <c r="U85" s="240">
        <f t="shared" si="50"/>
        <v>0</v>
      </c>
    </row>
    <row r="86" spans="2:21" ht="24" customHeight="1">
      <c r="B86" s="301" t="s">
        <v>399</v>
      </c>
      <c r="C86" s="294">
        <v>49</v>
      </c>
      <c r="D86" s="345" t="s">
        <v>782</v>
      </c>
      <c r="E86" s="294" t="s">
        <v>803</v>
      </c>
      <c r="F86" s="327">
        <v>5.4</v>
      </c>
      <c r="G86" s="327" t="e">
        <f t="shared" si="47"/>
        <v>#REF!</v>
      </c>
      <c r="H86" s="328" t="e">
        <f t="shared" si="48"/>
        <v>#REF!</v>
      </c>
      <c r="I86" s="241" t="e">
        <f>H86</f>
        <v>#REF!</v>
      </c>
      <c r="J86" s="241"/>
      <c r="K86" s="241"/>
      <c r="L86" s="241"/>
      <c r="M86" s="241"/>
      <c r="N86" s="241"/>
      <c r="O86" s="241"/>
      <c r="P86" s="241" t="e">
        <f t="shared" si="46"/>
        <v>#REF!</v>
      </c>
      <c r="Q86" s="241" t="e">
        <f t="shared" si="49"/>
        <v>#REF!</v>
      </c>
      <c r="R86" s="295" t="e">
        <f>IF(C86="","",VLOOKUP(C86,#REF!,5,FALSE))</f>
        <v>#REF!</v>
      </c>
    </row>
    <row r="87" spans="2:21" ht="24" customHeight="1">
      <c r="B87" s="299" t="s">
        <v>400</v>
      </c>
      <c r="C87" s="300"/>
      <c r="D87" s="292" t="s">
        <v>783</v>
      </c>
      <c r="E87" s="294"/>
      <c r="F87" s="327"/>
      <c r="G87" s="327"/>
      <c r="H87" s="328"/>
      <c r="I87" s="241">
        <f t="shared" ref="I87:O89" si="51">U87</f>
        <v>0</v>
      </c>
      <c r="J87" s="241">
        <f t="shared" si="51"/>
        <v>0</v>
      </c>
      <c r="K87" s="241">
        <f t="shared" si="51"/>
        <v>0</v>
      </c>
      <c r="L87" s="241">
        <f t="shared" si="51"/>
        <v>0</v>
      </c>
      <c r="M87" s="241">
        <f t="shared" si="51"/>
        <v>0</v>
      </c>
      <c r="N87" s="241">
        <f t="shared" si="51"/>
        <v>0</v>
      </c>
      <c r="O87" s="241">
        <f t="shared" si="51"/>
        <v>0</v>
      </c>
      <c r="P87" s="241">
        <f t="shared" si="46"/>
        <v>0</v>
      </c>
      <c r="Q87" s="241">
        <f t="shared" si="49"/>
        <v>0</v>
      </c>
      <c r="R87" s="295" t="str">
        <f>IF(C87="","",VLOOKUP(C87,#REF!,5,FALSE))</f>
        <v/>
      </c>
      <c r="U87" s="240">
        <f>H87</f>
        <v>0</v>
      </c>
    </row>
    <row r="88" spans="2:21" ht="24" customHeight="1">
      <c r="B88" s="301" t="s">
        <v>401</v>
      </c>
      <c r="C88" s="294">
        <v>50</v>
      </c>
      <c r="D88" s="342" t="s">
        <v>784</v>
      </c>
      <c r="E88" s="294" t="s">
        <v>713</v>
      </c>
      <c r="F88" s="327">
        <v>16</v>
      </c>
      <c r="G88" s="327" t="e">
        <f t="shared" si="47"/>
        <v>#REF!</v>
      </c>
      <c r="H88" s="328" t="e">
        <f t="shared" si="48"/>
        <v>#REF!</v>
      </c>
      <c r="I88" s="241" t="e">
        <f t="shared" si="51"/>
        <v>#REF!</v>
      </c>
      <c r="J88" s="241">
        <f t="shared" si="51"/>
        <v>0</v>
      </c>
      <c r="K88" s="241">
        <f t="shared" si="51"/>
        <v>0</v>
      </c>
      <c r="L88" s="241">
        <f t="shared" si="51"/>
        <v>0</v>
      </c>
      <c r="M88" s="241">
        <f t="shared" si="51"/>
        <v>0</v>
      </c>
      <c r="N88" s="241">
        <f t="shared" si="51"/>
        <v>0</v>
      </c>
      <c r="O88" s="241">
        <f t="shared" si="51"/>
        <v>0</v>
      </c>
      <c r="P88" s="241" t="e">
        <f t="shared" si="46"/>
        <v>#REF!</v>
      </c>
      <c r="Q88" s="241" t="e">
        <f t="shared" si="49"/>
        <v>#REF!</v>
      </c>
      <c r="R88" s="295" t="e">
        <f>IF(C88="","",VLOOKUP(C88,#REF!,5,FALSE))</f>
        <v>#REF!</v>
      </c>
      <c r="U88" s="240" t="e">
        <f>H88</f>
        <v>#REF!</v>
      </c>
    </row>
    <row r="89" spans="2:21" ht="24" customHeight="1">
      <c r="B89" s="301" t="s">
        <v>402</v>
      </c>
      <c r="C89" s="294">
        <v>51</v>
      </c>
      <c r="D89" s="342" t="s">
        <v>785</v>
      </c>
      <c r="E89" s="302" t="s">
        <v>713</v>
      </c>
      <c r="F89" s="329">
        <v>12</v>
      </c>
      <c r="G89" s="327" t="e">
        <f t="shared" si="47"/>
        <v>#REF!</v>
      </c>
      <c r="H89" s="328" t="e">
        <f t="shared" si="48"/>
        <v>#REF!</v>
      </c>
      <c r="I89" s="241" t="e">
        <f t="shared" si="51"/>
        <v>#REF!</v>
      </c>
      <c r="J89" s="241">
        <f t="shared" si="51"/>
        <v>0</v>
      </c>
      <c r="K89" s="241">
        <f t="shared" si="51"/>
        <v>0</v>
      </c>
      <c r="L89" s="241">
        <f t="shared" si="51"/>
        <v>0</v>
      </c>
      <c r="M89" s="241">
        <f t="shared" si="51"/>
        <v>0</v>
      </c>
      <c r="N89" s="241">
        <f t="shared" si="51"/>
        <v>0</v>
      </c>
      <c r="O89" s="241">
        <f t="shared" si="51"/>
        <v>0</v>
      </c>
      <c r="P89" s="241" t="e">
        <f t="shared" si="46"/>
        <v>#REF!</v>
      </c>
      <c r="Q89" s="241" t="e">
        <f t="shared" si="49"/>
        <v>#REF!</v>
      </c>
      <c r="R89" s="295" t="e">
        <f>IF(C89="","",VLOOKUP(C89,#REF!,5,FALSE))</f>
        <v>#REF!</v>
      </c>
      <c r="U89" s="240" t="e">
        <f>H89</f>
        <v>#REF!</v>
      </c>
    </row>
    <row r="90" spans="2:21" ht="24" customHeight="1">
      <c r="B90" s="301" t="s">
        <v>403</v>
      </c>
      <c r="C90" s="294">
        <v>52</v>
      </c>
      <c r="D90" s="342" t="s">
        <v>786</v>
      </c>
      <c r="E90" s="302" t="s">
        <v>69</v>
      </c>
      <c r="F90" s="329">
        <v>1</v>
      </c>
      <c r="G90" s="327" t="e">
        <f t="shared" si="47"/>
        <v>#REF!</v>
      </c>
      <c r="H90" s="328" t="e">
        <f>ROUND(F90*G90,2)</f>
        <v>#REF!</v>
      </c>
      <c r="I90" s="241" t="e">
        <f>H90</f>
        <v>#REF!</v>
      </c>
      <c r="J90" s="241"/>
      <c r="K90" s="241"/>
      <c r="L90" s="241"/>
      <c r="M90" s="241"/>
      <c r="N90" s="241"/>
      <c r="O90" s="241"/>
      <c r="P90" s="241" t="e">
        <f t="shared" si="46"/>
        <v>#REF!</v>
      </c>
      <c r="Q90" s="241" t="e">
        <f t="shared" si="49"/>
        <v>#REF!</v>
      </c>
      <c r="R90" s="295" t="e">
        <f>IF(C90="","",VLOOKUP(C90,#REF!,5,FALSE))</f>
        <v>#REF!</v>
      </c>
    </row>
    <row r="91" spans="2:21" ht="24" customHeight="1">
      <c r="B91" s="301" t="s">
        <v>404</v>
      </c>
      <c r="C91" s="294">
        <v>53</v>
      </c>
      <c r="D91" s="342" t="s">
        <v>796</v>
      </c>
      <c r="E91" s="294" t="s">
        <v>775</v>
      </c>
      <c r="F91" s="329">
        <v>1</v>
      </c>
      <c r="G91" s="327" t="e">
        <f t="shared" si="47"/>
        <v>#REF!</v>
      </c>
      <c r="H91" s="328" t="e">
        <f t="shared" si="48"/>
        <v>#REF!</v>
      </c>
      <c r="I91" s="241" t="e">
        <f t="shared" ref="I91:O91" si="52">U91</f>
        <v>#REF!</v>
      </c>
      <c r="J91" s="241">
        <f t="shared" si="52"/>
        <v>0</v>
      </c>
      <c r="K91" s="241">
        <f t="shared" si="52"/>
        <v>0</v>
      </c>
      <c r="L91" s="241">
        <f t="shared" si="52"/>
        <v>0</v>
      </c>
      <c r="M91" s="241">
        <f t="shared" si="52"/>
        <v>0</v>
      </c>
      <c r="N91" s="241">
        <f t="shared" si="52"/>
        <v>0</v>
      </c>
      <c r="O91" s="241">
        <f t="shared" si="52"/>
        <v>0</v>
      </c>
      <c r="P91" s="241" t="e">
        <f t="shared" si="46"/>
        <v>#REF!</v>
      </c>
      <c r="Q91" s="241" t="e">
        <f t="shared" si="49"/>
        <v>#REF!</v>
      </c>
      <c r="R91" s="295" t="e">
        <f>IF(C91="","",VLOOKUP(C91,#REF!,5,FALSE))</f>
        <v>#REF!</v>
      </c>
      <c r="U91" s="240" t="e">
        <f>H91</f>
        <v>#REF!</v>
      </c>
    </row>
    <row r="92" spans="2:21" ht="24" customHeight="1">
      <c r="B92" s="301" t="s">
        <v>405</v>
      </c>
      <c r="C92" s="294">
        <v>54</v>
      </c>
      <c r="D92" s="342" t="s">
        <v>795</v>
      </c>
      <c r="E92" s="294" t="s">
        <v>775</v>
      </c>
      <c r="F92" s="329">
        <v>1</v>
      </c>
      <c r="G92" s="327" t="e">
        <f t="shared" si="47"/>
        <v>#REF!</v>
      </c>
      <c r="H92" s="328" t="e">
        <f t="shared" si="48"/>
        <v>#REF!</v>
      </c>
      <c r="I92" s="241" t="e">
        <f>H92</f>
        <v>#REF!</v>
      </c>
      <c r="J92" s="241"/>
      <c r="K92" s="241"/>
      <c r="L92" s="241"/>
      <c r="M92" s="241"/>
      <c r="N92" s="241"/>
      <c r="O92" s="241"/>
      <c r="P92" s="241" t="e">
        <f t="shared" si="46"/>
        <v>#REF!</v>
      </c>
      <c r="Q92" s="241" t="e">
        <f t="shared" si="49"/>
        <v>#REF!</v>
      </c>
      <c r="R92" s="295" t="e">
        <f>IF(C92="","",VLOOKUP(C92,#REF!,5,FALSE))</f>
        <v>#REF!</v>
      </c>
    </row>
    <row r="93" spans="2:21" ht="24" customHeight="1">
      <c r="B93" s="299" t="s">
        <v>160</v>
      </c>
      <c r="C93" s="300"/>
      <c r="D93" s="292" t="s">
        <v>788</v>
      </c>
      <c r="E93" s="294"/>
      <c r="F93" s="329"/>
      <c r="G93" s="327"/>
      <c r="H93" s="328"/>
      <c r="I93" s="241">
        <f>H93</f>
        <v>0</v>
      </c>
      <c r="J93" s="241"/>
      <c r="K93" s="241"/>
      <c r="L93" s="241"/>
      <c r="M93" s="241"/>
      <c r="N93" s="241"/>
      <c r="O93" s="241"/>
      <c r="P93" s="241">
        <f t="shared" si="46"/>
        <v>0</v>
      </c>
      <c r="Q93" s="241">
        <f t="shared" si="49"/>
        <v>0</v>
      </c>
      <c r="R93" s="295" t="str">
        <f>IF(C93="","",VLOOKUP(C93,#REF!,5,FALSE))</f>
        <v/>
      </c>
    </row>
    <row r="94" spans="2:21" ht="24" customHeight="1">
      <c r="B94" s="299" t="s">
        <v>406</v>
      </c>
      <c r="C94" s="294"/>
      <c r="D94" s="292" t="s">
        <v>812</v>
      </c>
      <c r="E94" s="294"/>
      <c r="F94" s="329"/>
      <c r="G94" s="327"/>
      <c r="H94" s="328"/>
      <c r="I94" s="241">
        <f>H94</f>
        <v>0</v>
      </c>
      <c r="J94" s="241"/>
      <c r="K94" s="241"/>
      <c r="L94" s="241"/>
      <c r="M94" s="241"/>
      <c r="N94" s="241"/>
      <c r="O94" s="241"/>
      <c r="P94" s="241">
        <f t="shared" si="46"/>
        <v>0</v>
      </c>
      <c r="Q94" s="241">
        <f t="shared" si="49"/>
        <v>0</v>
      </c>
      <c r="R94" s="295" t="str">
        <f>IF(C94="","",VLOOKUP(C94,#REF!,5,FALSE))</f>
        <v/>
      </c>
    </row>
    <row r="95" spans="2:21" ht="24" customHeight="1">
      <c r="B95" s="301" t="s">
        <v>407</v>
      </c>
      <c r="C95" s="294">
        <v>55</v>
      </c>
      <c r="D95" s="400" t="s">
        <v>789</v>
      </c>
      <c r="E95" s="344" t="s">
        <v>803</v>
      </c>
      <c r="F95" s="397">
        <v>106</v>
      </c>
      <c r="G95" s="327" t="e">
        <f t="shared" si="47"/>
        <v>#REF!</v>
      </c>
      <c r="H95" s="328" t="e">
        <f t="shared" si="48"/>
        <v>#REF!</v>
      </c>
      <c r="I95" s="241"/>
      <c r="J95" s="241"/>
      <c r="K95" s="241"/>
      <c r="L95" s="241"/>
      <c r="M95" s="241"/>
      <c r="N95" s="241"/>
      <c r="O95" s="241"/>
      <c r="P95" s="241"/>
      <c r="Q95" s="241"/>
      <c r="R95" s="295" t="e">
        <f>IF(C95="","",VLOOKUP(C95,#REF!,5,FALSE))</f>
        <v>#REF!</v>
      </c>
    </row>
    <row r="96" spans="2:21" ht="24" customHeight="1">
      <c r="B96" s="301" t="s">
        <v>408</v>
      </c>
      <c r="C96" s="294">
        <v>5</v>
      </c>
      <c r="D96" s="400" t="s">
        <v>790</v>
      </c>
      <c r="E96" s="344" t="s">
        <v>803</v>
      </c>
      <c r="F96" s="397">
        <v>100</v>
      </c>
      <c r="G96" s="327" t="e">
        <f t="shared" si="47"/>
        <v>#REF!</v>
      </c>
      <c r="H96" s="328" t="e">
        <f t="shared" si="48"/>
        <v>#REF!</v>
      </c>
      <c r="I96" s="241"/>
      <c r="J96" s="241"/>
      <c r="K96" s="241"/>
      <c r="L96" s="241"/>
      <c r="M96" s="241"/>
      <c r="N96" s="241"/>
      <c r="O96" s="241"/>
      <c r="P96" s="241"/>
      <c r="Q96" s="241"/>
      <c r="R96" s="295" t="e">
        <f>IF(C96="","",VLOOKUP(C96,#REF!,5,FALSE))</f>
        <v>#REF!</v>
      </c>
    </row>
    <row r="97" spans="2:21" ht="24" customHeight="1">
      <c r="B97" s="299" t="s">
        <v>409</v>
      </c>
      <c r="C97" s="300"/>
      <c r="D97" s="292" t="s">
        <v>665</v>
      </c>
      <c r="E97" s="294"/>
      <c r="F97" s="329"/>
      <c r="G97" s="327"/>
      <c r="H97" s="328"/>
      <c r="I97" s="241"/>
      <c r="J97" s="241"/>
      <c r="K97" s="241"/>
      <c r="L97" s="241"/>
      <c r="M97" s="241"/>
      <c r="N97" s="241"/>
      <c r="O97" s="241"/>
      <c r="P97" s="241"/>
      <c r="Q97" s="241"/>
      <c r="R97" s="295" t="str">
        <f>IF(C97="","",VLOOKUP(C97,#REF!,5,FALSE))</f>
        <v/>
      </c>
    </row>
    <row r="98" spans="2:21" ht="24" customHeight="1">
      <c r="B98" s="301" t="s">
        <v>410</v>
      </c>
      <c r="C98" s="294">
        <v>46</v>
      </c>
      <c r="D98" s="345" t="s">
        <v>668</v>
      </c>
      <c r="E98" s="426" t="s">
        <v>803</v>
      </c>
      <c r="F98" s="397">
        <v>55</v>
      </c>
      <c r="G98" s="327" t="e">
        <f t="shared" si="47"/>
        <v>#REF!</v>
      </c>
      <c r="H98" s="328" t="e">
        <f t="shared" si="48"/>
        <v>#REF!</v>
      </c>
      <c r="I98" s="241"/>
      <c r="J98" s="241"/>
      <c r="K98" s="241"/>
      <c r="L98" s="241"/>
      <c r="M98" s="241"/>
      <c r="N98" s="241"/>
      <c r="O98" s="241"/>
      <c r="P98" s="241"/>
      <c r="Q98" s="241"/>
      <c r="R98" s="295" t="e">
        <f>IF(C98="","",VLOOKUP(C98,#REF!,5,FALSE))</f>
        <v>#REF!</v>
      </c>
    </row>
    <row r="99" spans="2:21" ht="24" customHeight="1">
      <c r="B99" s="299" t="s">
        <v>411</v>
      </c>
      <c r="C99" s="300"/>
      <c r="D99" s="292" t="s">
        <v>791</v>
      </c>
      <c r="E99" s="294"/>
      <c r="F99" s="329"/>
      <c r="G99" s="327"/>
      <c r="H99" s="328"/>
      <c r="I99" s="241"/>
      <c r="J99" s="241"/>
      <c r="K99" s="241"/>
      <c r="L99" s="241"/>
      <c r="M99" s="241"/>
      <c r="N99" s="241"/>
      <c r="O99" s="241"/>
      <c r="P99" s="241"/>
      <c r="Q99" s="241"/>
      <c r="R99" s="295" t="str">
        <f>IF(C99="","",VLOOKUP(C99,#REF!,5,FALSE))</f>
        <v/>
      </c>
    </row>
    <row r="100" spans="2:21" ht="24" customHeight="1">
      <c r="B100" s="301" t="s">
        <v>412</v>
      </c>
      <c r="C100" s="294">
        <v>19</v>
      </c>
      <c r="D100" s="393" t="s">
        <v>901</v>
      </c>
      <c r="E100" s="344" t="s">
        <v>803</v>
      </c>
      <c r="F100" s="397">
        <v>9.15</v>
      </c>
      <c r="G100" s="327" t="e">
        <f t="shared" si="47"/>
        <v>#REF!</v>
      </c>
      <c r="H100" s="328" t="e">
        <f t="shared" si="48"/>
        <v>#REF!</v>
      </c>
      <c r="I100" s="241"/>
      <c r="J100" s="241"/>
      <c r="K100" s="241"/>
      <c r="L100" s="241"/>
      <c r="M100" s="241"/>
      <c r="N100" s="241"/>
      <c r="O100" s="241"/>
      <c r="P100" s="241"/>
      <c r="Q100" s="241"/>
      <c r="R100" s="295" t="e">
        <f>IF(C100="","",VLOOKUP(C100,#REF!,5,FALSE))</f>
        <v>#REF!</v>
      </c>
    </row>
    <row r="101" spans="2:21" ht="24" customHeight="1">
      <c r="B101" s="301" t="s">
        <v>413</v>
      </c>
      <c r="C101" s="294">
        <v>49</v>
      </c>
      <c r="D101" s="345" t="s">
        <v>782</v>
      </c>
      <c r="E101" s="426" t="s">
        <v>803</v>
      </c>
      <c r="F101" s="397">
        <v>4.9000000000000004</v>
      </c>
      <c r="G101" s="327" t="e">
        <f t="shared" si="47"/>
        <v>#REF!</v>
      </c>
      <c r="H101" s="328" t="e">
        <f t="shared" si="48"/>
        <v>#REF!</v>
      </c>
      <c r="I101" s="241"/>
      <c r="J101" s="241"/>
      <c r="K101" s="241"/>
      <c r="L101" s="241"/>
      <c r="M101" s="241"/>
      <c r="N101" s="241"/>
      <c r="O101" s="241"/>
      <c r="P101" s="241"/>
      <c r="Q101" s="241"/>
      <c r="R101" s="295" t="e">
        <f>IF(C101="","",VLOOKUP(C101,#REF!,5,FALSE))</f>
        <v>#REF!</v>
      </c>
    </row>
    <row r="102" spans="2:21" ht="24" customHeight="1">
      <c r="B102" s="301" t="s">
        <v>414</v>
      </c>
      <c r="C102" s="294">
        <v>20</v>
      </c>
      <c r="D102" s="345" t="s">
        <v>902</v>
      </c>
      <c r="E102" s="344" t="s">
        <v>713</v>
      </c>
      <c r="F102" s="397">
        <v>27</v>
      </c>
      <c r="G102" s="327" t="e">
        <f t="shared" si="47"/>
        <v>#REF!</v>
      </c>
      <c r="H102" s="328" t="e">
        <f t="shared" si="48"/>
        <v>#REF!</v>
      </c>
      <c r="I102" s="241"/>
      <c r="J102" s="241"/>
      <c r="K102" s="241"/>
      <c r="L102" s="241"/>
      <c r="M102" s="241"/>
      <c r="N102" s="241"/>
      <c r="O102" s="241"/>
      <c r="P102" s="241"/>
      <c r="Q102" s="241"/>
      <c r="R102" s="295" t="e">
        <f>IF(C102="","",VLOOKUP(C102,#REF!,5,FALSE))</f>
        <v>#REF!</v>
      </c>
    </row>
    <row r="103" spans="2:21" ht="24" customHeight="1">
      <c r="B103" s="299" t="s">
        <v>415</v>
      </c>
      <c r="C103" s="300"/>
      <c r="D103" s="292" t="s">
        <v>792</v>
      </c>
      <c r="E103" s="294"/>
      <c r="F103" s="329"/>
      <c r="G103" s="327"/>
      <c r="H103" s="328"/>
      <c r="I103" s="241"/>
      <c r="J103" s="241"/>
      <c r="K103" s="241"/>
      <c r="L103" s="241"/>
      <c r="M103" s="241"/>
      <c r="N103" s="241"/>
      <c r="O103" s="241"/>
      <c r="P103" s="241"/>
      <c r="Q103" s="241"/>
      <c r="R103" s="295" t="str">
        <f>IF(C103="","",VLOOKUP(C103,#REF!,5,FALSE))</f>
        <v/>
      </c>
    </row>
    <row r="104" spans="2:21" ht="24" customHeight="1">
      <c r="B104" s="301" t="s">
        <v>416</v>
      </c>
      <c r="C104" s="294">
        <v>22</v>
      </c>
      <c r="D104" s="393" t="s">
        <v>158</v>
      </c>
      <c r="E104" s="344" t="s">
        <v>713</v>
      </c>
      <c r="F104" s="397">
        <v>40</v>
      </c>
      <c r="G104" s="327" t="e">
        <f t="shared" si="47"/>
        <v>#REF!</v>
      </c>
      <c r="H104" s="328" t="e">
        <f t="shared" si="48"/>
        <v>#REF!</v>
      </c>
      <c r="I104" s="241"/>
      <c r="J104" s="241"/>
      <c r="K104" s="241"/>
      <c r="L104" s="241"/>
      <c r="M104" s="241"/>
      <c r="N104" s="241"/>
      <c r="O104" s="241"/>
      <c r="P104" s="241"/>
      <c r="Q104" s="241"/>
      <c r="R104" s="295" t="e">
        <f>IF(C104="","",VLOOKUP(C104,#REF!,5,FALSE))</f>
        <v>#REF!</v>
      </c>
    </row>
    <row r="105" spans="2:21" ht="24" customHeight="1">
      <c r="B105" s="301" t="s">
        <v>417</v>
      </c>
      <c r="C105" s="294">
        <v>56</v>
      </c>
      <c r="D105" s="393" t="s">
        <v>793</v>
      </c>
      <c r="E105" s="344" t="s">
        <v>69</v>
      </c>
      <c r="F105" s="396">
        <v>1</v>
      </c>
      <c r="G105" s="327" t="e">
        <f t="shared" si="47"/>
        <v>#REF!</v>
      </c>
      <c r="H105" s="328" t="e">
        <f t="shared" si="48"/>
        <v>#REF!</v>
      </c>
      <c r="I105" s="241" t="e">
        <f>H105</f>
        <v>#REF!</v>
      </c>
      <c r="J105" s="241"/>
      <c r="K105" s="241"/>
      <c r="L105" s="241"/>
      <c r="M105" s="241"/>
      <c r="N105" s="241"/>
      <c r="O105" s="241"/>
      <c r="P105" s="241" t="e">
        <f t="shared" si="46"/>
        <v>#REF!</v>
      </c>
      <c r="Q105" s="241" t="e">
        <f t="shared" si="49"/>
        <v>#REF!</v>
      </c>
      <c r="R105" s="295" t="e">
        <f>IF(C105="","",VLOOKUP(C105,#REF!,5,FALSE))</f>
        <v>#REF!</v>
      </c>
    </row>
    <row r="106" spans="2:21" ht="24" customHeight="1">
      <c r="B106" s="301" t="s">
        <v>418</v>
      </c>
      <c r="C106" s="294">
        <v>23</v>
      </c>
      <c r="D106" s="393" t="s">
        <v>823</v>
      </c>
      <c r="E106" s="426" t="s">
        <v>803</v>
      </c>
      <c r="F106" s="396">
        <v>83</v>
      </c>
      <c r="G106" s="327" t="e">
        <f t="shared" si="47"/>
        <v>#REF!</v>
      </c>
      <c r="H106" s="328" t="e">
        <f t="shared" si="48"/>
        <v>#REF!</v>
      </c>
      <c r="I106" s="241" t="e">
        <f t="shared" ref="I106:O107" si="53">U106</f>
        <v>#REF!</v>
      </c>
      <c r="J106" s="241">
        <f t="shared" si="53"/>
        <v>0</v>
      </c>
      <c r="K106" s="241">
        <f t="shared" si="53"/>
        <v>0</v>
      </c>
      <c r="L106" s="241">
        <f t="shared" si="53"/>
        <v>0</v>
      </c>
      <c r="M106" s="241">
        <f t="shared" si="53"/>
        <v>0</v>
      </c>
      <c r="N106" s="241">
        <f t="shared" si="53"/>
        <v>0</v>
      </c>
      <c r="O106" s="241">
        <f t="shared" si="53"/>
        <v>0</v>
      </c>
      <c r="P106" s="241" t="e">
        <f t="shared" si="46"/>
        <v>#REF!</v>
      </c>
      <c r="Q106" s="241" t="e">
        <f t="shared" si="49"/>
        <v>#REF!</v>
      </c>
      <c r="R106" s="295" t="e">
        <f>IF(C106="","",VLOOKUP(C106,#REF!,5,FALSE))</f>
        <v>#REF!</v>
      </c>
      <c r="U106" s="240" t="e">
        <f>H106</f>
        <v>#REF!</v>
      </c>
    </row>
    <row r="107" spans="2:21" ht="24" customHeight="1">
      <c r="B107" s="299" t="s">
        <v>419</v>
      </c>
      <c r="C107" s="294"/>
      <c r="D107" s="292" t="s">
        <v>787</v>
      </c>
      <c r="E107" s="294"/>
      <c r="F107" s="327"/>
      <c r="G107" s="327"/>
      <c r="H107" s="328"/>
      <c r="I107" s="241">
        <f t="shared" si="53"/>
        <v>0</v>
      </c>
      <c r="J107" s="241">
        <f t="shared" si="53"/>
        <v>0</v>
      </c>
      <c r="K107" s="241">
        <f t="shared" si="53"/>
        <v>0</v>
      </c>
      <c r="L107" s="241">
        <f t="shared" si="53"/>
        <v>0</v>
      </c>
      <c r="M107" s="241">
        <f t="shared" si="53"/>
        <v>0</v>
      </c>
      <c r="N107" s="241">
        <f t="shared" si="53"/>
        <v>0</v>
      </c>
      <c r="O107" s="241">
        <f t="shared" si="53"/>
        <v>0</v>
      </c>
      <c r="P107" s="241">
        <f t="shared" si="46"/>
        <v>0</v>
      </c>
      <c r="Q107" s="241">
        <f t="shared" si="49"/>
        <v>0</v>
      </c>
      <c r="R107" s="295" t="str">
        <f>IF(C107="","",VLOOKUP(C107,#REF!,5,FALSE))</f>
        <v/>
      </c>
      <c r="U107" s="240">
        <f>H107</f>
        <v>0</v>
      </c>
    </row>
    <row r="108" spans="2:21" ht="24" customHeight="1">
      <c r="B108" s="301" t="s">
        <v>420</v>
      </c>
      <c r="C108" s="294">
        <v>57</v>
      </c>
      <c r="D108" s="342" t="s">
        <v>794</v>
      </c>
      <c r="E108" s="294" t="s">
        <v>775</v>
      </c>
      <c r="F108" s="327">
        <v>1</v>
      </c>
      <c r="G108" s="327" t="e">
        <f t="shared" si="47"/>
        <v>#REF!</v>
      </c>
      <c r="H108" s="328" t="e">
        <f t="shared" si="48"/>
        <v>#REF!</v>
      </c>
      <c r="I108" s="241" t="e">
        <f>H108</f>
        <v>#REF!</v>
      </c>
      <c r="J108" s="241"/>
      <c r="K108" s="241"/>
      <c r="L108" s="241"/>
      <c r="M108" s="241"/>
      <c r="N108" s="241"/>
      <c r="O108" s="241"/>
      <c r="P108" s="241" t="e">
        <f t="shared" si="46"/>
        <v>#REF!</v>
      </c>
      <c r="Q108" s="241" t="e">
        <f t="shared" si="49"/>
        <v>#REF!</v>
      </c>
      <c r="R108" s="295" t="e">
        <f>IF(C108="","",VLOOKUP(C108,#REF!,5,FALSE))</f>
        <v>#REF!</v>
      </c>
    </row>
    <row r="109" spans="2:21" ht="24" customHeight="1">
      <c r="B109" s="301" t="s">
        <v>421</v>
      </c>
      <c r="C109" s="294">
        <v>52</v>
      </c>
      <c r="D109" s="342" t="s">
        <v>786</v>
      </c>
      <c r="E109" s="302" t="s">
        <v>69</v>
      </c>
      <c r="F109" s="329">
        <v>3</v>
      </c>
      <c r="G109" s="327" t="e">
        <f t="shared" si="47"/>
        <v>#REF!</v>
      </c>
      <c r="H109" s="328" t="e">
        <f t="shared" si="48"/>
        <v>#REF!</v>
      </c>
      <c r="I109" s="241" t="e">
        <f t="shared" ref="I109:O116" si="54">U109</f>
        <v>#REF!</v>
      </c>
      <c r="J109" s="241">
        <f t="shared" si="54"/>
        <v>0</v>
      </c>
      <c r="K109" s="241">
        <f t="shared" si="54"/>
        <v>0</v>
      </c>
      <c r="L109" s="241">
        <f t="shared" si="54"/>
        <v>0</v>
      </c>
      <c r="M109" s="241">
        <f t="shared" si="54"/>
        <v>0</v>
      </c>
      <c r="N109" s="241">
        <f t="shared" si="54"/>
        <v>0</v>
      </c>
      <c r="O109" s="241">
        <f t="shared" si="54"/>
        <v>0</v>
      </c>
      <c r="P109" s="241" t="e">
        <f t="shared" si="46"/>
        <v>#REF!</v>
      </c>
      <c r="Q109" s="241" t="e">
        <f t="shared" si="49"/>
        <v>#REF!</v>
      </c>
      <c r="R109" s="295" t="e">
        <f>IF(C109="","",VLOOKUP(C109,#REF!,5,FALSE))</f>
        <v>#REF!</v>
      </c>
      <c r="U109" s="240" t="e">
        <f>H109</f>
        <v>#REF!</v>
      </c>
    </row>
    <row r="110" spans="2:21" ht="24" customHeight="1">
      <c r="B110" s="299" t="s">
        <v>422</v>
      </c>
      <c r="C110" s="300"/>
      <c r="D110" s="292" t="s">
        <v>797</v>
      </c>
      <c r="E110" s="294"/>
      <c r="F110" s="327"/>
      <c r="G110" s="327"/>
      <c r="H110" s="328"/>
      <c r="I110" s="241">
        <f t="shared" si="54"/>
        <v>0</v>
      </c>
      <c r="J110" s="241">
        <f t="shared" si="54"/>
        <v>0</v>
      </c>
      <c r="K110" s="241">
        <f t="shared" si="54"/>
        <v>0</v>
      </c>
      <c r="L110" s="241">
        <f t="shared" si="54"/>
        <v>0</v>
      </c>
      <c r="M110" s="241">
        <f t="shared" si="54"/>
        <v>0</v>
      </c>
      <c r="N110" s="241">
        <f t="shared" si="54"/>
        <v>0</v>
      </c>
      <c r="O110" s="241">
        <f t="shared" si="54"/>
        <v>0</v>
      </c>
      <c r="P110" s="241">
        <f t="shared" si="46"/>
        <v>0</v>
      </c>
      <c r="Q110" s="241">
        <f t="shared" si="49"/>
        <v>0</v>
      </c>
      <c r="R110" s="295" t="str">
        <f>IF(C110="","",VLOOKUP(C110,#REF!,5,FALSE))</f>
        <v/>
      </c>
    </row>
    <row r="111" spans="2:21" ht="24" customHeight="1">
      <c r="B111" s="299" t="s">
        <v>423</v>
      </c>
      <c r="C111" s="300"/>
      <c r="D111" s="292" t="s">
        <v>604</v>
      </c>
      <c r="E111" s="294"/>
      <c r="F111" s="327"/>
      <c r="G111" s="327"/>
      <c r="H111" s="328"/>
      <c r="I111" s="241">
        <f t="shared" si="54"/>
        <v>0</v>
      </c>
      <c r="J111" s="241">
        <f t="shared" si="54"/>
        <v>0</v>
      </c>
      <c r="K111" s="241">
        <f t="shared" si="54"/>
        <v>0</v>
      </c>
      <c r="L111" s="241">
        <f t="shared" si="54"/>
        <v>0</v>
      </c>
      <c r="M111" s="241">
        <f t="shared" si="54"/>
        <v>0</v>
      </c>
      <c r="N111" s="241">
        <f t="shared" si="54"/>
        <v>0</v>
      </c>
      <c r="O111" s="241">
        <f t="shared" si="54"/>
        <v>0</v>
      </c>
      <c r="P111" s="241">
        <f t="shared" si="46"/>
        <v>0</v>
      </c>
      <c r="Q111" s="241">
        <f t="shared" si="49"/>
        <v>0</v>
      </c>
      <c r="R111" s="295" t="str">
        <f>IF(C111="","",VLOOKUP(C111,#REF!,5,FALSE))</f>
        <v/>
      </c>
      <c r="U111" s="240">
        <f>H111</f>
        <v>0</v>
      </c>
    </row>
    <row r="112" spans="2:21" ht="24" customHeight="1">
      <c r="B112" s="301" t="s">
        <v>424</v>
      </c>
      <c r="C112" s="294">
        <v>58</v>
      </c>
      <c r="D112" s="342" t="s">
        <v>798</v>
      </c>
      <c r="E112" s="294" t="s">
        <v>799</v>
      </c>
      <c r="F112" s="327">
        <v>8.5999999999999993E-2</v>
      </c>
      <c r="G112" s="327" t="e">
        <f t="shared" si="47"/>
        <v>#REF!</v>
      </c>
      <c r="H112" s="328" t="e">
        <f t="shared" si="48"/>
        <v>#REF!</v>
      </c>
      <c r="I112" s="241" t="e">
        <f t="shared" si="54"/>
        <v>#REF!</v>
      </c>
      <c r="J112" s="241">
        <f t="shared" si="54"/>
        <v>0</v>
      </c>
      <c r="K112" s="241">
        <f t="shared" si="54"/>
        <v>0</v>
      </c>
      <c r="L112" s="241">
        <f t="shared" si="54"/>
        <v>0</v>
      </c>
      <c r="M112" s="241">
        <f t="shared" si="54"/>
        <v>0</v>
      </c>
      <c r="N112" s="241">
        <f t="shared" si="54"/>
        <v>0</v>
      </c>
      <c r="O112" s="241">
        <f t="shared" si="54"/>
        <v>0</v>
      </c>
      <c r="P112" s="241" t="e">
        <f t="shared" si="46"/>
        <v>#REF!</v>
      </c>
      <c r="Q112" s="241" t="e">
        <f t="shared" si="49"/>
        <v>#REF!</v>
      </c>
      <c r="R112" s="295" t="e">
        <f>IF(C112="","",VLOOKUP(C112,#REF!,5,FALSE))</f>
        <v>#REF!</v>
      </c>
      <c r="U112" s="240" t="e">
        <f>H112</f>
        <v>#REF!</v>
      </c>
    </row>
    <row r="113" spans="2:23" ht="24" customHeight="1">
      <c r="B113" s="299" t="s">
        <v>425</v>
      </c>
      <c r="C113" s="300"/>
      <c r="D113" s="292" t="s">
        <v>812</v>
      </c>
      <c r="E113" s="294"/>
      <c r="F113" s="327"/>
      <c r="G113" s="327"/>
      <c r="H113" s="328"/>
      <c r="I113" s="241">
        <f t="shared" si="54"/>
        <v>0</v>
      </c>
      <c r="J113" s="241">
        <f t="shared" si="54"/>
        <v>0</v>
      </c>
      <c r="K113" s="241">
        <f t="shared" si="54"/>
        <v>0</v>
      </c>
      <c r="L113" s="241">
        <f t="shared" si="54"/>
        <v>0</v>
      </c>
      <c r="M113" s="241">
        <f t="shared" si="54"/>
        <v>0</v>
      </c>
      <c r="N113" s="241">
        <f t="shared" si="54"/>
        <v>0</v>
      </c>
      <c r="O113" s="241">
        <f t="shared" si="54"/>
        <v>0</v>
      </c>
      <c r="P113" s="241">
        <f t="shared" si="46"/>
        <v>0</v>
      </c>
      <c r="Q113" s="241">
        <f t="shared" si="49"/>
        <v>0</v>
      </c>
      <c r="R113" s="295" t="str">
        <f>IF(C113="","",VLOOKUP(C113,#REF!,5,FALSE))</f>
        <v/>
      </c>
      <c r="W113" s="240">
        <f>H113</f>
        <v>0</v>
      </c>
    </row>
    <row r="114" spans="2:23" ht="24" customHeight="1">
      <c r="B114" s="301" t="s">
        <v>426</v>
      </c>
      <c r="C114" s="294">
        <v>5</v>
      </c>
      <c r="D114" s="400" t="s">
        <v>790</v>
      </c>
      <c r="E114" s="344" t="s">
        <v>803</v>
      </c>
      <c r="F114" s="327">
        <v>172</v>
      </c>
      <c r="G114" s="327" t="e">
        <f t="shared" si="47"/>
        <v>#REF!</v>
      </c>
      <c r="H114" s="328" t="e">
        <f t="shared" si="48"/>
        <v>#REF!</v>
      </c>
      <c r="I114" s="241">
        <f t="shared" si="54"/>
        <v>0</v>
      </c>
      <c r="J114" s="241">
        <f t="shared" si="54"/>
        <v>0</v>
      </c>
      <c r="K114" s="241" t="e">
        <f t="shared" si="54"/>
        <v>#REF!</v>
      </c>
      <c r="L114" s="241">
        <f t="shared" si="54"/>
        <v>0</v>
      </c>
      <c r="M114" s="241">
        <f t="shared" si="54"/>
        <v>0</v>
      </c>
      <c r="N114" s="241">
        <f t="shared" si="54"/>
        <v>0</v>
      </c>
      <c r="O114" s="241">
        <f t="shared" si="54"/>
        <v>0</v>
      </c>
      <c r="P114" s="241" t="e">
        <f t="shared" si="46"/>
        <v>#REF!</v>
      </c>
      <c r="Q114" s="241" t="e">
        <f t="shared" si="49"/>
        <v>#REF!</v>
      </c>
      <c r="R114" s="295" t="e">
        <f>IF(C114="","",VLOOKUP(C114,#REF!,5,FALSE))</f>
        <v>#REF!</v>
      </c>
      <c r="W114" s="240" t="e">
        <f>H114</f>
        <v>#REF!</v>
      </c>
    </row>
    <row r="115" spans="2:23" ht="24" customHeight="1">
      <c r="B115" s="299" t="s">
        <v>427</v>
      </c>
      <c r="C115" s="300"/>
      <c r="D115" s="292" t="s">
        <v>318</v>
      </c>
      <c r="E115" s="294"/>
      <c r="F115" s="327"/>
      <c r="G115" s="327"/>
      <c r="H115" s="328"/>
      <c r="I115" s="241">
        <f t="shared" si="54"/>
        <v>0</v>
      </c>
      <c r="J115" s="241">
        <f t="shared" si="54"/>
        <v>0</v>
      </c>
      <c r="K115" s="241">
        <f t="shared" si="54"/>
        <v>0</v>
      </c>
      <c r="L115" s="241">
        <f t="shared" si="54"/>
        <v>0</v>
      </c>
      <c r="M115" s="241">
        <f t="shared" si="54"/>
        <v>0</v>
      </c>
      <c r="N115" s="241">
        <f t="shared" si="54"/>
        <v>0</v>
      </c>
      <c r="O115" s="241">
        <f t="shared" si="54"/>
        <v>0</v>
      </c>
      <c r="P115" s="241">
        <f t="shared" si="46"/>
        <v>0</v>
      </c>
      <c r="Q115" s="241">
        <f t="shared" si="49"/>
        <v>0</v>
      </c>
      <c r="R115" s="295" t="str">
        <f>IF(C115="","",VLOOKUP(C115,#REF!,5,FALSE))</f>
        <v/>
      </c>
      <c r="W115" s="240">
        <f>H115</f>
        <v>0</v>
      </c>
    </row>
    <row r="116" spans="2:23" ht="24" customHeight="1">
      <c r="B116" s="301" t="s">
        <v>428</v>
      </c>
      <c r="C116" s="294">
        <v>26</v>
      </c>
      <c r="D116" s="402" t="s">
        <v>886</v>
      </c>
      <c r="E116" s="344" t="s">
        <v>802</v>
      </c>
      <c r="F116" s="327">
        <v>38.590000000000003</v>
      </c>
      <c r="G116" s="327" t="e">
        <f t="shared" si="47"/>
        <v>#REF!</v>
      </c>
      <c r="H116" s="328" t="e">
        <f t="shared" si="48"/>
        <v>#REF!</v>
      </c>
      <c r="I116" s="241">
        <f t="shared" si="54"/>
        <v>0</v>
      </c>
      <c r="J116" s="241" t="e">
        <f t="shared" si="54"/>
        <v>#REF!</v>
      </c>
      <c r="K116" s="241">
        <f t="shared" si="54"/>
        <v>0</v>
      </c>
      <c r="L116" s="241">
        <f t="shared" si="54"/>
        <v>0</v>
      </c>
      <c r="M116" s="241">
        <f t="shared" si="54"/>
        <v>0</v>
      </c>
      <c r="N116" s="241">
        <f t="shared" si="54"/>
        <v>0</v>
      </c>
      <c r="O116" s="241">
        <f t="shared" si="54"/>
        <v>0</v>
      </c>
      <c r="P116" s="241" t="e">
        <f t="shared" si="46"/>
        <v>#REF!</v>
      </c>
      <c r="Q116" s="241" t="e">
        <f t="shared" si="49"/>
        <v>#REF!</v>
      </c>
      <c r="R116" s="295" t="e">
        <f>IF(C116="","",VLOOKUP(C116,#REF!,5,FALSE))</f>
        <v>#REF!</v>
      </c>
      <c r="V116" s="240" t="e">
        <f>H116</f>
        <v>#REF!</v>
      </c>
    </row>
    <row r="117" spans="2:23" ht="24" customHeight="1">
      <c r="B117" s="301" t="s">
        <v>429</v>
      </c>
      <c r="C117" s="294">
        <v>29</v>
      </c>
      <c r="D117" s="402" t="s">
        <v>319</v>
      </c>
      <c r="E117" s="344" t="s">
        <v>802</v>
      </c>
      <c r="F117" s="327">
        <v>38.590000000000003</v>
      </c>
      <c r="G117" s="327" t="e">
        <f t="shared" si="47"/>
        <v>#REF!</v>
      </c>
      <c r="H117" s="328" t="e">
        <f t="shared" si="48"/>
        <v>#REF!</v>
      </c>
      <c r="I117" s="241"/>
      <c r="J117" s="241" t="e">
        <f>H117</f>
        <v>#REF!</v>
      </c>
      <c r="K117" s="241"/>
      <c r="L117" s="241"/>
      <c r="M117" s="241"/>
      <c r="N117" s="241"/>
      <c r="O117" s="241"/>
      <c r="P117" s="241" t="e">
        <f t="shared" si="46"/>
        <v>#REF!</v>
      </c>
      <c r="Q117" s="241" t="e">
        <f t="shared" si="49"/>
        <v>#REF!</v>
      </c>
      <c r="R117" s="295" t="e">
        <f>IF(C117="","",VLOOKUP(C117,#REF!,5,FALSE))</f>
        <v>#REF!</v>
      </c>
    </row>
    <row r="118" spans="2:23" ht="24" customHeight="1">
      <c r="B118" s="301" t="s">
        <v>430</v>
      </c>
      <c r="C118" s="294">
        <v>27</v>
      </c>
      <c r="D118" s="402" t="s">
        <v>887</v>
      </c>
      <c r="E118" s="344" t="s">
        <v>802</v>
      </c>
      <c r="F118" s="327">
        <v>18.18</v>
      </c>
      <c r="G118" s="327" t="e">
        <f t="shared" si="47"/>
        <v>#REF!</v>
      </c>
      <c r="H118" s="328" t="e">
        <f t="shared" si="48"/>
        <v>#REF!</v>
      </c>
      <c r="I118" s="241">
        <f t="shared" ref="I118:O123" si="55">U118</f>
        <v>0</v>
      </c>
      <c r="J118" s="241" t="e">
        <f t="shared" si="55"/>
        <v>#REF!</v>
      </c>
      <c r="K118" s="241">
        <f t="shared" si="55"/>
        <v>0</v>
      </c>
      <c r="L118" s="241">
        <f t="shared" si="55"/>
        <v>0</v>
      </c>
      <c r="M118" s="241">
        <f t="shared" si="55"/>
        <v>0</v>
      </c>
      <c r="N118" s="241">
        <f t="shared" si="55"/>
        <v>0</v>
      </c>
      <c r="O118" s="241">
        <f t="shared" si="55"/>
        <v>0</v>
      </c>
      <c r="P118" s="241" t="e">
        <f t="shared" si="46"/>
        <v>#REF!</v>
      </c>
      <c r="Q118" s="241" t="e">
        <f t="shared" si="49"/>
        <v>#REF!</v>
      </c>
      <c r="R118" s="295" t="e">
        <f>IF(C118="","",VLOOKUP(C118,#REF!,5,FALSE))</f>
        <v>#REF!</v>
      </c>
      <c r="V118" s="240" t="e">
        <f>H118</f>
        <v>#REF!</v>
      </c>
    </row>
    <row r="119" spans="2:23" ht="24" customHeight="1">
      <c r="B119" s="301" t="s">
        <v>431</v>
      </c>
      <c r="C119" s="294">
        <v>59</v>
      </c>
      <c r="D119" s="402" t="s">
        <v>320</v>
      </c>
      <c r="E119" s="344" t="s">
        <v>802</v>
      </c>
      <c r="F119" s="327">
        <f>F115+F122</f>
        <v>2.84</v>
      </c>
      <c r="G119" s="327" t="e">
        <f t="shared" si="47"/>
        <v>#REF!</v>
      </c>
      <c r="H119" s="328" t="e">
        <f t="shared" si="48"/>
        <v>#REF!</v>
      </c>
      <c r="I119" s="241">
        <f t="shared" si="55"/>
        <v>0</v>
      </c>
      <c r="J119" s="241">
        <f t="shared" si="55"/>
        <v>0</v>
      </c>
      <c r="K119" s="241" t="e">
        <f t="shared" si="55"/>
        <v>#REF!</v>
      </c>
      <c r="L119" s="241">
        <f t="shared" si="55"/>
        <v>0</v>
      </c>
      <c r="M119" s="241">
        <f t="shared" si="55"/>
        <v>0</v>
      </c>
      <c r="N119" s="241">
        <f t="shared" si="55"/>
        <v>0</v>
      </c>
      <c r="O119" s="241">
        <f t="shared" si="55"/>
        <v>0</v>
      </c>
      <c r="P119" s="241" t="e">
        <f t="shared" si="46"/>
        <v>#REF!</v>
      </c>
      <c r="Q119" s="241" t="e">
        <f t="shared" si="49"/>
        <v>#REF!</v>
      </c>
      <c r="R119" s="295" t="e">
        <f>IF(C119="","",VLOOKUP(C119,#REF!,5,FALSE))</f>
        <v>#REF!</v>
      </c>
      <c r="W119" s="240" t="e">
        <f>H119</f>
        <v>#REF!</v>
      </c>
    </row>
    <row r="120" spans="2:23" ht="24" customHeight="1">
      <c r="B120" s="301" t="s">
        <v>432</v>
      </c>
      <c r="C120" s="294">
        <v>30</v>
      </c>
      <c r="D120" s="403" t="s">
        <v>889</v>
      </c>
      <c r="E120" s="401" t="s">
        <v>802</v>
      </c>
      <c r="F120" s="327">
        <v>200</v>
      </c>
      <c r="G120" s="327" t="e">
        <f t="shared" si="47"/>
        <v>#REF!</v>
      </c>
      <c r="H120" s="328" t="e">
        <f t="shared" si="48"/>
        <v>#REF!</v>
      </c>
      <c r="I120" s="241">
        <f t="shared" si="55"/>
        <v>0</v>
      </c>
      <c r="J120" s="241">
        <f t="shared" si="55"/>
        <v>0</v>
      </c>
      <c r="K120" s="241" t="e">
        <f t="shared" si="55"/>
        <v>#REF!</v>
      </c>
      <c r="L120" s="241">
        <f t="shared" si="55"/>
        <v>0</v>
      </c>
      <c r="M120" s="241">
        <f t="shared" si="55"/>
        <v>0</v>
      </c>
      <c r="N120" s="241">
        <f t="shared" si="55"/>
        <v>0</v>
      </c>
      <c r="O120" s="241">
        <f t="shared" si="55"/>
        <v>0</v>
      </c>
      <c r="P120" s="241" t="e">
        <f t="shared" si="46"/>
        <v>#REF!</v>
      </c>
      <c r="Q120" s="241" t="e">
        <f t="shared" si="49"/>
        <v>#REF!</v>
      </c>
      <c r="R120" s="295" t="e">
        <f>IF(C120="","",VLOOKUP(C120,#REF!,5,FALSE))</f>
        <v>#REF!</v>
      </c>
      <c r="W120" s="240" t="e">
        <f>H120</f>
        <v>#REF!</v>
      </c>
    </row>
    <row r="121" spans="2:23" ht="24" customHeight="1">
      <c r="B121" s="301" t="s">
        <v>433</v>
      </c>
      <c r="C121" s="294">
        <v>11</v>
      </c>
      <c r="D121" s="403" t="s">
        <v>820</v>
      </c>
      <c r="E121" s="344" t="s">
        <v>817</v>
      </c>
      <c r="F121" s="327">
        <v>28</v>
      </c>
      <c r="G121" s="327" t="e">
        <f t="shared" si="47"/>
        <v>#REF!</v>
      </c>
      <c r="H121" s="328" t="e">
        <f t="shared" si="48"/>
        <v>#REF!</v>
      </c>
      <c r="I121" s="241">
        <f t="shared" si="55"/>
        <v>0</v>
      </c>
      <c r="J121" s="241">
        <f t="shared" si="55"/>
        <v>0</v>
      </c>
      <c r="K121" s="241" t="e">
        <f t="shared" si="55"/>
        <v>#REF!</v>
      </c>
      <c r="L121" s="241">
        <f t="shared" si="55"/>
        <v>0</v>
      </c>
      <c r="M121" s="241">
        <f t="shared" si="55"/>
        <v>0</v>
      </c>
      <c r="N121" s="241">
        <f t="shared" si="55"/>
        <v>0</v>
      </c>
      <c r="O121" s="241">
        <f t="shared" si="55"/>
        <v>0</v>
      </c>
      <c r="P121" s="241" t="e">
        <f t="shared" si="46"/>
        <v>#REF!</v>
      </c>
      <c r="Q121" s="241" t="e">
        <f t="shared" si="49"/>
        <v>#REF!</v>
      </c>
      <c r="R121" s="295" t="e">
        <f>IF(C121="","",VLOOKUP(C121,#REF!,5,FALSE))</f>
        <v>#REF!</v>
      </c>
      <c r="W121" s="240" t="e">
        <f>H121</f>
        <v>#REF!</v>
      </c>
    </row>
    <row r="122" spans="2:23" ht="24" customHeight="1">
      <c r="B122" s="301" t="s">
        <v>434</v>
      </c>
      <c r="C122" s="294">
        <v>8</v>
      </c>
      <c r="D122" s="393" t="s">
        <v>894</v>
      </c>
      <c r="E122" s="344" t="s">
        <v>802</v>
      </c>
      <c r="F122" s="327">
        <v>2.84</v>
      </c>
      <c r="G122" s="327" t="e">
        <f t="shared" si="47"/>
        <v>#REF!</v>
      </c>
      <c r="H122" s="328" t="e">
        <f t="shared" si="48"/>
        <v>#REF!</v>
      </c>
      <c r="I122" s="241">
        <f t="shared" si="55"/>
        <v>0</v>
      </c>
      <c r="J122" s="241">
        <f t="shared" si="55"/>
        <v>0</v>
      </c>
      <c r="K122" s="241" t="e">
        <f t="shared" si="55"/>
        <v>#REF!</v>
      </c>
      <c r="L122" s="241">
        <f t="shared" si="55"/>
        <v>0</v>
      </c>
      <c r="M122" s="241">
        <f t="shared" si="55"/>
        <v>0</v>
      </c>
      <c r="N122" s="241">
        <f t="shared" si="55"/>
        <v>0</v>
      </c>
      <c r="O122" s="241">
        <f t="shared" si="55"/>
        <v>0</v>
      </c>
      <c r="P122" s="241" t="e">
        <f t="shared" si="46"/>
        <v>#REF!</v>
      </c>
      <c r="Q122" s="241" t="e">
        <f t="shared" si="49"/>
        <v>#REF!</v>
      </c>
      <c r="R122" s="295" t="e">
        <f>IF(C122="","",VLOOKUP(C122,#REF!,5,FALSE))</f>
        <v>#REF!</v>
      </c>
      <c r="W122" s="240" t="e">
        <f>H122</f>
        <v>#REF!</v>
      </c>
    </row>
    <row r="123" spans="2:23" ht="24" customHeight="1">
      <c r="B123" s="301" t="s">
        <v>435</v>
      </c>
      <c r="C123" s="294">
        <v>10</v>
      </c>
      <c r="D123" s="402" t="s">
        <v>895</v>
      </c>
      <c r="E123" s="344" t="s">
        <v>802</v>
      </c>
      <c r="F123" s="327">
        <v>38.590000000000003</v>
      </c>
      <c r="G123" s="327" t="e">
        <f t="shared" si="47"/>
        <v>#REF!</v>
      </c>
      <c r="H123" s="328" t="e">
        <f t="shared" si="48"/>
        <v>#REF!</v>
      </c>
      <c r="I123" s="241">
        <f t="shared" si="55"/>
        <v>0</v>
      </c>
      <c r="J123" s="241" t="e">
        <f t="shared" si="55"/>
        <v>#REF!</v>
      </c>
      <c r="K123" s="241">
        <f t="shared" si="55"/>
        <v>0</v>
      </c>
      <c r="L123" s="241">
        <f t="shared" si="55"/>
        <v>0</v>
      </c>
      <c r="M123" s="241">
        <f t="shared" si="55"/>
        <v>0</v>
      </c>
      <c r="N123" s="241">
        <f t="shared" si="55"/>
        <v>0</v>
      </c>
      <c r="O123" s="241">
        <f t="shared" si="55"/>
        <v>0</v>
      </c>
      <c r="P123" s="241" t="e">
        <f t="shared" si="46"/>
        <v>#REF!</v>
      </c>
      <c r="Q123" s="241" t="e">
        <f t="shared" si="49"/>
        <v>#REF!</v>
      </c>
      <c r="R123" s="295" t="e">
        <f>IF(C123="","",VLOOKUP(C123,#REF!,5,FALSE))</f>
        <v>#REF!</v>
      </c>
      <c r="V123" s="240" t="e">
        <f>H123</f>
        <v>#REF!</v>
      </c>
    </row>
    <row r="124" spans="2:23" ht="24" customHeight="1">
      <c r="B124" s="301" t="s">
        <v>436</v>
      </c>
      <c r="C124" s="294">
        <v>12</v>
      </c>
      <c r="D124" s="402" t="s">
        <v>865</v>
      </c>
      <c r="E124" s="401" t="s">
        <v>802</v>
      </c>
      <c r="F124" s="327">
        <v>2.83</v>
      </c>
      <c r="G124" s="327" t="e">
        <f>ROUND(R124,2)</f>
        <v>#REF!</v>
      </c>
      <c r="H124" s="328" t="e">
        <f t="shared" si="48"/>
        <v>#REF!</v>
      </c>
      <c r="I124" s="241"/>
      <c r="J124" s="241"/>
      <c r="K124" s="241" t="e">
        <f>H124</f>
        <v>#REF!</v>
      </c>
      <c r="L124" s="241"/>
      <c r="M124" s="241"/>
      <c r="N124" s="241"/>
      <c r="O124" s="241"/>
      <c r="P124" s="241" t="e">
        <f t="shared" si="46"/>
        <v>#REF!</v>
      </c>
      <c r="Q124" s="241" t="e">
        <f t="shared" si="49"/>
        <v>#REF!</v>
      </c>
      <c r="R124" s="295" t="e">
        <f>IF(C124="","",VLOOKUP(C124,#REF!,5,FALSE))</f>
        <v>#REF!</v>
      </c>
    </row>
    <row r="125" spans="2:23" ht="24" customHeight="1">
      <c r="B125" s="301" t="s">
        <v>437</v>
      </c>
      <c r="C125" s="294">
        <v>28</v>
      </c>
      <c r="D125" s="402" t="s">
        <v>888</v>
      </c>
      <c r="E125" s="344" t="s">
        <v>803</v>
      </c>
      <c r="F125" s="327">
        <v>5</v>
      </c>
      <c r="G125" s="327" t="e">
        <f>ROUND(R125,2)</f>
        <v>#REF!</v>
      </c>
      <c r="H125" s="328" t="e">
        <f t="shared" si="48"/>
        <v>#REF!</v>
      </c>
      <c r="I125" s="241">
        <f t="shared" ref="I125:I131" si="56">U125</f>
        <v>0</v>
      </c>
      <c r="J125" s="241" t="e">
        <f t="shared" ref="J125:J131" si="57">V125</f>
        <v>#REF!</v>
      </c>
      <c r="K125" s="241">
        <f t="shared" ref="K125:K131" si="58">W125</f>
        <v>0</v>
      </c>
      <c r="L125" s="241">
        <f t="shared" ref="L125:L131" si="59">X125</f>
        <v>0</v>
      </c>
      <c r="M125" s="241">
        <f t="shared" ref="M125:M131" si="60">Y125</f>
        <v>0</v>
      </c>
      <c r="N125" s="241">
        <f t="shared" ref="N125:N131" si="61">Z125</f>
        <v>0</v>
      </c>
      <c r="O125" s="241">
        <f t="shared" ref="O125:O131" si="62">AA125</f>
        <v>0</v>
      </c>
      <c r="P125" s="241" t="e">
        <f t="shared" si="46"/>
        <v>#REF!</v>
      </c>
      <c r="Q125" s="241" t="e">
        <f t="shared" si="49"/>
        <v>#REF!</v>
      </c>
      <c r="R125" s="295" t="e">
        <f>IF(C125="","",VLOOKUP(C125,#REF!,5,FALSE))</f>
        <v>#REF!</v>
      </c>
      <c r="V125" s="240" t="e">
        <f>H125</f>
        <v>#REF!</v>
      </c>
    </row>
    <row r="126" spans="2:23" ht="24" customHeight="1">
      <c r="B126" s="299" t="s">
        <v>438</v>
      </c>
      <c r="C126" s="300"/>
      <c r="D126" s="292" t="s">
        <v>321</v>
      </c>
      <c r="E126" s="294"/>
      <c r="F126" s="327"/>
      <c r="G126" s="327"/>
      <c r="H126" s="328"/>
      <c r="I126" s="241">
        <f t="shared" si="56"/>
        <v>0</v>
      </c>
      <c r="J126" s="241">
        <f t="shared" si="57"/>
        <v>0</v>
      </c>
      <c r="K126" s="241">
        <f t="shared" si="58"/>
        <v>0</v>
      </c>
      <c r="L126" s="241">
        <f t="shared" si="59"/>
        <v>0</v>
      </c>
      <c r="M126" s="241">
        <f t="shared" si="60"/>
        <v>0</v>
      </c>
      <c r="N126" s="241">
        <f t="shared" si="61"/>
        <v>0</v>
      </c>
      <c r="O126" s="241">
        <f t="shared" si="62"/>
        <v>0</v>
      </c>
      <c r="P126" s="241">
        <f t="shared" si="46"/>
        <v>0</v>
      </c>
      <c r="Q126" s="241">
        <f t="shared" si="49"/>
        <v>0</v>
      </c>
      <c r="R126" s="295" t="str">
        <f>IF(C126="","",VLOOKUP(C126,#REF!,5,FALSE))</f>
        <v/>
      </c>
    </row>
    <row r="127" spans="2:23" ht="24" customHeight="1">
      <c r="B127" s="301" t="s">
        <v>439</v>
      </c>
      <c r="C127" s="294">
        <v>60</v>
      </c>
      <c r="D127" s="404" t="s">
        <v>322</v>
      </c>
      <c r="E127" s="294" t="s">
        <v>323</v>
      </c>
      <c r="F127" s="327">
        <v>27.5</v>
      </c>
      <c r="G127" s="327" t="e">
        <f>ROUND(R127,2)</f>
        <v>#REF!</v>
      </c>
      <c r="H127" s="328" t="e">
        <f t="shared" si="48"/>
        <v>#REF!</v>
      </c>
      <c r="I127" s="241" t="e">
        <f t="shared" si="56"/>
        <v>#REF!</v>
      </c>
      <c r="J127" s="241">
        <f t="shared" si="57"/>
        <v>0</v>
      </c>
      <c r="K127" s="241">
        <f t="shared" si="58"/>
        <v>0</v>
      </c>
      <c r="L127" s="241">
        <f t="shared" si="59"/>
        <v>0</v>
      </c>
      <c r="M127" s="241">
        <f t="shared" si="60"/>
        <v>0</v>
      </c>
      <c r="N127" s="241">
        <f t="shared" si="61"/>
        <v>0</v>
      </c>
      <c r="O127" s="241">
        <f t="shared" si="62"/>
        <v>0</v>
      </c>
      <c r="P127" s="241" t="e">
        <f t="shared" si="46"/>
        <v>#REF!</v>
      </c>
      <c r="Q127" s="241" t="e">
        <f t="shared" si="49"/>
        <v>#REF!</v>
      </c>
      <c r="R127" s="295" t="e">
        <f>IF(C127="","",VLOOKUP(C127,#REF!,5,FALSE))</f>
        <v>#REF!</v>
      </c>
      <c r="U127" s="240" t="e">
        <f>H127</f>
        <v>#REF!</v>
      </c>
    </row>
    <row r="128" spans="2:23" ht="24" customHeight="1">
      <c r="B128" s="299" t="s">
        <v>440</v>
      </c>
      <c r="C128" s="300"/>
      <c r="D128" s="292" t="s">
        <v>324</v>
      </c>
      <c r="E128" s="294"/>
      <c r="F128" s="327"/>
      <c r="G128" s="327"/>
      <c r="H128" s="328"/>
      <c r="I128" s="241">
        <f t="shared" si="56"/>
        <v>0</v>
      </c>
      <c r="J128" s="241">
        <f t="shared" si="57"/>
        <v>0</v>
      </c>
      <c r="K128" s="241">
        <f t="shared" si="58"/>
        <v>0</v>
      </c>
      <c r="L128" s="241">
        <f t="shared" si="59"/>
        <v>0</v>
      </c>
      <c r="M128" s="241">
        <f t="shared" si="60"/>
        <v>0</v>
      </c>
      <c r="N128" s="241">
        <f t="shared" si="61"/>
        <v>0</v>
      </c>
      <c r="O128" s="241">
        <f t="shared" si="62"/>
        <v>0</v>
      </c>
      <c r="P128" s="241">
        <f t="shared" si="46"/>
        <v>0</v>
      </c>
      <c r="Q128" s="241">
        <f t="shared" si="49"/>
        <v>0</v>
      </c>
      <c r="R128" s="295" t="str">
        <f>IF(C128="","",VLOOKUP(C128,#REF!,5,FALSE))</f>
        <v/>
      </c>
      <c r="U128" s="240">
        <f>H128</f>
        <v>0</v>
      </c>
    </row>
    <row r="129" spans="2:23" ht="24" customHeight="1">
      <c r="B129" s="301" t="s">
        <v>441</v>
      </c>
      <c r="C129" s="294">
        <v>61</v>
      </c>
      <c r="D129" s="404" t="s">
        <v>325</v>
      </c>
      <c r="E129" s="294" t="s">
        <v>713</v>
      </c>
      <c r="F129" s="327">
        <v>86</v>
      </c>
      <c r="G129" s="327" t="e">
        <f>ROUND(R129,2)</f>
        <v>#REF!</v>
      </c>
      <c r="H129" s="328" t="e">
        <f t="shared" si="48"/>
        <v>#REF!</v>
      </c>
      <c r="I129" s="241">
        <f t="shared" si="56"/>
        <v>0</v>
      </c>
      <c r="J129" s="241">
        <f t="shared" si="57"/>
        <v>0</v>
      </c>
      <c r="K129" s="241" t="e">
        <f t="shared" si="58"/>
        <v>#REF!</v>
      </c>
      <c r="L129" s="241">
        <f t="shared" si="59"/>
        <v>0</v>
      </c>
      <c r="M129" s="241">
        <f t="shared" si="60"/>
        <v>0</v>
      </c>
      <c r="N129" s="241">
        <f t="shared" si="61"/>
        <v>0</v>
      </c>
      <c r="O129" s="241">
        <f t="shared" si="62"/>
        <v>0</v>
      </c>
      <c r="P129" s="241" t="e">
        <f t="shared" si="46"/>
        <v>#REF!</v>
      </c>
      <c r="Q129" s="241" t="e">
        <f t="shared" si="49"/>
        <v>#REF!</v>
      </c>
      <c r="R129" s="295" t="e">
        <f>IF(C129="","",VLOOKUP(C129,#REF!,5,FALSE))</f>
        <v>#REF!</v>
      </c>
      <c r="W129" s="240" t="e">
        <f>H129</f>
        <v>#REF!</v>
      </c>
    </row>
    <row r="130" spans="2:23" ht="24" customHeight="1">
      <c r="B130" s="299" t="s">
        <v>442</v>
      </c>
      <c r="C130" s="300"/>
      <c r="D130" s="292" t="s">
        <v>326</v>
      </c>
      <c r="E130" s="294"/>
      <c r="F130" s="327"/>
      <c r="G130" s="327"/>
      <c r="H130" s="328"/>
      <c r="I130" s="241">
        <f t="shared" si="56"/>
        <v>0</v>
      </c>
      <c r="J130" s="241">
        <f t="shared" si="57"/>
        <v>0</v>
      </c>
      <c r="K130" s="241">
        <f t="shared" si="58"/>
        <v>0</v>
      </c>
      <c r="L130" s="241">
        <f t="shared" si="59"/>
        <v>0</v>
      </c>
      <c r="M130" s="241">
        <f t="shared" si="60"/>
        <v>0</v>
      </c>
      <c r="N130" s="241">
        <f t="shared" si="61"/>
        <v>0</v>
      </c>
      <c r="O130" s="241">
        <f t="shared" si="62"/>
        <v>0</v>
      </c>
      <c r="P130" s="241">
        <f t="shared" si="46"/>
        <v>0</v>
      </c>
      <c r="Q130" s="241">
        <f t="shared" si="49"/>
        <v>0</v>
      </c>
      <c r="R130" s="295" t="str">
        <f>IF(C130="","",VLOOKUP(C130,#REF!,5,FALSE))</f>
        <v/>
      </c>
      <c r="W130" s="240">
        <f>H130</f>
        <v>0</v>
      </c>
    </row>
    <row r="131" spans="2:23" ht="96">
      <c r="B131" s="301" t="s">
        <v>443</v>
      </c>
      <c r="C131" s="294">
        <v>62</v>
      </c>
      <c r="D131" s="406" t="s">
        <v>327</v>
      </c>
      <c r="E131" s="294" t="s">
        <v>69</v>
      </c>
      <c r="F131" s="327">
        <v>26</v>
      </c>
      <c r="G131" s="327" t="e">
        <f>ROUND(R131,2)</f>
        <v>#REF!</v>
      </c>
      <c r="H131" s="328" t="e">
        <f t="shared" si="48"/>
        <v>#REF!</v>
      </c>
      <c r="I131" s="241">
        <f t="shared" si="56"/>
        <v>0</v>
      </c>
      <c r="J131" s="241">
        <f t="shared" si="57"/>
        <v>0</v>
      </c>
      <c r="K131" s="241" t="e">
        <f t="shared" si="58"/>
        <v>#REF!</v>
      </c>
      <c r="L131" s="241">
        <f t="shared" si="59"/>
        <v>0</v>
      </c>
      <c r="M131" s="241">
        <f t="shared" si="60"/>
        <v>0</v>
      </c>
      <c r="N131" s="241">
        <f t="shared" si="61"/>
        <v>0</v>
      </c>
      <c r="O131" s="241">
        <f t="shared" si="62"/>
        <v>0</v>
      </c>
      <c r="P131" s="241" t="e">
        <f t="shared" si="46"/>
        <v>#REF!</v>
      </c>
      <c r="Q131" s="241" t="e">
        <f t="shared" si="49"/>
        <v>#REF!</v>
      </c>
      <c r="R131" s="295" t="e">
        <f>IF(C131="","",VLOOKUP(C131,#REF!,5,FALSE))</f>
        <v>#REF!</v>
      </c>
      <c r="W131" s="240" t="e">
        <f>H131</f>
        <v>#REF!</v>
      </c>
    </row>
    <row r="132" spans="2:23" ht="12.75">
      <c r="B132" s="407"/>
      <c r="C132" s="341"/>
      <c r="D132" s="405"/>
      <c r="E132" s="341"/>
      <c r="F132" s="395"/>
      <c r="G132" s="395"/>
      <c r="H132" s="328"/>
      <c r="I132" s="241"/>
      <c r="J132" s="241"/>
      <c r="K132" s="241"/>
      <c r="L132" s="241"/>
      <c r="M132" s="241"/>
      <c r="N132" s="241"/>
      <c r="O132" s="241"/>
      <c r="P132" s="241"/>
      <c r="Q132" s="241"/>
      <c r="R132" s="295"/>
    </row>
    <row r="133" spans="2:23" ht="12.75">
      <c r="B133" s="407"/>
      <c r="C133" s="341"/>
      <c r="D133" s="408" t="s">
        <v>328</v>
      </c>
      <c r="E133" s="409"/>
      <c r="F133" s="410"/>
      <c r="G133" s="410"/>
      <c r="H133" s="333" t="e">
        <f>SUM(H14:H131)</f>
        <v>#REF!</v>
      </c>
      <c r="I133" s="241"/>
      <c r="J133" s="241"/>
      <c r="K133" s="241"/>
      <c r="L133" s="241"/>
      <c r="M133" s="241"/>
      <c r="N133" s="241"/>
      <c r="O133" s="241"/>
      <c r="P133" s="241"/>
      <c r="Q133" s="241"/>
      <c r="R133" s="295"/>
    </row>
    <row r="134" spans="2:23" ht="12.75">
      <c r="B134" s="407"/>
      <c r="C134" s="341"/>
      <c r="D134" s="411"/>
      <c r="E134" s="409"/>
      <c r="F134" s="410"/>
      <c r="G134" s="410"/>
      <c r="H134" s="333"/>
      <c r="I134" s="241"/>
      <c r="J134" s="241"/>
      <c r="K134" s="241"/>
      <c r="L134" s="241"/>
      <c r="M134" s="241"/>
      <c r="N134" s="241"/>
      <c r="O134" s="241"/>
      <c r="P134" s="241"/>
      <c r="Q134" s="241"/>
      <c r="R134" s="295"/>
    </row>
    <row r="135" spans="2:23" ht="12.75">
      <c r="B135" s="412" t="s">
        <v>620</v>
      </c>
      <c r="C135" s="341"/>
      <c r="D135" s="411" t="s">
        <v>330</v>
      </c>
      <c r="E135" s="409"/>
      <c r="F135" s="410"/>
      <c r="G135" s="410"/>
      <c r="H135" s="333"/>
      <c r="I135" s="241"/>
      <c r="J135" s="241"/>
      <c r="K135" s="241"/>
      <c r="L135" s="241"/>
      <c r="M135" s="241"/>
      <c r="N135" s="241"/>
      <c r="O135" s="241"/>
      <c r="P135" s="241"/>
      <c r="Q135" s="241"/>
      <c r="R135" s="295"/>
    </row>
    <row r="136" spans="2:23" ht="12.75">
      <c r="B136" s="412" t="s">
        <v>712</v>
      </c>
      <c r="C136" s="341"/>
      <c r="D136" s="411" t="s">
        <v>891</v>
      </c>
      <c r="E136" s="409"/>
      <c r="F136" s="410"/>
      <c r="G136" s="410"/>
      <c r="H136" s="333"/>
      <c r="I136" s="241"/>
      <c r="J136" s="241"/>
      <c r="K136" s="241"/>
      <c r="L136" s="241"/>
      <c r="M136" s="241"/>
      <c r="N136" s="241"/>
      <c r="O136" s="241"/>
      <c r="P136" s="241"/>
      <c r="Q136" s="241"/>
      <c r="R136" s="295"/>
    </row>
    <row r="137" spans="2:23" ht="12.75">
      <c r="B137" s="412" t="s">
        <v>780</v>
      </c>
      <c r="C137" s="341"/>
      <c r="D137" s="415" t="s">
        <v>787</v>
      </c>
      <c r="E137" s="409"/>
      <c r="F137" s="410"/>
      <c r="G137" s="410"/>
      <c r="H137" s="333"/>
      <c r="I137" s="241"/>
      <c r="J137" s="241"/>
      <c r="K137" s="241"/>
      <c r="L137" s="241"/>
      <c r="M137" s="241"/>
      <c r="N137" s="241"/>
      <c r="O137" s="241"/>
      <c r="P137" s="241"/>
      <c r="Q137" s="241"/>
      <c r="R137" s="295"/>
    </row>
    <row r="138" spans="2:23">
      <c r="B138" s="407" t="s">
        <v>205</v>
      </c>
      <c r="C138" s="341">
        <v>2681</v>
      </c>
      <c r="D138" s="417" t="s">
        <v>202</v>
      </c>
      <c r="E138" s="434" t="s">
        <v>713</v>
      </c>
      <c r="F138" s="413">
        <v>9</v>
      </c>
      <c r="G138" s="395">
        <f>6.25*1.18</f>
        <v>7.375</v>
      </c>
      <c r="H138" s="328">
        <f t="shared" ref="H138:H145" si="63">ROUND(F138*G138,2)</f>
        <v>66.38</v>
      </c>
      <c r="I138" s="241"/>
      <c r="J138" s="241"/>
      <c r="K138" s="241"/>
      <c r="L138" s="241"/>
      <c r="M138" s="241"/>
      <c r="N138" s="241"/>
      <c r="O138" s="241"/>
      <c r="P138" s="241"/>
      <c r="Q138" s="241"/>
      <c r="R138" s="295"/>
    </row>
    <row r="139" spans="2:23">
      <c r="B139" s="407" t="s">
        <v>206</v>
      </c>
      <c r="C139" s="341">
        <v>1876</v>
      </c>
      <c r="D139" s="417" t="s">
        <v>445</v>
      </c>
      <c r="E139" s="434" t="s">
        <v>69</v>
      </c>
      <c r="F139" s="413">
        <v>2</v>
      </c>
      <c r="G139" s="395">
        <f>7.13*1.18</f>
        <v>8.4133999999999993</v>
      </c>
      <c r="H139" s="328">
        <f t="shared" si="63"/>
        <v>16.829999999999998</v>
      </c>
      <c r="I139" s="241"/>
      <c r="J139" s="241"/>
      <c r="K139" s="241"/>
      <c r="L139" s="241"/>
      <c r="M139" s="241"/>
      <c r="N139" s="241"/>
      <c r="O139" s="241"/>
      <c r="P139" s="241"/>
      <c r="Q139" s="241"/>
      <c r="R139" s="295"/>
    </row>
    <row r="140" spans="2:23">
      <c r="B140" s="407" t="s">
        <v>207</v>
      </c>
      <c r="C140" s="341">
        <v>1894</v>
      </c>
      <c r="D140" s="417" t="s">
        <v>446</v>
      </c>
      <c r="E140" s="434" t="s">
        <v>69</v>
      </c>
      <c r="F140" s="413">
        <v>7</v>
      </c>
      <c r="G140" s="395">
        <f>4.95*1.18</f>
        <v>5.8410000000000002</v>
      </c>
      <c r="H140" s="328">
        <f t="shared" si="63"/>
        <v>40.89</v>
      </c>
      <c r="I140" s="241"/>
      <c r="J140" s="241"/>
      <c r="K140" s="241"/>
      <c r="L140" s="241"/>
      <c r="M140" s="241"/>
      <c r="N140" s="241"/>
      <c r="O140" s="241"/>
      <c r="P140" s="241"/>
      <c r="Q140" s="241"/>
      <c r="R140" s="295"/>
    </row>
    <row r="141" spans="2:23" ht="48">
      <c r="B141" s="407" t="s">
        <v>208</v>
      </c>
      <c r="C141" s="341"/>
      <c r="D141" s="423" t="s">
        <v>447</v>
      </c>
      <c r="E141" s="434"/>
      <c r="F141" s="413"/>
      <c r="G141" s="395"/>
      <c r="H141" s="328">
        <f t="shared" si="63"/>
        <v>0</v>
      </c>
      <c r="I141" s="241"/>
      <c r="J141" s="241"/>
      <c r="K141" s="241"/>
      <c r="L141" s="241"/>
      <c r="M141" s="241"/>
      <c r="N141" s="241"/>
      <c r="O141" s="241"/>
      <c r="P141" s="241"/>
      <c r="Q141" s="241"/>
      <c r="R141" s="295"/>
    </row>
    <row r="142" spans="2:23" ht="12.75">
      <c r="B142" s="407" t="s">
        <v>209</v>
      </c>
      <c r="C142" s="341">
        <v>2571</v>
      </c>
      <c r="D142" s="417" t="s">
        <v>448</v>
      </c>
      <c r="E142" s="434" t="s">
        <v>69</v>
      </c>
      <c r="F142" s="413">
        <v>1</v>
      </c>
      <c r="G142" s="395">
        <f>21.86*1.18</f>
        <v>25.794799999999999</v>
      </c>
      <c r="H142" s="328">
        <f t="shared" si="63"/>
        <v>25.79</v>
      </c>
      <c r="I142" s="241"/>
      <c r="J142" s="241"/>
      <c r="K142" s="241"/>
      <c r="L142" s="241"/>
      <c r="M142" s="241"/>
      <c r="N142" s="241"/>
      <c r="O142" s="241"/>
      <c r="P142" s="241"/>
      <c r="Q142" s="241"/>
      <c r="R142" s="295"/>
    </row>
    <row r="143" spans="2:23" ht="36">
      <c r="B143" s="407" t="s">
        <v>210</v>
      </c>
      <c r="C143" s="341" t="s">
        <v>203</v>
      </c>
      <c r="D143" s="414" t="s">
        <v>199</v>
      </c>
      <c r="E143" s="434" t="s">
        <v>713</v>
      </c>
      <c r="F143" s="413">
        <v>120</v>
      </c>
      <c r="G143" s="395">
        <f>4.04</f>
        <v>4.04</v>
      </c>
      <c r="H143" s="328">
        <f t="shared" si="63"/>
        <v>484.8</v>
      </c>
      <c r="I143" s="241"/>
      <c r="J143" s="241"/>
      <c r="K143" s="241"/>
      <c r="L143" s="241"/>
      <c r="M143" s="241"/>
      <c r="N143" s="241"/>
      <c r="O143" s="241"/>
      <c r="P143" s="241"/>
      <c r="Q143" s="241"/>
      <c r="R143" s="295"/>
    </row>
    <row r="144" spans="2:23" ht="36">
      <c r="B144" s="407" t="s">
        <v>671</v>
      </c>
      <c r="C144" s="341">
        <v>1020</v>
      </c>
      <c r="D144" s="417" t="s">
        <v>200</v>
      </c>
      <c r="E144" s="434" t="s">
        <v>713</v>
      </c>
      <c r="F144" s="413">
        <v>450</v>
      </c>
      <c r="G144" s="395">
        <f>3.56*1.18</f>
        <v>4.2008000000000001</v>
      </c>
      <c r="H144" s="328">
        <f t="shared" si="63"/>
        <v>1890.36</v>
      </c>
      <c r="I144" s="241"/>
      <c r="J144" s="241"/>
      <c r="K144" s="241"/>
      <c r="L144" s="241"/>
      <c r="M144" s="241"/>
      <c r="N144" s="241"/>
      <c r="O144" s="241"/>
      <c r="P144" s="241"/>
      <c r="Q144" s="241"/>
      <c r="R144" s="295"/>
    </row>
    <row r="145" spans="2:18" ht="12.75">
      <c r="B145" s="407" t="s">
        <v>672</v>
      </c>
      <c r="C145" s="341" t="s">
        <v>203</v>
      </c>
      <c r="D145" s="414" t="s">
        <v>201</v>
      </c>
      <c r="E145" s="434" t="s">
        <v>69</v>
      </c>
      <c r="F145" s="413">
        <v>3</v>
      </c>
      <c r="G145" s="395">
        <f>132.16</f>
        <v>132.16</v>
      </c>
      <c r="H145" s="328">
        <f t="shared" si="63"/>
        <v>396.48</v>
      </c>
      <c r="I145" s="241"/>
      <c r="J145" s="241"/>
      <c r="K145" s="241"/>
      <c r="L145" s="241"/>
      <c r="M145" s="241"/>
      <c r="N145" s="241"/>
      <c r="O145" s="241"/>
      <c r="P145" s="241"/>
      <c r="Q145" s="241"/>
      <c r="R145" s="295"/>
    </row>
    <row r="146" spans="2:18" ht="12.75">
      <c r="B146" s="412" t="s">
        <v>204</v>
      </c>
      <c r="C146" s="341"/>
      <c r="D146" s="411" t="s">
        <v>884</v>
      </c>
      <c r="E146" s="409"/>
      <c r="F146" s="410"/>
      <c r="G146" s="410"/>
      <c r="H146" s="328"/>
      <c r="I146" s="241"/>
      <c r="J146" s="241"/>
      <c r="K146" s="241"/>
      <c r="L146" s="241"/>
      <c r="M146" s="241"/>
      <c r="N146" s="241"/>
      <c r="O146" s="241"/>
      <c r="P146" s="241"/>
      <c r="Q146" s="241"/>
      <c r="R146" s="295"/>
    </row>
    <row r="147" spans="2:18" ht="12.75">
      <c r="B147" s="412" t="s">
        <v>673</v>
      </c>
      <c r="C147" s="341"/>
      <c r="D147" s="411" t="s">
        <v>783</v>
      </c>
      <c r="E147" s="300"/>
      <c r="F147" s="332"/>
      <c r="G147" s="410"/>
      <c r="H147" s="328"/>
      <c r="I147" s="241"/>
      <c r="J147" s="241"/>
      <c r="K147" s="241"/>
      <c r="L147" s="241"/>
      <c r="M147" s="241"/>
      <c r="N147" s="241"/>
      <c r="O147" s="241"/>
      <c r="P147" s="241"/>
      <c r="Q147" s="241"/>
      <c r="R147" s="295"/>
    </row>
    <row r="148" spans="2:18">
      <c r="B148" s="407" t="s">
        <v>684</v>
      </c>
      <c r="C148" s="341">
        <v>9859</v>
      </c>
      <c r="D148" s="418" t="s">
        <v>674</v>
      </c>
      <c r="E148" s="435" t="s">
        <v>713</v>
      </c>
      <c r="F148" s="416">
        <v>12</v>
      </c>
      <c r="G148" s="395">
        <f>3.65*1.18</f>
        <v>4.3069999999999995</v>
      </c>
      <c r="H148" s="328">
        <f t="shared" ref="H148:H157" si="64">ROUND(F148*G148,2)</f>
        <v>51.68</v>
      </c>
      <c r="I148" s="241"/>
      <c r="J148" s="241"/>
      <c r="K148" s="241"/>
      <c r="L148" s="241"/>
      <c r="M148" s="241"/>
      <c r="N148" s="241"/>
      <c r="O148" s="241"/>
      <c r="P148" s="241"/>
      <c r="Q148" s="241"/>
      <c r="R148" s="295"/>
    </row>
    <row r="149" spans="2:18">
      <c r="B149" s="407" t="s">
        <v>685</v>
      </c>
      <c r="C149" s="341" t="s">
        <v>203</v>
      </c>
      <c r="D149" s="420" t="s">
        <v>675</v>
      </c>
      <c r="E149" s="344" t="s">
        <v>69</v>
      </c>
      <c r="F149" s="396">
        <v>1</v>
      </c>
      <c r="G149" s="395">
        <f>313.01*1.05*1.18</f>
        <v>387.81939</v>
      </c>
      <c r="H149" s="328">
        <f t="shared" si="64"/>
        <v>387.82</v>
      </c>
      <c r="I149" s="241"/>
      <c r="J149" s="241"/>
      <c r="K149" s="241"/>
      <c r="L149" s="241"/>
      <c r="M149" s="241"/>
      <c r="N149" s="241"/>
      <c r="O149" s="241"/>
      <c r="P149" s="241"/>
      <c r="Q149" s="241"/>
      <c r="R149" s="295"/>
    </row>
    <row r="150" spans="2:18" ht="12.75">
      <c r="B150" s="407" t="s">
        <v>686</v>
      </c>
      <c r="C150" s="341" t="s">
        <v>203</v>
      </c>
      <c r="D150" s="420" t="s">
        <v>676</v>
      </c>
      <c r="E150" s="344" t="s">
        <v>69</v>
      </c>
      <c r="F150" s="397">
        <v>1</v>
      </c>
      <c r="G150" s="395">
        <f>800*1.18</f>
        <v>944</v>
      </c>
      <c r="H150" s="328">
        <f t="shared" si="64"/>
        <v>944</v>
      </c>
      <c r="I150" s="241"/>
      <c r="J150" s="241"/>
      <c r="K150" s="241"/>
      <c r="L150" s="241"/>
      <c r="M150" s="241"/>
      <c r="N150" s="241"/>
      <c r="O150" s="241"/>
      <c r="P150" s="241"/>
      <c r="Q150" s="241"/>
      <c r="R150" s="295"/>
    </row>
    <row r="151" spans="2:18" ht="12.75">
      <c r="B151" s="407" t="s">
        <v>687</v>
      </c>
      <c r="C151" s="341">
        <v>20260</v>
      </c>
      <c r="D151" s="419" t="s">
        <v>677</v>
      </c>
      <c r="E151" s="435" t="s">
        <v>713</v>
      </c>
      <c r="F151" s="397">
        <v>4.5</v>
      </c>
      <c r="G151" s="395">
        <f>4.86*1.18</f>
        <v>5.7347999999999999</v>
      </c>
      <c r="H151" s="328">
        <f t="shared" si="64"/>
        <v>25.81</v>
      </c>
      <c r="I151" s="241"/>
      <c r="J151" s="241"/>
      <c r="K151" s="241"/>
      <c r="L151" s="241"/>
      <c r="M151" s="241"/>
      <c r="N151" s="241"/>
      <c r="O151" s="241"/>
      <c r="P151" s="241"/>
      <c r="Q151" s="241"/>
      <c r="R151" s="295"/>
    </row>
    <row r="152" spans="2:18" ht="12.75">
      <c r="B152" s="407" t="s">
        <v>688</v>
      </c>
      <c r="C152" s="341" t="s">
        <v>203</v>
      </c>
      <c r="D152" s="420" t="s">
        <v>678</v>
      </c>
      <c r="E152" s="344" t="s">
        <v>69</v>
      </c>
      <c r="F152" s="397">
        <v>1</v>
      </c>
      <c r="G152" s="395">
        <f>3.89</f>
        <v>3.89</v>
      </c>
      <c r="H152" s="328">
        <f t="shared" si="64"/>
        <v>3.89</v>
      </c>
      <c r="I152" s="241"/>
      <c r="J152" s="241"/>
      <c r="K152" s="241"/>
      <c r="L152" s="241"/>
      <c r="M152" s="241"/>
      <c r="N152" s="241"/>
      <c r="O152" s="241"/>
      <c r="P152" s="241"/>
      <c r="Q152" s="241"/>
      <c r="R152" s="295"/>
    </row>
    <row r="153" spans="2:18">
      <c r="B153" s="407" t="s">
        <v>689</v>
      </c>
      <c r="C153" s="341">
        <v>4210</v>
      </c>
      <c r="D153" s="419" t="s">
        <v>679</v>
      </c>
      <c r="E153" s="344" t="s">
        <v>69</v>
      </c>
      <c r="F153" s="397">
        <v>1</v>
      </c>
      <c r="G153" s="395">
        <f>0.4*1.18</f>
        <v>0.47199999999999998</v>
      </c>
      <c r="H153" s="328">
        <f t="shared" si="64"/>
        <v>0.47</v>
      </c>
      <c r="I153" s="241"/>
      <c r="J153" s="241"/>
      <c r="K153" s="241"/>
      <c r="L153" s="241"/>
      <c r="M153" s="241"/>
      <c r="N153" s="241"/>
      <c r="O153" s="241"/>
      <c r="P153" s="241"/>
      <c r="Q153" s="241"/>
      <c r="R153" s="295"/>
    </row>
    <row r="154" spans="2:18">
      <c r="B154" s="407" t="s">
        <v>690</v>
      </c>
      <c r="C154" s="341">
        <v>798</v>
      </c>
      <c r="D154" s="419" t="s">
        <v>680</v>
      </c>
      <c r="E154" s="344" t="s">
        <v>69</v>
      </c>
      <c r="F154" s="397">
        <v>1</v>
      </c>
      <c r="G154" s="395">
        <f>0.45*1.18</f>
        <v>0.53100000000000003</v>
      </c>
      <c r="H154" s="328">
        <f t="shared" si="64"/>
        <v>0.53</v>
      </c>
      <c r="I154" s="241"/>
      <c r="J154" s="241"/>
      <c r="K154" s="241"/>
      <c r="L154" s="241"/>
      <c r="M154" s="241"/>
      <c r="N154" s="241"/>
      <c r="O154" s="241"/>
      <c r="P154" s="241"/>
      <c r="Q154" s="241"/>
      <c r="R154" s="295"/>
    </row>
    <row r="155" spans="2:18" ht="36">
      <c r="B155" s="407" t="s">
        <v>691</v>
      </c>
      <c r="C155" s="341">
        <v>10412</v>
      </c>
      <c r="D155" s="419" t="s">
        <v>681</v>
      </c>
      <c r="E155" s="344" t="s">
        <v>69</v>
      </c>
      <c r="F155" s="397">
        <v>1</v>
      </c>
      <c r="G155" s="395">
        <f>37.26*1.18</f>
        <v>43.966799999999992</v>
      </c>
      <c r="H155" s="328">
        <f t="shared" si="64"/>
        <v>43.97</v>
      </c>
      <c r="I155" s="241"/>
      <c r="J155" s="241"/>
      <c r="K155" s="241"/>
      <c r="L155" s="241"/>
      <c r="M155" s="241"/>
      <c r="N155" s="241"/>
      <c r="O155" s="241"/>
      <c r="P155" s="241"/>
      <c r="Q155" s="241"/>
      <c r="R155" s="295"/>
    </row>
    <row r="156" spans="2:18">
      <c r="B156" s="407" t="s">
        <v>692</v>
      </c>
      <c r="C156" s="341">
        <v>3505</v>
      </c>
      <c r="D156" s="419" t="s">
        <v>682</v>
      </c>
      <c r="E156" s="344" t="s">
        <v>69</v>
      </c>
      <c r="F156" s="397">
        <v>3</v>
      </c>
      <c r="G156" s="395">
        <f>1.18*1.18</f>
        <v>1.3923999999999999</v>
      </c>
      <c r="H156" s="328">
        <f t="shared" si="64"/>
        <v>4.18</v>
      </c>
      <c r="I156" s="241"/>
      <c r="J156" s="241"/>
      <c r="K156" s="241"/>
      <c r="L156" s="241"/>
      <c r="M156" s="241"/>
      <c r="N156" s="241"/>
      <c r="O156" s="241"/>
      <c r="P156" s="241"/>
      <c r="Q156" s="241"/>
      <c r="R156" s="295"/>
    </row>
    <row r="157" spans="2:18">
      <c r="B157" s="407" t="s">
        <v>693</v>
      </c>
      <c r="C157" s="341">
        <v>1439</v>
      </c>
      <c r="D157" s="419" t="s">
        <v>683</v>
      </c>
      <c r="E157" s="344" t="s">
        <v>69</v>
      </c>
      <c r="F157" s="397">
        <v>1</v>
      </c>
      <c r="G157" s="395">
        <f>5.94*1.18</f>
        <v>7.0091999999999999</v>
      </c>
      <c r="H157" s="328">
        <f t="shared" si="64"/>
        <v>7.01</v>
      </c>
      <c r="I157" s="241"/>
      <c r="J157" s="241"/>
      <c r="K157" s="241"/>
      <c r="L157" s="241"/>
      <c r="M157" s="241"/>
      <c r="N157" s="241"/>
      <c r="O157" s="241"/>
      <c r="P157" s="241"/>
      <c r="Q157" s="241"/>
      <c r="R157" s="295"/>
    </row>
    <row r="158" spans="2:18" ht="12.75">
      <c r="B158" s="412" t="s">
        <v>695</v>
      </c>
      <c r="C158" s="341"/>
      <c r="D158" s="411" t="s">
        <v>694</v>
      </c>
      <c r="E158" s="409"/>
      <c r="F158" s="410"/>
      <c r="G158" s="410"/>
      <c r="H158" s="328"/>
      <c r="I158" s="241"/>
      <c r="J158" s="241"/>
      <c r="K158" s="241"/>
      <c r="L158" s="241"/>
      <c r="M158" s="241"/>
      <c r="N158" s="241"/>
      <c r="O158" s="241"/>
      <c r="P158" s="241"/>
      <c r="Q158" s="241"/>
      <c r="R158" s="295"/>
    </row>
    <row r="159" spans="2:18" ht="36">
      <c r="B159" s="407" t="s">
        <v>696</v>
      </c>
      <c r="C159" s="341">
        <v>9817</v>
      </c>
      <c r="D159" s="421" t="s">
        <v>697</v>
      </c>
      <c r="E159" s="341" t="s">
        <v>713</v>
      </c>
      <c r="F159" s="395">
        <v>18</v>
      </c>
      <c r="G159" s="395">
        <f>8.9*1.18</f>
        <v>10.502000000000001</v>
      </c>
      <c r="H159" s="328">
        <f t="shared" ref="H159:H222" si="65">ROUND(F159*G159,2)</f>
        <v>189.04</v>
      </c>
      <c r="I159" s="241"/>
      <c r="J159" s="241"/>
      <c r="K159" s="241"/>
      <c r="L159" s="241"/>
      <c r="M159" s="241"/>
      <c r="N159" s="241"/>
      <c r="O159" s="241"/>
      <c r="P159" s="241"/>
      <c r="Q159" s="241"/>
      <c r="R159" s="295"/>
    </row>
    <row r="160" spans="2:18" ht="12.75">
      <c r="B160" s="412" t="s">
        <v>701</v>
      </c>
      <c r="C160" s="341"/>
      <c r="D160" s="422" t="s">
        <v>698</v>
      </c>
      <c r="E160" s="344"/>
      <c r="F160" s="397"/>
      <c r="G160" s="410"/>
      <c r="H160" s="328">
        <f t="shared" si="65"/>
        <v>0</v>
      </c>
      <c r="I160" s="241"/>
      <c r="J160" s="241"/>
      <c r="K160" s="241"/>
      <c r="L160" s="241"/>
      <c r="M160" s="241"/>
      <c r="N160" s="241"/>
      <c r="O160" s="241"/>
      <c r="P160" s="241"/>
      <c r="Q160" s="241"/>
      <c r="R160" s="295"/>
    </row>
    <row r="161" spans="2:18">
      <c r="B161" s="407" t="s">
        <v>702</v>
      </c>
      <c r="C161" s="341">
        <v>9859</v>
      </c>
      <c r="D161" s="418" t="s">
        <v>674</v>
      </c>
      <c r="E161" s="435" t="s">
        <v>713</v>
      </c>
      <c r="F161" s="416">
        <v>12</v>
      </c>
      <c r="G161" s="395">
        <v>4.3099999999999996</v>
      </c>
      <c r="H161" s="328">
        <f t="shared" si="65"/>
        <v>51.72</v>
      </c>
      <c r="I161" s="241"/>
      <c r="J161" s="241"/>
      <c r="K161" s="241"/>
      <c r="L161" s="241"/>
      <c r="M161" s="241"/>
      <c r="N161" s="241"/>
      <c r="O161" s="241"/>
      <c r="P161" s="241"/>
      <c r="Q161" s="241"/>
      <c r="R161" s="295"/>
    </row>
    <row r="162" spans="2:18">
      <c r="B162" s="407" t="s">
        <v>703</v>
      </c>
      <c r="C162" s="341">
        <v>1439</v>
      </c>
      <c r="D162" s="419" t="s">
        <v>683</v>
      </c>
      <c r="E162" s="344" t="s">
        <v>69</v>
      </c>
      <c r="F162" s="397">
        <v>1</v>
      </c>
      <c r="G162" s="395">
        <v>7.01</v>
      </c>
      <c r="H162" s="328">
        <f t="shared" si="65"/>
        <v>7.01</v>
      </c>
      <c r="I162" s="241"/>
      <c r="J162" s="241"/>
      <c r="K162" s="241"/>
      <c r="L162" s="241"/>
      <c r="M162" s="241"/>
      <c r="N162" s="241"/>
      <c r="O162" s="241"/>
      <c r="P162" s="241"/>
      <c r="Q162" s="241"/>
      <c r="R162" s="295"/>
    </row>
    <row r="163" spans="2:18">
      <c r="B163" s="407" t="s">
        <v>704</v>
      </c>
      <c r="C163" s="341">
        <v>3505</v>
      </c>
      <c r="D163" s="419" t="s">
        <v>682</v>
      </c>
      <c r="E163" s="344" t="s">
        <v>69</v>
      </c>
      <c r="F163" s="397">
        <v>4</v>
      </c>
      <c r="G163" s="395">
        <v>1.39</v>
      </c>
      <c r="H163" s="328">
        <f t="shared" si="65"/>
        <v>5.56</v>
      </c>
      <c r="I163" s="241"/>
      <c r="J163" s="241"/>
      <c r="K163" s="241"/>
      <c r="L163" s="241"/>
      <c r="M163" s="241"/>
      <c r="N163" s="241"/>
      <c r="O163" s="241"/>
      <c r="P163" s="241"/>
      <c r="Q163" s="241"/>
      <c r="R163" s="295"/>
    </row>
    <row r="164" spans="2:18" ht="12.75">
      <c r="B164" s="407" t="s">
        <v>705</v>
      </c>
      <c r="C164" s="341">
        <v>13418</v>
      </c>
      <c r="D164" s="419" t="s">
        <v>699</v>
      </c>
      <c r="E164" s="344" t="s">
        <v>69</v>
      </c>
      <c r="F164" s="396">
        <v>1</v>
      </c>
      <c r="G164" s="395">
        <f>18.41*1.18</f>
        <v>21.723800000000001</v>
      </c>
      <c r="H164" s="328">
        <f t="shared" si="65"/>
        <v>21.72</v>
      </c>
      <c r="I164" s="241"/>
      <c r="J164" s="241"/>
      <c r="K164" s="241"/>
      <c r="L164" s="241"/>
      <c r="M164" s="241"/>
      <c r="N164" s="241"/>
      <c r="O164" s="241"/>
      <c r="P164" s="241"/>
      <c r="Q164" s="241"/>
      <c r="R164" s="295"/>
    </row>
    <row r="165" spans="2:18" ht="12.75">
      <c r="B165" s="407" t="s">
        <v>706</v>
      </c>
      <c r="C165" s="341">
        <v>611</v>
      </c>
      <c r="D165" s="419" t="s">
        <v>700</v>
      </c>
      <c r="E165" s="344" t="s">
        <v>713</v>
      </c>
      <c r="F165" s="397">
        <v>1</v>
      </c>
      <c r="G165" s="395">
        <f>113.76*1.18</f>
        <v>134.23679999999999</v>
      </c>
      <c r="H165" s="328">
        <f t="shared" si="65"/>
        <v>134.24</v>
      </c>
      <c r="I165" s="241"/>
      <c r="J165" s="241"/>
      <c r="K165" s="241"/>
      <c r="L165" s="241"/>
      <c r="M165" s="241"/>
      <c r="N165" s="241"/>
      <c r="O165" s="241"/>
      <c r="P165" s="241"/>
      <c r="Q165" s="241"/>
      <c r="R165" s="295"/>
    </row>
    <row r="166" spans="2:18" ht="12.75">
      <c r="B166" s="407" t="s">
        <v>707</v>
      </c>
      <c r="C166" s="341">
        <v>586</v>
      </c>
      <c r="D166" s="419" t="s">
        <v>709</v>
      </c>
      <c r="E166" s="344" t="s">
        <v>713</v>
      </c>
      <c r="F166" s="397">
        <v>2.2000000000000002</v>
      </c>
      <c r="G166" s="395">
        <f>6.21*1.18</f>
        <v>7.3277999999999999</v>
      </c>
      <c r="H166" s="328">
        <f t="shared" si="65"/>
        <v>16.12</v>
      </c>
      <c r="I166" s="241"/>
      <c r="J166" s="241"/>
      <c r="K166" s="241"/>
      <c r="L166" s="241"/>
      <c r="M166" s="241"/>
      <c r="N166" s="241"/>
      <c r="O166" s="241"/>
      <c r="P166" s="241"/>
      <c r="Q166" s="241"/>
      <c r="R166" s="295"/>
    </row>
    <row r="167" spans="2:18" ht="12.75">
      <c r="B167" s="407" t="s">
        <v>708</v>
      </c>
      <c r="C167" s="341">
        <v>11718</v>
      </c>
      <c r="D167" s="419" t="s">
        <v>710</v>
      </c>
      <c r="E167" s="344" t="s">
        <v>69</v>
      </c>
      <c r="F167" s="397">
        <v>1</v>
      </c>
      <c r="G167" s="395">
        <f>11.03*1.18</f>
        <v>13.015399999999998</v>
      </c>
      <c r="H167" s="328">
        <f t="shared" si="65"/>
        <v>13.02</v>
      </c>
      <c r="I167" s="241"/>
      <c r="J167" s="241"/>
      <c r="K167" s="241"/>
      <c r="L167" s="241"/>
      <c r="M167" s="241"/>
      <c r="N167" s="241"/>
      <c r="O167" s="241"/>
      <c r="P167" s="241"/>
      <c r="Q167" s="241"/>
      <c r="R167" s="295"/>
    </row>
    <row r="168" spans="2:18" ht="12.75">
      <c r="B168" s="412" t="s">
        <v>481</v>
      </c>
      <c r="C168" s="341"/>
      <c r="D168" s="422" t="s">
        <v>787</v>
      </c>
      <c r="E168" s="344"/>
      <c r="F168" s="397"/>
      <c r="G168" s="410"/>
      <c r="H168" s="328">
        <f t="shared" si="65"/>
        <v>0</v>
      </c>
      <c r="I168" s="241"/>
      <c r="J168" s="241"/>
      <c r="K168" s="241"/>
      <c r="L168" s="241"/>
      <c r="M168" s="241"/>
      <c r="N168" s="241"/>
      <c r="O168" s="241"/>
      <c r="P168" s="241"/>
      <c r="Q168" s="241"/>
      <c r="R168" s="295"/>
    </row>
    <row r="169" spans="2:18" ht="48">
      <c r="B169" s="407" t="s">
        <v>482</v>
      </c>
      <c r="C169" s="341" t="s">
        <v>203</v>
      </c>
      <c r="D169" s="414" t="s">
        <v>467</v>
      </c>
      <c r="E169" s="434" t="s">
        <v>69</v>
      </c>
      <c r="F169" s="413">
        <v>1</v>
      </c>
      <c r="G169" s="395">
        <f>33.16</f>
        <v>33.159999999999997</v>
      </c>
      <c r="H169" s="328">
        <f t="shared" si="65"/>
        <v>33.159999999999997</v>
      </c>
      <c r="I169" s="241"/>
      <c r="J169" s="241"/>
      <c r="K169" s="241"/>
      <c r="L169" s="241"/>
      <c r="M169" s="241"/>
      <c r="N169" s="241"/>
      <c r="O169" s="241"/>
      <c r="P169" s="241"/>
      <c r="Q169" s="241"/>
      <c r="R169" s="295"/>
    </row>
    <row r="170" spans="2:18" ht="12.75">
      <c r="B170" s="407" t="s">
        <v>483</v>
      </c>
      <c r="C170" s="341" t="s">
        <v>203</v>
      </c>
      <c r="D170" s="414" t="s">
        <v>468</v>
      </c>
      <c r="E170" s="434" t="s">
        <v>69</v>
      </c>
      <c r="F170" s="413">
        <v>1</v>
      </c>
      <c r="G170" s="395">
        <f>10.55</f>
        <v>10.55</v>
      </c>
      <c r="H170" s="328">
        <f t="shared" si="65"/>
        <v>10.55</v>
      </c>
      <c r="I170" s="241"/>
      <c r="J170" s="241"/>
      <c r="K170" s="241"/>
      <c r="L170" s="241"/>
      <c r="M170" s="241"/>
      <c r="N170" s="241"/>
      <c r="O170" s="241"/>
      <c r="P170" s="241"/>
      <c r="Q170" s="241"/>
      <c r="R170" s="295"/>
    </row>
    <row r="171" spans="2:18">
      <c r="B171" s="407" t="s">
        <v>484</v>
      </c>
      <c r="C171" s="341">
        <v>3383</v>
      </c>
      <c r="D171" s="417" t="s">
        <v>469</v>
      </c>
      <c r="E171" s="434" t="s">
        <v>69</v>
      </c>
      <c r="F171" s="413">
        <v>2</v>
      </c>
      <c r="G171" s="395">
        <f>19.35*1.18</f>
        <v>22.833000000000002</v>
      </c>
      <c r="H171" s="328">
        <f t="shared" si="65"/>
        <v>45.67</v>
      </c>
      <c r="I171" s="241"/>
      <c r="J171" s="241"/>
      <c r="K171" s="241"/>
      <c r="L171" s="241"/>
      <c r="M171" s="241"/>
      <c r="N171" s="241"/>
      <c r="O171" s="241"/>
      <c r="P171" s="241"/>
      <c r="Q171" s="241"/>
      <c r="R171" s="295"/>
    </row>
    <row r="172" spans="2:18">
      <c r="B172" s="407" t="s">
        <v>485</v>
      </c>
      <c r="C172" s="341" t="s">
        <v>203</v>
      </c>
      <c r="D172" s="414" t="s">
        <v>470</v>
      </c>
      <c r="E172" s="434" t="s">
        <v>69</v>
      </c>
      <c r="F172" s="413">
        <v>2</v>
      </c>
      <c r="G172" s="395">
        <f>26.8</f>
        <v>26.8</v>
      </c>
      <c r="H172" s="328">
        <f t="shared" si="65"/>
        <v>53.6</v>
      </c>
      <c r="I172" s="241"/>
      <c r="J172" s="241"/>
      <c r="K172" s="241"/>
      <c r="L172" s="241"/>
      <c r="M172" s="241"/>
      <c r="N172" s="241"/>
      <c r="O172" s="241"/>
      <c r="P172" s="241"/>
      <c r="Q172" s="241"/>
      <c r="R172" s="295"/>
    </row>
    <row r="173" spans="2:18">
      <c r="B173" s="407" t="s">
        <v>486</v>
      </c>
      <c r="C173" s="341">
        <v>7571</v>
      </c>
      <c r="D173" s="417" t="s">
        <v>471</v>
      </c>
      <c r="E173" s="434" t="s">
        <v>69</v>
      </c>
      <c r="F173" s="413">
        <v>4</v>
      </c>
      <c r="G173" s="395">
        <f>5.45*1.18</f>
        <v>6.431</v>
      </c>
      <c r="H173" s="328">
        <f t="shared" si="65"/>
        <v>25.72</v>
      </c>
      <c r="I173" s="241"/>
      <c r="J173" s="241"/>
      <c r="K173" s="241"/>
      <c r="L173" s="241"/>
      <c r="M173" s="241"/>
      <c r="N173" s="241"/>
      <c r="O173" s="241"/>
      <c r="P173" s="241"/>
      <c r="Q173" s="241"/>
      <c r="R173" s="295"/>
    </row>
    <row r="174" spans="2:18" ht="12.75">
      <c r="B174" s="407" t="s">
        <v>487</v>
      </c>
      <c r="C174" s="341" t="s">
        <v>203</v>
      </c>
      <c r="D174" s="414" t="s">
        <v>472</v>
      </c>
      <c r="E174" s="434" t="s">
        <v>69</v>
      </c>
      <c r="F174" s="413">
        <v>4</v>
      </c>
      <c r="G174" s="395">
        <f>17.7</f>
        <v>17.7</v>
      </c>
      <c r="H174" s="328">
        <f t="shared" si="65"/>
        <v>70.8</v>
      </c>
      <c r="I174" s="241"/>
      <c r="J174" s="241"/>
      <c r="K174" s="241"/>
      <c r="L174" s="241"/>
      <c r="M174" s="241"/>
      <c r="N174" s="241"/>
      <c r="O174" s="241"/>
      <c r="P174" s="241"/>
      <c r="Q174" s="241"/>
      <c r="R174" s="295"/>
    </row>
    <row r="175" spans="2:18" ht="12.75">
      <c r="B175" s="407" t="s">
        <v>488</v>
      </c>
      <c r="C175" s="341" t="s">
        <v>203</v>
      </c>
      <c r="D175" s="414" t="s">
        <v>473</v>
      </c>
      <c r="E175" s="434" t="s">
        <v>69</v>
      </c>
      <c r="F175" s="413">
        <v>2</v>
      </c>
      <c r="G175" s="395">
        <f>8.99</f>
        <v>8.99</v>
      </c>
      <c r="H175" s="328">
        <f t="shared" si="65"/>
        <v>17.98</v>
      </c>
      <c r="I175" s="241"/>
      <c r="J175" s="241"/>
      <c r="K175" s="241"/>
      <c r="L175" s="241"/>
      <c r="M175" s="241"/>
      <c r="N175" s="241"/>
      <c r="O175" s="241"/>
      <c r="P175" s="241"/>
      <c r="Q175" s="241"/>
      <c r="R175" s="295"/>
    </row>
    <row r="176" spans="2:18" ht="12.75">
      <c r="B176" s="407" t="s">
        <v>489</v>
      </c>
      <c r="C176" s="341" t="s">
        <v>203</v>
      </c>
      <c r="D176" s="414" t="s">
        <v>474</v>
      </c>
      <c r="E176" s="434" t="s">
        <v>69</v>
      </c>
      <c r="F176" s="413">
        <v>30</v>
      </c>
      <c r="G176" s="395">
        <f>2.22</f>
        <v>2.2200000000000002</v>
      </c>
      <c r="H176" s="328">
        <f t="shared" si="65"/>
        <v>66.599999999999994</v>
      </c>
      <c r="I176" s="241"/>
      <c r="J176" s="241"/>
      <c r="K176" s="241"/>
      <c r="L176" s="241"/>
      <c r="M176" s="241"/>
      <c r="N176" s="241"/>
      <c r="O176" s="241"/>
      <c r="P176" s="241"/>
      <c r="Q176" s="241"/>
      <c r="R176" s="295"/>
    </row>
    <row r="177" spans="2:18" ht="12.75">
      <c r="B177" s="407" t="s">
        <v>490</v>
      </c>
      <c r="C177" s="341" t="s">
        <v>203</v>
      </c>
      <c r="D177" s="414" t="s">
        <v>475</v>
      </c>
      <c r="E177" s="434" t="s">
        <v>69</v>
      </c>
      <c r="F177" s="413">
        <v>4</v>
      </c>
      <c r="G177" s="395">
        <f>3.89</f>
        <v>3.89</v>
      </c>
      <c r="H177" s="328">
        <f t="shared" si="65"/>
        <v>15.56</v>
      </c>
      <c r="I177" s="241"/>
      <c r="J177" s="241"/>
      <c r="K177" s="241"/>
      <c r="L177" s="241"/>
      <c r="M177" s="241"/>
      <c r="N177" s="241"/>
      <c r="O177" s="241"/>
      <c r="P177" s="241"/>
      <c r="Q177" s="241"/>
      <c r="R177" s="295"/>
    </row>
    <row r="178" spans="2:18" ht="12.75">
      <c r="B178" s="407" t="s">
        <v>491</v>
      </c>
      <c r="C178" s="341" t="s">
        <v>203</v>
      </c>
      <c r="D178" s="414" t="s">
        <v>476</v>
      </c>
      <c r="E178" s="434" t="s">
        <v>69</v>
      </c>
      <c r="F178" s="413">
        <v>30</v>
      </c>
      <c r="G178" s="395">
        <f>4.19</f>
        <v>4.1900000000000004</v>
      </c>
      <c r="H178" s="328">
        <f t="shared" si="65"/>
        <v>125.7</v>
      </c>
      <c r="I178" s="241"/>
      <c r="J178" s="241"/>
      <c r="K178" s="241"/>
      <c r="L178" s="241"/>
      <c r="M178" s="241"/>
      <c r="N178" s="241"/>
      <c r="O178" s="241"/>
      <c r="P178" s="241"/>
      <c r="Q178" s="241"/>
      <c r="R178" s="295"/>
    </row>
    <row r="179" spans="2:18">
      <c r="B179" s="407" t="s">
        <v>492</v>
      </c>
      <c r="C179" s="341">
        <v>857</v>
      </c>
      <c r="D179" s="417" t="s">
        <v>477</v>
      </c>
      <c r="E179" s="434" t="s">
        <v>713</v>
      </c>
      <c r="F179" s="413">
        <v>10</v>
      </c>
      <c r="G179" s="395">
        <f>4.15*1.18</f>
        <v>4.8970000000000002</v>
      </c>
      <c r="H179" s="328">
        <f t="shared" si="65"/>
        <v>48.97</v>
      </c>
      <c r="I179" s="241"/>
      <c r="J179" s="241"/>
      <c r="K179" s="241"/>
      <c r="L179" s="241"/>
      <c r="M179" s="241"/>
      <c r="N179" s="241"/>
      <c r="O179" s="241"/>
      <c r="P179" s="241"/>
      <c r="Q179" s="241"/>
      <c r="R179" s="295"/>
    </row>
    <row r="180" spans="2:18">
      <c r="B180" s="407" t="s">
        <v>493</v>
      </c>
      <c r="C180" s="341">
        <v>863</v>
      </c>
      <c r="D180" s="417" t="s">
        <v>478</v>
      </c>
      <c r="E180" s="434" t="s">
        <v>713</v>
      </c>
      <c r="F180" s="413">
        <v>30</v>
      </c>
      <c r="G180" s="395">
        <f>9.49*1.18</f>
        <v>11.1982</v>
      </c>
      <c r="H180" s="328">
        <f t="shared" si="65"/>
        <v>335.95</v>
      </c>
      <c r="I180" s="241"/>
      <c r="J180" s="241"/>
      <c r="K180" s="241"/>
      <c r="L180" s="241"/>
      <c r="M180" s="241"/>
      <c r="N180" s="241"/>
      <c r="O180" s="241"/>
      <c r="P180" s="241"/>
      <c r="Q180" s="241"/>
      <c r="R180" s="295"/>
    </row>
    <row r="181" spans="2:18">
      <c r="B181" s="407" t="s">
        <v>494</v>
      </c>
      <c r="C181" s="341">
        <v>867</v>
      </c>
      <c r="D181" s="417" t="s">
        <v>479</v>
      </c>
      <c r="E181" s="434" t="s">
        <v>713</v>
      </c>
      <c r="F181" s="413">
        <v>20</v>
      </c>
      <c r="G181" s="395">
        <f>12.36*1.18</f>
        <v>14.584799999999998</v>
      </c>
      <c r="H181" s="328">
        <f t="shared" si="65"/>
        <v>291.7</v>
      </c>
      <c r="I181" s="241"/>
      <c r="J181" s="241"/>
      <c r="K181" s="241"/>
      <c r="L181" s="241"/>
      <c r="M181" s="241"/>
      <c r="N181" s="241"/>
      <c r="O181" s="241"/>
      <c r="P181" s="241"/>
      <c r="Q181" s="241"/>
      <c r="R181" s="295"/>
    </row>
    <row r="182" spans="2:18" ht="36">
      <c r="B182" s="407" t="s">
        <v>495</v>
      </c>
      <c r="C182" s="341">
        <v>1014</v>
      </c>
      <c r="D182" s="417" t="s">
        <v>480</v>
      </c>
      <c r="E182" s="434" t="s">
        <v>713</v>
      </c>
      <c r="F182" s="413">
        <v>190</v>
      </c>
      <c r="G182" s="395">
        <f>1.03*1.18</f>
        <v>1.2154</v>
      </c>
      <c r="H182" s="328">
        <f t="shared" si="65"/>
        <v>230.93</v>
      </c>
      <c r="I182" s="241"/>
      <c r="J182" s="241"/>
      <c r="K182" s="241"/>
      <c r="L182" s="241"/>
      <c r="M182" s="241"/>
      <c r="N182" s="241"/>
      <c r="O182" s="241"/>
      <c r="P182" s="241"/>
      <c r="Q182" s="241"/>
      <c r="R182" s="295"/>
    </row>
    <row r="183" spans="2:18" ht="36">
      <c r="B183" s="407" t="s">
        <v>518</v>
      </c>
      <c r="C183" s="341">
        <v>1020</v>
      </c>
      <c r="D183" s="417" t="s">
        <v>200</v>
      </c>
      <c r="E183" s="434" t="s">
        <v>713</v>
      </c>
      <c r="F183" s="413">
        <v>10</v>
      </c>
      <c r="G183" s="395">
        <f>3.56*1.18</f>
        <v>4.2008000000000001</v>
      </c>
      <c r="H183" s="328">
        <f t="shared" si="65"/>
        <v>42.01</v>
      </c>
      <c r="I183" s="241"/>
      <c r="J183" s="241"/>
      <c r="K183" s="241"/>
      <c r="L183" s="241"/>
      <c r="M183" s="241"/>
      <c r="N183" s="241"/>
      <c r="O183" s="241"/>
      <c r="P183" s="241"/>
      <c r="Q183" s="241"/>
      <c r="R183" s="295"/>
    </row>
    <row r="184" spans="2:18" ht="36">
      <c r="B184" s="407" t="s">
        <v>519</v>
      </c>
      <c r="C184" s="341">
        <v>995</v>
      </c>
      <c r="D184" s="417" t="s">
        <v>496</v>
      </c>
      <c r="E184" s="434" t="s">
        <v>713</v>
      </c>
      <c r="F184" s="413">
        <v>10</v>
      </c>
      <c r="G184" s="395">
        <f>5.34*1.18</f>
        <v>6.3011999999999997</v>
      </c>
      <c r="H184" s="328">
        <f t="shared" si="65"/>
        <v>63.01</v>
      </c>
      <c r="I184" s="241"/>
      <c r="J184" s="241"/>
      <c r="K184" s="241"/>
      <c r="L184" s="241"/>
      <c r="M184" s="241"/>
      <c r="N184" s="241"/>
      <c r="O184" s="241"/>
      <c r="P184" s="241"/>
      <c r="Q184" s="241"/>
      <c r="R184" s="295"/>
    </row>
    <row r="185" spans="2:18" ht="36">
      <c r="B185" s="407" t="s">
        <v>520</v>
      </c>
      <c r="C185" s="341" t="s">
        <v>203</v>
      </c>
      <c r="D185" s="414" t="s">
        <v>497</v>
      </c>
      <c r="E185" s="434" t="s">
        <v>713</v>
      </c>
      <c r="F185" s="413">
        <v>30</v>
      </c>
      <c r="G185" s="395">
        <f>0.73</f>
        <v>0.73</v>
      </c>
      <c r="H185" s="328">
        <f t="shared" si="65"/>
        <v>21.9</v>
      </c>
      <c r="I185" s="241"/>
      <c r="J185" s="241"/>
      <c r="K185" s="241"/>
      <c r="L185" s="241"/>
      <c r="M185" s="241"/>
      <c r="N185" s="241"/>
      <c r="O185" s="241"/>
      <c r="P185" s="241"/>
      <c r="Q185" s="241"/>
      <c r="R185" s="295"/>
    </row>
    <row r="186" spans="2:18" ht="96">
      <c r="B186" s="407" t="s">
        <v>521</v>
      </c>
      <c r="C186" s="341" t="s">
        <v>203</v>
      </c>
      <c r="D186" s="424" t="s">
        <v>498</v>
      </c>
      <c r="E186" s="434" t="s">
        <v>69</v>
      </c>
      <c r="F186" s="413">
        <v>1</v>
      </c>
      <c r="G186" s="395">
        <f>1003</f>
        <v>1003</v>
      </c>
      <c r="H186" s="328">
        <f t="shared" si="65"/>
        <v>1003</v>
      </c>
      <c r="I186" s="241"/>
      <c r="J186" s="241"/>
      <c r="K186" s="241"/>
      <c r="L186" s="241"/>
      <c r="M186" s="241"/>
      <c r="N186" s="241"/>
      <c r="O186" s="241"/>
      <c r="P186" s="241"/>
      <c r="Q186" s="241"/>
      <c r="R186" s="295"/>
    </row>
    <row r="187" spans="2:18">
      <c r="B187" s="407" t="s">
        <v>522</v>
      </c>
      <c r="C187" s="341" t="s">
        <v>203</v>
      </c>
      <c r="D187" s="414" t="s">
        <v>499</v>
      </c>
      <c r="E187" s="434" t="s">
        <v>69</v>
      </c>
      <c r="F187" s="413">
        <v>1</v>
      </c>
      <c r="G187" s="395">
        <f>317.08</f>
        <v>317.08</v>
      </c>
      <c r="H187" s="328">
        <f t="shared" si="65"/>
        <v>317.08</v>
      </c>
      <c r="I187" s="241"/>
      <c r="J187" s="241"/>
      <c r="K187" s="241"/>
      <c r="L187" s="241"/>
      <c r="M187" s="241"/>
      <c r="N187" s="241"/>
      <c r="O187" s="241"/>
      <c r="P187" s="241"/>
      <c r="Q187" s="241"/>
      <c r="R187" s="295"/>
    </row>
    <row r="188" spans="2:18">
      <c r="B188" s="407" t="s">
        <v>523</v>
      </c>
      <c r="C188" s="341">
        <v>21130</v>
      </c>
      <c r="D188" s="417" t="s">
        <v>500</v>
      </c>
      <c r="E188" s="434" t="s">
        <v>713</v>
      </c>
      <c r="F188" s="413">
        <v>3</v>
      </c>
      <c r="G188" s="395">
        <f>12.2*1.18</f>
        <v>14.395999999999999</v>
      </c>
      <c r="H188" s="328">
        <f t="shared" si="65"/>
        <v>43.19</v>
      </c>
      <c r="I188" s="241"/>
      <c r="J188" s="241"/>
      <c r="K188" s="241"/>
      <c r="L188" s="241"/>
      <c r="M188" s="241"/>
      <c r="N188" s="241"/>
      <c r="O188" s="241"/>
      <c r="P188" s="241"/>
      <c r="Q188" s="241"/>
      <c r="R188" s="295"/>
    </row>
    <row r="189" spans="2:18">
      <c r="B189" s="407" t="s">
        <v>524</v>
      </c>
      <c r="C189" s="341">
        <v>21128</v>
      </c>
      <c r="D189" s="417" t="s">
        <v>501</v>
      </c>
      <c r="E189" s="434" t="s">
        <v>713</v>
      </c>
      <c r="F189" s="413">
        <v>18</v>
      </c>
      <c r="G189" s="395">
        <f>5.05*1.18</f>
        <v>5.9589999999999996</v>
      </c>
      <c r="H189" s="328">
        <f t="shared" si="65"/>
        <v>107.26</v>
      </c>
      <c r="I189" s="241"/>
      <c r="J189" s="241"/>
      <c r="K189" s="241"/>
      <c r="L189" s="241"/>
      <c r="M189" s="241"/>
      <c r="N189" s="241"/>
      <c r="O189" s="241"/>
      <c r="P189" s="241"/>
      <c r="Q189" s="241"/>
      <c r="R189" s="295"/>
    </row>
    <row r="190" spans="2:18">
      <c r="B190" s="407" t="s">
        <v>525</v>
      </c>
      <c r="C190" s="341">
        <v>2685</v>
      </c>
      <c r="D190" s="417" t="s">
        <v>502</v>
      </c>
      <c r="E190" s="434" t="s">
        <v>713</v>
      </c>
      <c r="F190" s="413">
        <v>6</v>
      </c>
      <c r="G190" s="395">
        <f>2.62*1.18</f>
        <v>3.0916000000000001</v>
      </c>
      <c r="H190" s="328">
        <f t="shared" si="65"/>
        <v>18.55</v>
      </c>
      <c r="I190" s="241"/>
      <c r="J190" s="241"/>
      <c r="K190" s="241"/>
      <c r="L190" s="241"/>
      <c r="M190" s="241"/>
      <c r="N190" s="241"/>
      <c r="O190" s="241"/>
      <c r="P190" s="241"/>
      <c r="Q190" s="241"/>
      <c r="R190" s="295"/>
    </row>
    <row r="191" spans="2:18">
      <c r="B191" s="407" t="s">
        <v>526</v>
      </c>
      <c r="C191" s="341">
        <v>2674</v>
      </c>
      <c r="D191" s="417" t="s">
        <v>503</v>
      </c>
      <c r="E191" s="434" t="s">
        <v>713</v>
      </c>
      <c r="F191" s="413">
        <v>18</v>
      </c>
      <c r="G191" s="395">
        <f>1.73*1.18</f>
        <v>2.0413999999999999</v>
      </c>
      <c r="H191" s="328">
        <f t="shared" si="65"/>
        <v>36.75</v>
      </c>
      <c r="I191" s="241"/>
      <c r="J191" s="241"/>
      <c r="K191" s="241"/>
      <c r="L191" s="241"/>
      <c r="M191" s="241"/>
      <c r="N191" s="241"/>
      <c r="O191" s="241"/>
      <c r="P191" s="241"/>
      <c r="Q191" s="241"/>
      <c r="R191" s="295"/>
    </row>
    <row r="192" spans="2:18">
      <c r="B192" s="407" t="s">
        <v>527</v>
      </c>
      <c r="C192" s="341">
        <v>2633</v>
      </c>
      <c r="D192" s="417" t="s">
        <v>504</v>
      </c>
      <c r="E192" s="434" t="s">
        <v>69</v>
      </c>
      <c r="F192" s="413">
        <v>5</v>
      </c>
      <c r="G192" s="395">
        <f>1.45*1.18</f>
        <v>1.7109999999999999</v>
      </c>
      <c r="H192" s="328">
        <f t="shared" si="65"/>
        <v>8.56</v>
      </c>
      <c r="I192" s="241"/>
      <c r="J192" s="241"/>
      <c r="K192" s="241"/>
      <c r="L192" s="241"/>
      <c r="M192" s="241"/>
      <c r="N192" s="241"/>
      <c r="O192" s="241"/>
      <c r="P192" s="241"/>
      <c r="Q192" s="241"/>
      <c r="R192" s="295"/>
    </row>
    <row r="193" spans="2:18">
      <c r="B193" s="407" t="s">
        <v>528</v>
      </c>
      <c r="C193" s="341">
        <v>2637</v>
      </c>
      <c r="D193" s="417" t="s">
        <v>505</v>
      </c>
      <c r="E193" s="434" t="s">
        <v>69</v>
      </c>
      <c r="F193" s="413">
        <v>16</v>
      </c>
      <c r="G193" s="395">
        <f>0.55*1.18</f>
        <v>0.64900000000000002</v>
      </c>
      <c r="H193" s="328">
        <f t="shared" si="65"/>
        <v>10.38</v>
      </c>
      <c r="I193" s="241"/>
      <c r="J193" s="241"/>
      <c r="K193" s="241"/>
      <c r="L193" s="241"/>
      <c r="M193" s="241"/>
      <c r="N193" s="241"/>
      <c r="O193" s="241"/>
      <c r="P193" s="241"/>
      <c r="Q193" s="241"/>
      <c r="R193" s="295"/>
    </row>
    <row r="194" spans="2:18">
      <c r="B194" s="407" t="s">
        <v>529</v>
      </c>
      <c r="C194" s="341">
        <v>1885</v>
      </c>
      <c r="D194" s="417" t="s">
        <v>506</v>
      </c>
      <c r="E194" s="434" t="s">
        <v>69</v>
      </c>
      <c r="F194" s="413">
        <v>1</v>
      </c>
      <c r="G194" s="395">
        <f>1.84*1.18</f>
        <v>2.1711999999999998</v>
      </c>
      <c r="H194" s="328">
        <f t="shared" si="65"/>
        <v>2.17</v>
      </c>
      <c r="I194" s="241"/>
      <c r="J194" s="241"/>
      <c r="K194" s="241"/>
      <c r="L194" s="241"/>
      <c r="M194" s="241"/>
      <c r="N194" s="241"/>
      <c r="O194" s="241"/>
      <c r="P194" s="241"/>
      <c r="Q194" s="241"/>
      <c r="R194" s="295"/>
    </row>
    <row r="195" spans="2:18">
      <c r="B195" s="407" t="s">
        <v>530</v>
      </c>
      <c r="C195" s="341">
        <v>1891</v>
      </c>
      <c r="D195" s="417" t="s">
        <v>507</v>
      </c>
      <c r="E195" s="434" t="s">
        <v>69</v>
      </c>
      <c r="F195" s="413">
        <v>8</v>
      </c>
      <c r="G195" s="395">
        <v>1.1499999999999999</v>
      </c>
      <c r="H195" s="328">
        <f t="shared" si="65"/>
        <v>9.1999999999999993</v>
      </c>
      <c r="I195" s="241"/>
      <c r="J195" s="241"/>
      <c r="K195" s="241"/>
      <c r="L195" s="241"/>
      <c r="M195" s="241"/>
      <c r="N195" s="241"/>
      <c r="O195" s="241"/>
      <c r="P195" s="241"/>
      <c r="Q195" s="241"/>
      <c r="R195" s="295"/>
    </row>
    <row r="196" spans="2:18" ht="48">
      <c r="B196" s="407" t="s">
        <v>531</v>
      </c>
      <c r="C196" s="341"/>
      <c r="D196" s="423" t="s">
        <v>447</v>
      </c>
      <c r="E196" s="434"/>
      <c r="F196" s="413"/>
      <c r="G196" s="395"/>
      <c r="H196" s="328"/>
      <c r="I196" s="241"/>
      <c r="J196" s="241"/>
      <c r="K196" s="241"/>
      <c r="L196" s="241"/>
      <c r="M196" s="241"/>
      <c r="N196" s="241"/>
      <c r="O196" s="241"/>
      <c r="P196" s="241"/>
      <c r="Q196" s="241"/>
      <c r="R196" s="295"/>
    </row>
    <row r="197" spans="2:18" ht="12.75">
      <c r="B197" s="407" t="s">
        <v>542</v>
      </c>
      <c r="C197" s="341">
        <v>2593</v>
      </c>
      <c r="D197" s="417" t="s">
        <v>508</v>
      </c>
      <c r="E197" s="434" t="s">
        <v>69</v>
      </c>
      <c r="F197" s="413">
        <v>1</v>
      </c>
      <c r="G197" s="395">
        <f>3.88*1.18</f>
        <v>4.5783999999999994</v>
      </c>
      <c r="H197" s="328">
        <f t="shared" si="65"/>
        <v>4.58</v>
      </c>
      <c r="I197" s="241"/>
      <c r="J197" s="241"/>
      <c r="K197" s="241"/>
      <c r="L197" s="241"/>
      <c r="M197" s="241"/>
      <c r="N197" s="241"/>
      <c r="O197" s="241"/>
      <c r="P197" s="241"/>
      <c r="Q197" s="241"/>
      <c r="R197" s="295"/>
    </row>
    <row r="198" spans="2:18" ht="12.75">
      <c r="B198" s="407" t="s">
        <v>543</v>
      </c>
      <c r="C198" s="341">
        <v>2574</v>
      </c>
      <c r="D198" s="417" t="s">
        <v>509</v>
      </c>
      <c r="E198" s="434" t="s">
        <v>69</v>
      </c>
      <c r="F198" s="413">
        <v>1</v>
      </c>
      <c r="G198" s="395">
        <f>4.15*1.18</f>
        <v>4.8970000000000002</v>
      </c>
      <c r="H198" s="328">
        <f t="shared" si="65"/>
        <v>4.9000000000000004</v>
      </c>
      <c r="I198" s="241"/>
      <c r="J198" s="241"/>
      <c r="K198" s="241"/>
      <c r="L198" s="241"/>
      <c r="M198" s="241"/>
      <c r="N198" s="241"/>
      <c r="O198" s="241"/>
      <c r="P198" s="241"/>
      <c r="Q198" s="241"/>
      <c r="R198" s="295"/>
    </row>
    <row r="199" spans="2:18" ht="12.75">
      <c r="B199" s="407" t="s">
        <v>544</v>
      </c>
      <c r="C199" s="341">
        <v>2565</v>
      </c>
      <c r="D199" s="417" t="s">
        <v>510</v>
      </c>
      <c r="E199" s="434" t="s">
        <v>69</v>
      </c>
      <c r="F199" s="413">
        <v>1</v>
      </c>
      <c r="G199" s="395">
        <f>3.6*1.18</f>
        <v>4.2480000000000002</v>
      </c>
      <c r="H199" s="328">
        <f t="shared" si="65"/>
        <v>4.25</v>
      </c>
      <c r="I199" s="241"/>
      <c r="J199" s="241"/>
      <c r="K199" s="241"/>
      <c r="L199" s="241"/>
      <c r="M199" s="241"/>
      <c r="N199" s="241"/>
      <c r="O199" s="241"/>
      <c r="P199" s="241"/>
      <c r="Q199" s="241"/>
      <c r="R199" s="295"/>
    </row>
    <row r="200" spans="2:18">
      <c r="B200" s="407" t="s">
        <v>532</v>
      </c>
      <c r="C200" s="341">
        <v>400</v>
      </c>
      <c r="D200" s="417" t="s">
        <v>511</v>
      </c>
      <c r="E200" s="434" t="s">
        <v>69</v>
      </c>
      <c r="F200" s="413">
        <v>15</v>
      </c>
      <c r="G200" s="395">
        <f>0.41*1.18</f>
        <v>0.48379999999999995</v>
      </c>
      <c r="H200" s="328">
        <f t="shared" si="65"/>
        <v>7.26</v>
      </c>
      <c r="I200" s="241"/>
      <c r="J200" s="241"/>
      <c r="K200" s="241"/>
      <c r="L200" s="241"/>
      <c r="M200" s="241"/>
      <c r="N200" s="241"/>
      <c r="O200" s="241"/>
      <c r="P200" s="241"/>
      <c r="Q200" s="241"/>
      <c r="R200" s="295"/>
    </row>
    <row r="201" spans="2:18">
      <c r="B201" s="407" t="s">
        <v>533</v>
      </c>
      <c r="C201" s="341">
        <v>393</v>
      </c>
      <c r="D201" s="417" t="s">
        <v>512</v>
      </c>
      <c r="E201" s="434" t="s">
        <v>69</v>
      </c>
      <c r="F201" s="413">
        <v>8</v>
      </c>
      <c r="G201" s="395">
        <f>0.54*1.18</f>
        <v>0.63719999999999999</v>
      </c>
      <c r="H201" s="328">
        <f t="shared" si="65"/>
        <v>5.0999999999999996</v>
      </c>
      <c r="I201" s="241"/>
      <c r="J201" s="241"/>
      <c r="K201" s="241"/>
      <c r="L201" s="241"/>
      <c r="M201" s="241"/>
      <c r="N201" s="241"/>
      <c r="O201" s="241"/>
      <c r="P201" s="241"/>
      <c r="Q201" s="241"/>
      <c r="R201" s="295"/>
    </row>
    <row r="202" spans="2:18">
      <c r="B202" s="407" t="s">
        <v>534</v>
      </c>
      <c r="C202" s="341">
        <v>394</v>
      </c>
      <c r="D202" s="417" t="s">
        <v>513</v>
      </c>
      <c r="E202" s="434" t="s">
        <v>69</v>
      </c>
      <c r="F202" s="413">
        <v>1</v>
      </c>
      <c r="G202" s="395">
        <f>0.57*1.18</f>
        <v>0.67259999999999986</v>
      </c>
      <c r="H202" s="328">
        <f t="shared" si="65"/>
        <v>0.67</v>
      </c>
      <c r="I202" s="241"/>
      <c r="J202" s="241"/>
      <c r="K202" s="241"/>
      <c r="L202" s="241"/>
      <c r="M202" s="241"/>
      <c r="N202" s="241"/>
      <c r="O202" s="241"/>
      <c r="P202" s="241"/>
      <c r="Q202" s="241"/>
      <c r="R202" s="295"/>
    </row>
    <row r="203" spans="2:18" ht="12.75">
      <c r="B203" s="407" t="s">
        <v>535</v>
      </c>
      <c r="C203" s="341">
        <v>4376</v>
      </c>
      <c r="D203" s="417" t="s">
        <v>514</v>
      </c>
      <c r="E203" s="434" t="s">
        <v>69</v>
      </c>
      <c r="F203" s="413">
        <v>24</v>
      </c>
      <c r="G203" s="395">
        <f>0.08*1.18</f>
        <v>9.4399999999999998E-2</v>
      </c>
      <c r="H203" s="328">
        <f t="shared" si="65"/>
        <v>2.27</v>
      </c>
      <c r="I203" s="241"/>
      <c r="J203" s="241"/>
      <c r="K203" s="241"/>
      <c r="L203" s="241"/>
      <c r="M203" s="241"/>
      <c r="N203" s="241"/>
      <c r="O203" s="241"/>
      <c r="P203" s="241"/>
      <c r="Q203" s="241"/>
      <c r="R203" s="295"/>
    </row>
    <row r="204" spans="2:18" ht="36">
      <c r="B204" s="407" t="s">
        <v>536</v>
      </c>
      <c r="C204" s="341" t="s">
        <v>203</v>
      </c>
      <c r="D204" s="414" t="s">
        <v>515</v>
      </c>
      <c r="E204" s="434" t="s">
        <v>69</v>
      </c>
      <c r="F204" s="413">
        <v>1</v>
      </c>
      <c r="G204" s="395">
        <f>1416</f>
        <v>1416</v>
      </c>
      <c r="H204" s="328">
        <f t="shared" si="65"/>
        <v>1416</v>
      </c>
      <c r="I204" s="241"/>
      <c r="J204" s="241"/>
      <c r="K204" s="241"/>
      <c r="L204" s="241"/>
      <c r="M204" s="241"/>
      <c r="N204" s="241"/>
      <c r="O204" s="241"/>
      <c r="P204" s="241"/>
      <c r="Q204" s="241"/>
      <c r="R204" s="295"/>
    </row>
    <row r="205" spans="2:18">
      <c r="B205" s="407" t="s">
        <v>537</v>
      </c>
      <c r="C205" s="341">
        <v>7529</v>
      </c>
      <c r="D205" s="417" t="s">
        <v>547</v>
      </c>
      <c r="E205" s="434" t="s">
        <v>69</v>
      </c>
      <c r="F205" s="413">
        <v>1</v>
      </c>
      <c r="G205" s="395">
        <f>11.74*1.18</f>
        <v>13.853199999999999</v>
      </c>
      <c r="H205" s="328">
        <f t="shared" si="65"/>
        <v>13.85</v>
      </c>
      <c r="I205" s="241"/>
      <c r="J205" s="241"/>
      <c r="K205" s="241"/>
      <c r="L205" s="241"/>
      <c r="M205" s="241"/>
      <c r="N205" s="241"/>
      <c r="O205" s="241"/>
      <c r="P205" s="241"/>
      <c r="Q205" s="241"/>
      <c r="R205" s="295"/>
    </row>
    <row r="206" spans="2:18">
      <c r="B206" s="407"/>
      <c r="C206" s="341">
        <v>7529</v>
      </c>
      <c r="D206" s="417" t="s">
        <v>548</v>
      </c>
      <c r="E206" s="434" t="s">
        <v>69</v>
      </c>
      <c r="F206" s="413">
        <v>2</v>
      </c>
      <c r="G206" s="395">
        <f>G205</f>
        <v>13.853199999999999</v>
      </c>
      <c r="H206" s="328">
        <f t="shared" si="65"/>
        <v>27.71</v>
      </c>
      <c r="I206" s="241"/>
      <c r="J206" s="241"/>
      <c r="K206" s="241"/>
      <c r="L206" s="241"/>
      <c r="M206" s="241"/>
      <c r="N206" s="241"/>
      <c r="O206" s="241"/>
      <c r="P206" s="241"/>
      <c r="Q206" s="241"/>
      <c r="R206" s="295"/>
    </row>
    <row r="207" spans="2:18" ht="12.75">
      <c r="B207" s="407" t="s">
        <v>538</v>
      </c>
      <c r="C207" s="341">
        <v>2559</v>
      </c>
      <c r="D207" s="417" t="s">
        <v>545</v>
      </c>
      <c r="E207" s="434" t="s">
        <v>69</v>
      </c>
      <c r="F207" s="413">
        <v>1</v>
      </c>
      <c r="G207" s="395">
        <f>3.86*1.18</f>
        <v>4.5547999999999993</v>
      </c>
      <c r="H207" s="328">
        <f t="shared" si="65"/>
        <v>4.55</v>
      </c>
      <c r="I207" s="241"/>
      <c r="J207" s="241"/>
      <c r="K207" s="241"/>
      <c r="L207" s="241"/>
      <c r="M207" s="241"/>
      <c r="N207" s="241"/>
      <c r="O207" s="241"/>
      <c r="P207" s="241"/>
      <c r="Q207" s="241"/>
      <c r="R207" s="295"/>
    </row>
    <row r="208" spans="2:18" ht="12.75">
      <c r="B208" s="407"/>
      <c r="C208" s="341">
        <v>2565</v>
      </c>
      <c r="D208" s="417" t="s">
        <v>546</v>
      </c>
      <c r="E208" s="434" t="s">
        <v>69</v>
      </c>
      <c r="F208" s="413">
        <v>3</v>
      </c>
      <c r="G208" s="395">
        <f>3.6*1.18</f>
        <v>4.2480000000000002</v>
      </c>
      <c r="H208" s="328">
        <f t="shared" si="65"/>
        <v>12.74</v>
      </c>
      <c r="I208" s="241"/>
      <c r="J208" s="241"/>
      <c r="K208" s="241"/>
      <c r="L208" s="241"/>
      <c r="M208" s="241"/>
      <c r="N208" s="241"/>
      <c r="O208" s="241"/>
      <c r="P208" s="241"/>
      <c r="Q208" s="241"/>
      <c r="R208" s="295"/>
    </row>
    <row r="209" spans="2:18">
      <c r="B209" s="407" t="s">
        <v>539</v>
      </c>
      <c r="C209" s="341">
        <v>7559</v>
      </c>
      <c r="D209" s="417" t="s">
        <v>549</v>
      </c>
      <c r="E209" s="434" t="s">
        <v>69</v>
      </c>
      <c r="F209" s="413">
        <v>1</v>
      </c>
      <c r="G209" s="395">
        <f>8.12*1.18</f>
        <v>9.5815999999999981</v>
      </c>
      <c r="H209" s="328">
        <f t="shared" si="65"/>
        <v>9.58</v>
      </c>
      <c r="I209" s="241"/>
      <c r="J209" s="241"/>
      <c r="K209" s="241"/>
      <c r="L209" s="241"/>
      <c r="M209" s="241"/>
      <c r="N209" s="241"/>
      <c r="O209" s="241"/>
      <c r="P209" s="241"/>
      <c r="Q209" s="241"/>
      <c r="R209" s="295"/>
    </row>
    <row r="210" spans="2:18" ht="12.75">
      <c r="B210" s="407" t="s">
        <v>540</v>
      </c>
      <c r="C210" s="341" t="s">
        <v>203</v>
      </c>
      <c r="D210" s="414" t="s">
        <v>516</v>
      </c>
      <c r="E210" s="434" t="s">
        <v>69</v>
      </c>
      <c r="F210" s="413">
        <v>2</v>
      </c>
      <c r="G210" s="395">
        <f>10.86</f>
        <v>10.86</v>
      </c>
      <c r="H210" s="328">
        <f t="shared" si="65"/>
        <v>21.72</v>
      </c>
      <c r="I210" s="241"/>
      <c r="J210" s="241"/>
      <c r="K210" s="241"/>
      <c r="L210" s="241"/>
      <c r="M210" s="241"/>
      <c r="N210" s="241"/>
      <c r="O210" s="241"/>
      <c r="P210" s="241"/>
      <c r="Q210" s="241"/>
      <c r="R210" s="295"/>
    </row>
    <row r="211" spans="2:18" ht="12.75">
      <c r="B211" s="407" t="s">
        <v>541</v>
      </c>
      <c r="C211" s="341" t="s">
        <v>203</v>
      </c>
      <c r="D211" s="414" t="s">
        <v>517</v>
      </c>
      <c r="E211" s="434" t="s">
        <v>69</v>
      </c>
      <c r="F211" s="413">
        <v>2</v>
      </c>
      <c r="G211" s="395">
        <f>212.4</f>
        <v>212.4</v>
      </c>
      <c r="H211" s="328">
        <f t="shared" si="65"/>
        <v>424.8</v>
      </c>
      <c r="I211" s="241"/>
      <c r="J211" s="241"/>
      <c r="K211" s="241"/>
      <c r="L211" s="241"/>
      <c r="M211" s="241"/>
      <c r="N211" s="241"/>
      <c r="O211" s="241"/>
      <c r="P211" s="241"/>
      <c r="Q211" s="241"/>
      <c r="R211" s="295"/>
    </row>
    <row r="212" spans="2:18" ht="12.75">
      <c r="B212" s="412" t="s">
        <v>551</v>
      </c>
      <c r="C212" s="341"/>
      <c r="D212" s="411" t="s">
        <v>550</v>
      </c>
      <c r="E212" s="409"/>
      <c r="F212" s="410"/>
      <c r="G212" s="410"/>
      <c r="H212" s="328"/>
      <c r="I212" s="241"/>
      <c r="J212" s="241"/>
      <c r="K212" s="241"/>
      <c r="L212" s="241"/>
      <c r="M212" s="241"/>
      <c r="N212" s="241"/>
      <c r="O212" s="241"/>
      <c r="P212" s="241"/>
      <c r="Q212" s="241"/>
      <c r="R212" s="295"/>
    </row>
    <row r="213" spans="2:18">
      <c r="B213" s="407" t="s">
        <v>552</v>
      </c>
      <c r="C213" s="341">
        <v>11767</v>
      </c>
      <c r="D213" s="421" t="s">
        <v>553</v>
      </c>
      <c r="E213" s="341" t="s">
        <v>69</v>
      </c>
      <c r="F213" s="395">
        <v>1</v>
      </c>
      <c r="G213" s="395">
        <f>108.54*1.18</f>
        <v>128.0772</v>
      </c>
      <c r="H213" s="328">
        <f t="shared" si="65"/>
        <v>128.08000000000001</v>
      </c>
      <c r="I213" s="241"/>
      <c r="J213" s="241"/>
      <c r="K213" s="241"/>
      <c r="L213" s="241"/>
      <c r="M213" s="241"/>
      <c r="N213" s="241"/>
      <c r="O213" s="241"/>
      <c r="P213" s="241"/>
      <c r="Q213" s="241"/>
      <c r="R213" s="295"/>
    </row>
    <row r="214" spans="2:18" ht="12.75">
      <c r="B214" s="412" t="s">
        <v>563</v>
      </c>
      <c r="C214" s="341"/>
      <c r="D214" s="422" t="s">
        <v>787</v>
      </c>
      <c r="E214" s="344"/>
      <c r="F214" s="397"/>
      <c r="G214" s="410"/>
      <c r="H214" s="328"/>
      <c r="I214" s="241"/>
      <c r="J214" s="241"/>
      <c r="K214" s="241"/>
      <c r="L214" s="241"/>
      <c r="M214" s="241"/>
      <c r="N214" s="241"/>
      <c r="O214" s="241"/>
      <c r="P214" s="241"/>
      <c r="Q214" s="241"/>
      <c r="R214" s="295"/>
    </row>
    <row r="215" spans="2:18">
      <c r="B215" s="407" t="s">
        <v>564</v>
      </c>
      <c r="C215" s="341">
        <v>2685</v>
      </c>
      <c r="D215" s="417" t="s">
        <v>502</v>
      </c>
      <c r="E215" s="434" t="s">
        <v>713</v>
      </c>
      <c r="F215" s="413">
        <v>12</v>
      </c>
      <c r="G215" s="395">
        <f>2.62*1.18</f>
        <v>3.0916000000000001</v>
      </c>
      <c r="H215" s="328">
        <f t="shared" si="65"/>
        <v>37.1</v>
      </c>
      <c r="I215" s="241"/>
      <c r="J215" s="241"/>
      <c r="K215" s="241"/>
      <c r="L215" s="241"/>
      <c r="M215" s="241"/>
      <c r="N215" s="241"/>
      <c r="O215" s="241"/>
      <c r="P215" s="241"/>
      <c r="Q215" s="241"/>
      <c r="R215" s="295"/>
    </row>
    <row r="216" spans="2:18">
      <c r="B216" s="407" t="s">
        <v>565</v>
      </c>
      <c r="C216" s="341">
        <v>2674</v>
      </c>
      <c r="D216" s="417" t="s">
        <v>503</v>
      </c>
      <c r="E216" s="434" t="s">
        <v>713</v>
      </c>
      <c r="F216" s="413">
        <v>9</v>
      </c>
      <c r="G216" s="395">
        <f>1.73*1.18</f>
        <v>2.0413999999999999</v>
      </c>
      <c r="H216" s="328">
        <f t="shared" si="65"/>
        <v>18.37</v>
      </c>
      <c r="I216" s="241"/>
      <c r="J216" s="241"/>
      <c r="K216" s="241"/>
      <c r="L216" s="241"/>
      <c r="M216" s="241"/>
      <c r="N216" s="241"/>
      <c r="O216" s="241"/>
      <c r="P216" s="241"/>
      <c r="Q216" s="241"/>
      <c r="R216" s="295"/>
    </row>
    <row r="217" spans="2:18">
      <c r="B217" s="407" t="s">
        <v>566</v>
      </c>
      <c r="C217" s="341">
        <v>21136</v>
      </c>
      <c r="D217" s="417" t="s">
        <v>554</v>
      </c>
      <c r="E217" s="434" t="s">
        <v>713</v>
      </c>
      <c r="F217" s="413">
        <v>3</v>
      </c>
      <c r="G217" s="395">
        <f>5.94*1.18</f>
        <v>7.0091999999999999</v>
      </c>
      <c r="H217" s="328">
        <f t="shared" si="65"/>
        <v>21.03</v>
      </c>
      <c r="I217" s="241"/>
      <c r="J217" s="241"/>
      <c r="K217" s="241"/>
      <c r="L217" s="241"/>
      <c r="M217" s="241"/>
      <c r="N217" s="241"/>
      <c r="O217" s="241"/>
      <c r="P217" s="241"/>
      <c r="Q217" s="241"/>
      <c r="R217" s="295"/>
    </row>
    <row r="218" spans="2:18">
      <c r="B218" s="407" t="s">
        <v>567</v>
      </c>
      <c r="C218" s="341">
        <v>1885</v>
      </c>
      <c r="D218" s="417" t="s">
        <v>506</v>
      </c>
      <c r="E218" s="434" t="s">
        <v>69</v>
      </c>
      <c r="F218" s="413">
        <v>2</v>
      </c>
      <c r="G218" s="395">
        <f>1.84*1.18</f>
        <v>2.1711999999999998</v>
      </c>
      <c r="H218" s="328">
        <f t="shared" si="65"/>
        <v>4.34</v>
      </c>
      <c r="I218" s="241"/>
      <c r="J218" s="241"/>
      <c r="K218" s="241"/>
      <c r="L218" s="241"/>
      <c r="M218" s="241"/>
      <c r="N218" s="241"/>
      <c r="O218" s="241"/>
      <c r="P218" s="241"/>
      <c r="Q218" s="241"/>
      <c r="R218" s="295"/>
    </row>
    <row r="219" spans="2:18">
      <c r="B219" s="407" t="s">
        <v>568</v>
      </c>
      <c r="C219" s="341">
        <v>1884</v>
      </c>
      <c r="D219" s="417" t="s">
        <v>555</v>
      </c>
      <c r="E219" s="434" t="s">
        <v>69</v>
      </c>
      <c r="F219" s="413">
        <v>2</v>
      </c>
      <c r="G219" s="395">
        <f>3.07*1.18</f>
        <v>3.6225999999999998</v>
      </c>
      <c r="H219" s="328">
        <f t="shared" si="65"/>
        <v>7.25</v>
      </c>
      <c r="I219" s="241"/>
      <c r="J219" s="241"/>
      <c r="K219" s="241"/>
      <c r="L219" s="241"/>
      <c r="M219" s="241"/>
      <c r="N219" s="241"/>
      <c r="O219" s="241"/>
      <c r="P219" s="241"/>
      <c r="Q219" s="241"/>
      <c r="R219" s="295"/>
    </row>
    <row r="220" spans="2:18">
      <c r="B220" s="407" t="s">
        <v>569</v>
      </c>
      <c r="C220" s="341">
        <v>1892</v>
      </c>
      <c r="D220" s="417" t="s">
        <v>556</v>
      </c>
      <c r="E220" s="434" t="s">
        <v>69</v>
      </c>
      <c r="F220" s="413">
        <v>8</v>
      </c>
      <c r="G220" s="395">
        <f>1.46*1.18</f>
        <v>1.7227999999999999</v>
      </c>
      <c r="H220" s="328">
        <f t="shared" si="65"/>
        <v>13.78</v>
      </c>
      <c r="I220" s="241"/>
      <c r="J220" s="241"/>
      <c r="K220" s="241"/>
      <c r="L220" s="241"/>
      <c r="M220" s="241"/>
      <c r="N220" s="241"/>
      <c r="O220" s="241"/>
      <c r="P220" s="241"/>
      <c r="Q220" s="241"/>
      <c r="R220" s="295"/>
    </row>
    <row r="221" spans="2:18">
      <c r="B221" s="407" t="s">
        <v>570</v>
      </c>
      <c r="C221" s="341">
        <v>1891</v>
      </c>
      <c r="D221" s="417" t="s">
        <v>507</v>
      </c>
      <c r="E221" s="434" t="s">
        <v>69</v>
      </c>
      <c r="F221" s="413">
        <v>7</v>
      </c>
      <c r="G221" s="395">
        <f>1.15*1.18</f>
        <v>1.3569999999999998</v>
      </c>
      <c r="H221" s="328">
        <f t="shared" si="65"/>
        <v>9.5</v>
      </c>
      <c r="I221" s="241"/>
      <c r="J221" s="241"/>
      <c r="K221" s="241"/>
      <c r="L221" s="241"/>
      <c r="M221" s="241"/>
      <c r="N221" s="241"/>
      <c r="O221" s="241"/>
      <c r="P221" s="241"/>
      <c r="Q221" s="241"/>
      <c r="R221" s="295"/>
    </row>
    <row r="222" spans="2:18">
      <c r="B222" s="407" t="s">
        <v>571</v>
      </c>
      <c r="C222" s="341">
        <v>393</v>
      </c>
      <c r="D222" s="417" t="s">
        <v>512</v>
      </c>
      <c r="E222" s="434" t="s">
        <v>69</v>
      </c>
      <c r="F222" s="413">
        <v>5</v>
      </c>
      <c r="G222" s="395">
        <f>0.54*1.18</f>
        <v>0.63719999999999999</v>
      </c>
      <c r="H222" s="328">
        <f t="shared" si="65"/>
        <v>3.19</v>
      </c>
      <c r="I222" s="241"/>
      <c r="J222" s="241"/>
      <c r="K222" s="241"/>
      <c r="L222" s="241"/>
      <c r="M222" s="241"/>
      <c r="N222" s="241"/>
      <c r="O222" s="241"/>
      <c r="P222" s="241"/>
      <c r="Q222" s="241"/>
      <c r="R222" s="295"/>
    </row>
    <row r="223" spans="2:18" ht="12.75">
      <c r="B223" s="407" t="s">
        <v>572</v>
      </c>
      <c r="C223" s="341">
        <v>4376</v>
      </c>
      <c r="D223" s="417" t="s">
        <v>514</v>
      </c>
      <c r="E223" s="434" t="s">
        <v>69</v>
      </c>
      <c r="F223" s="413">
        <v>5</v>
      </c>
      <c r="G223" s="395">
        <v>0.09</v>
      </c>
      <c r="H223" s="328">
        <f t="shared" ref="H223:H247" si="66">ROUND(F223*G223,2)</f>
        <v>0.45</v>
      </c>
      <c r="I223" s="241"/>
      <c r="J223" s="241"/>
      <c r="K223" s="241"/>
      <c r="L223" s="241"/>
      <c r="M223" s="241"/>
      <c r="N223" s="241"/>
      <c r="O223" s="241"/>
      <c r="P223" s="241"/>
      <c r="Q223" s="241"/>
      <c r="R223" s="295"/>
    </row>
    <row r="224" spans="2:18" ht="48">
      <c r="B224" s="407" t="s">
        <v>573</v>
      </c>
      <c r="C224" s="341"/>
      <c r="D224" s="423" t="s">
        <v>447</v>
      </c>
      <c r="E224" s="434"/>
      <c r="F224" s="413"/>
      <c r="G224" s="395"/>
      <c r="H224" s="328"/>
      <c r="I224" s="241"/>
      <c r="J224" s="241"/>
      <c r="K224" s="241"/>
      <c r="L224" s="241"/>
      <c r="M224" s="241"/>
      <c r="N224" s="241"/>
      <c r="O224" s="241"/>
      <c r="P224" s="241"/>
      <c r="Q224" s="241"/>
      <c r="R224" s="295"/>
    </row>
    <row r="225" spans="2:18" ht="12.75">
      <c r="B225" s="407" t="s">
        <v>574</v>
      </c>
      <c r="C225" s="341">
        <v>2570</v>
      </c>
      <c r="D225" s="417" t="s">
        <v>557</v>
      </c>
      <c r="E225" s="434" t="s">
        <v>69</v>
      </c>
      <c r="F225" s="413">
        <v>1</v>
      </c>
      <c r="G225" s="395">
        <f>6.02*1.18</f>
        <v>7.1035999999999992</v>
      </c>
      <c r="H225" s="328">
        <f t="shared" si="66"/>
        <v>7.1</v>
      </c>
      <c r="I225" s="241"/>
      <c r="J225" s="241"/>
      <c r="K225" s="241"/>
      <c r="L225" s="241"/>
      <c r="M225" s="241"/>
      <c r="N225" s="241"/>
      <c r="O225" s="241"/>
      <c r="P225" s="241"/>
      <c r="Q225" s="241"/>
      <c r="R225" s="295"/>
    </row>
    <row r="226" spans="2:18" ht="36">
      <c r="B226" s="407" t="s">
        <v>575</v>
      </c>
      <c r="C226" s="341">
        <v>1022</v>
      </c>
      <c r="D226" s="417" t="s">
        <v>558</v>
      </c>
      <c r="E226" s="434" t="s">
        <v>713</v>
      </c>
      <c r="F226" s="413">
        <v>70</v>
      </c>
      <c r="G226" s="395">
        <f>1.12*1.18</f>
        <v>1.3216000000000001</v>
      </c>
      <c r="H226" s="328">
        <f t="shared" si="66"/>
        <v>92.51</v>
      </c>
      <c r="I226" s="241"/>
      <c r="J226" s="241"/>
      <c r="K226" s="241"/>
      <c r="L226" s="241"/>
      <c r="M226" s="241"/>
      <c r="N226" s="241"/>
      <c r="O226" s="241"/>
      <c r="P226" s="241"/>
      <c r="Q226" s="241"/>
      <c r="R226" s="295"/>
    </row>
    <row r="227" spans="2:18" ht="36">
      <c r="B227" s="407" t="s">
        <v>576</v>
      </c>
      <c r="C227" s="341" t="s">
        <v>203</v>
      </c>
      <c r="D227" s="414" t="s">
        <v>559</v>
      </c>
      <c r="E227" s="434" t="s">
        <v>713</v>
      </c>
      <c r="F227" s="413">
        <v>40</v>
      </c>
      <c r="G227" s="395">
        <f>0.73</f>
        <v>0.73</v>
      </c>
      <c r="H227" s="328">
        <f t="shared" si="66"/>
        <v>29.2</v>
      </c>
      <c r="I227" s="241"/>
      <c r="J227" s="241"/>
      <c r="K227" s="241"/>
      <c r="L227" s="241"/>
      <c r="M227" s="241"/>
      <c r="N227" s="241"/>
      <c r="O227" s="241"/>
      <c r="P227" s="241"/>
      <c r="Q227" s="241"/>
      <c r="R227" s="295"/>
    </row>
    <row r="228" spans="2:18" ht="36">
      <c r="B228" s="407" t="s">
        <v>577</v>
      </c>
      <c r="C228" s="341">
        <v>1020</v>
      </c>
      <c r="D228" s="417" t="s">
        <v>200</v>
      </c>
      <c r="E228" s="434" t="s">
        <v>713</v>
      </c>
      <c r="F228" s="413">
        <v>5</v>
      </c>
      <c r="G228" s="395">
        <f>3.56*1.18</f>
        <v>4.2008000000000001</v>
      </c>
      <c r="H228" s="328">
        <f t="shared" si="66"/>
        <v>21</v>
      </c>
      <c r="I228" s="241"/>
      <c r="J228" s="241"/>
      <c r="K228" s="241"/>
      <c r="L228" s="241"/>
      <c r="M228" s="241"/>
      <c r="N228" s="241"/>
      <c r="O228" s="241"/>
      <c r="P228" s="241"/>
      <c r="Q228" s="241"/>
      <c r="R228" s="295"/>
    </row>
    <row r="229" spans="2:18" ht="36">
      <c r="B229" s="407" t="s">
        <v>578</v>
      </c>
      <c r="C229" s="341" t="s">
        <v>203</v>
      </c>
      <c r="D229" s="414" t="s">
        <v>515</v>
      </c>
      <c r="E229" s="434" t="s">
        <v>69</v>
      </c>
      <c r="F229" s="413">
        <v>1</v>
      </c>
      <c r="G229" s="395">
        <f>1416</f>
        <v>1416</v>
      </c>
      <c r="H229" s="328">
        <f t="shared" si="66"/>
        <v>1416</v>
      </c>
      <c r="I229" s="241"/>
      <c r="J229" s="241"/>
      <c r="K229" s="241"/>
      <c r="L229" s="241"/>
      <c r="M229" s="241"/>
      <c r="N229" s="241"/>
      <c r="O229" s="241"/>
      <c r="P229" s="241"/>
      <c r="Q229" s="241"/>
      <c r="R229" s="295"/>
    </row>
    <row r="230" spans="2:18" ht="12.75">
      <c r="B230" s="407" t="s">
        <v>579</v>
      </c>
      <c r="C230" s="341" t="s">
        <v>203</v>
      </c>
      <c r="D230" s="414" t="s">
        <v>560</v>
      </c>
      <c r="E230" s="434" t="s">
        <v>69</v>
      </c>
      <c r="F230" s="413">
        <v>2</v>
      </c>
      <c r="G230" s="395">
        <f>29.39</f>
        <v>29.39</v>
      </c>
      <c r="H230" s="328">
        <f t="shared" si="66"/>
        <v>58.78</v>
      </c>
      <c r="I230" s="241"/>
      <c r="J230" s="241"/>
      <c r="K230" s="241"/>
      <c r="L230" s="241"/>
      <c r="M230" s="241"/>
      <c r="N230" s="241"/>
      <c r="O230" s="241"/>
      <c r="P230" s="241"/>
      <c r="Q230" s="241"/>
      <c r="R230" s="295"/>
    </row>
    <row r="231" spans="2:18">
      <c r="B231" s="407" t="s">
        <v>580</v>
      </c>
      <c r="C231" s="341" t="s">
        <v>203</v>
      </c>
      <c r="D231" s="414" t="s">
        <v>470</v>
      </c>
      <c r="E231" s="434" t="s">
        <v>69</v>
      </c>
      <c r="F231" s="413">
        <v>2</v>
      </c>
      <c r="G231" s="395">
        <f>26.8</f>
        <v>26.8</v>
      </c>
      <c r="H231" s="328">
        <f t="shared" si="66"/>
        <v>53.6</v>
      </c>
      <c r="I231" s="241"/>
      <c r="J231" s="241"/>
      <c r="K231" s="241"/>
      <c r="L231" s="241"/>
      <c r="M231" s="241"/>
      <c r="N231" s="241"/>
      <c r="O231" s="241"/>
      <c r="P231" s="241"/>
      <c r="Q231" s="241"/>
      <c r="R231" s="295"/>
    </row>
    <row r="232" spans="2:18">
      <c r="B232" s="407" t="s">
        <v>581</v>
      </c>
      <c r="C232" s="341">
        <v>3383</v>
      </c>
      <c r="D232" s="417" t="s">
        <v>469</v>
      </c>
      <c r="E232" s="434" t="s">
        <v>69</v>
      </c>
      <c r="F232" s="413">
        <v>2</v>
      </c>
      <c r="G232" s="395">
        <f>19.35*1.18</f>
        <v>22.833000000000002</v>
      </c>
      <c r="H232" s="328">
        <f t="shared" si="66"/>
        <v>45.67</v>
      </c>
      <c r="I232" s="241"/>
      <c r="J232" s="241"/>
      <c r="K232" s="241"/>
      <c r="L232" s="241"/>
      <c r="M232" s="241"/>
      <c r="N232" s="241"/>
      <c r="O232" s="241"/>
      <c r="P232" s="241"/>
      <c r="Q232" s="241"/>
      <c r="R232" s="295"/>
    </row>
    <row r="233" spans="2:18">
      <c r="B233" s="407" t="s">
        <v>582</v>
      </c>
      <c r="C233" s="341" t="s">
        <v>203</v>
      </c>
      <c r="D233" s="414" t="s">
        <v>561</v>
      </c>
      <c r="E233" s="434" t="s">
        <v>69</v>
      </c>
      <c r="F233" s="413">
        <v>1</v>
      </c>
      <c r="G233" s="395">
        <f>1014.8</f>
        <v>1014.8</v>
      </c>
      <c r="H233" s="328">
        <f t="shared" si="66"/>
        <v>1014.8</v>
      </c>
      <c r="I233" s="241"/>
      <c r="J233" s="241"/>
      <c r="K233" s="241"/>
      <c r="L233" s="241"/>
      <c r="M233" s="241"/>
      <c r="N233" s="241"/>
      <c r="O233" s="241"/>
      <c r="P233" s="241"/>
      <c r="Q233" s="241"/>
      <c r="R233" s="295"/>
    </row>
    <row r="234" spans="2:18">
      <c r="B234" s="407" t="s">
        <v>583</v>
      </c>
      <c r="C234" s="341" t="s">
        <v>203</v>
      </c>
      <c r="D234" s="414" t="s">
        <v>499</v>
      </c>
      <c r="E234" s="434" t="s">
        <v>69</v>
      </c>
      <c r="F234" s="413">
        <v>1</v>
      </c>
      <c r="G234" s="395">
        <f>317.08</f>
        <v>317.08</v>
      </c>
      <c r="H234" s="328">
        <f t="shared" si="66"/>
        <v>317.08</v>
      </c>
      <c r="I234" s="241"/>
      <c r="J234" s="241"/>
      <c r="K234" s="241"/>
      <c r="L234" s="241"/>
      <c r="M234" s="241"/>
      <c r="N234" s="241"/>
      <c r="O234" s="241"/>
      <c r="P234" s="241"/>
      <c r="Q234" s="241"/>
      <c r="R234" s="295"/>
    </row>
    <row r="235" spans="2:18" ht="12.75">
      <c r="B235" s="407" t="s">
        <v>584</v>
      </c>
      <c r="C235" s="341" t="s">
        <v>203</v>
      </c>
      <c r="D235" s="414" t="s">
        <v>562</v>
      </c>
      <c r="E235" s="434" t="s">
        <v>713</v>
      </c>
      <c r="F235" s="413">
        <v>4</v>
      </c>
      <c r="G235" s="395">
        <f>6.02</f>
        <v>6.02</v>
      </c>
      <c r="H235" s="328">
        <f t="shared" si="66"/>
        <v>24.08</v>
      </c>
      <c r="I235" s="241"/>
      <c r="J235" s="241"/>
      <c r="K235" s="241"/>
      <c r="L235" s="241"/>
      <c r="M235" s="241"/>
      <c r="N235" s="241"/>
      <c r="O235" s="241"/>
      <c r="P235" s="241"/>
      <c r="Q235" s="241"/>
      <c r="R235" s="295"/>
    </row>
    <row r="236" spans="2:18" ht="12.75">
      <c r="B236" s="412" t="s">
        <v>585</v>
      </c>
      <c r="C236" s="341"/>
      <c r="D236" s="411" t="s">
        <v>797</v>
      </c>
      <c r="E236" s="409"/>
      <c r="F236" s="410"/>
      <c r="G236" s="410"/>
      <c r="H236" s="328"/>
      <c r="I236" s="241"/>
      <c r="J236" s="241"/>
      <c r="K236" s="241"/>
      <c r="L236" s="241"/>
      <c r="M236" s="241"/>
      <c r="N236" s="241"/>
      <c r="O236" s="241"/>
      <c r="P236" s="241"/>
      <c r="Q236" s="241"/>
      <c r="R236" s="295"/>
    </row>
    <row r="237" spans="2:18">
      <c r="B237" s="407" t="s">
        <v>589</v>
      </c>
      <c r="C237" s="341">
        <v>9869</v>
      </c>
      <c r="D237" s="419" t="s">
        <v>586</v>
      </c>
      <c r="E237" s="344" t="s">
        <v>713</v>
      </c>
      <c r="F237" s="396">
        <v>90</v>
      </c>
      <c r="G237" s="395">
        <f>4.36*1.18</f>
        <v>5.1448</v>
      </c>
      <c r="H237" s="328">
        <f t="shared" si="66"/>
        <v>463.03</v>
      </c>
      <c r="I237" s="241"/>
      <c r="J237" s="241"/>
      <c r="K237" s="241"/>
      <c r="L237" s="241"/>
      <c r="M237" s="241"/>
      <c r="N237" s="241"/>
      <c r="O237" s="241"/>
      <c r="P237" s="241"/>
      <c r="Q237" s="241"/>
      <c r="R237" s="295"/>
    </row>
    <row r="238" spans="2:18">
      <c r="B238" s="407" t="s">
        <v>590</v>
      </c>
      <c r="C238" s="341">
        <v>3903</v>
      </c>
      <c r="D238" s="419" t="s">
        <v>587</v>
      </c>
      <c r="E238" s="344" t="s">
        <v>69</v>
      </c>
      <c r="F238" s="396">
        <v>1</v>
      </c>
      <c r="G238" s="395">
        <f>0.82*1.18</f>
        <v>0.9675999999999999</v>
      </c>
      <c r="H238" s="328">
        <f t="shared" si="66"/>
        <v>0.97</v>
      </c>
      <c r="I238" s="241"/>
      <c r="J238" s="241"/>
      <c r="K238" s="241"/>
      <c r="L238" s="241"/>
      <c r="M238" s="241"/>
      <c r="N238" s="241"/>
      <c r="O238" s="241"/>
      <c r="P238" s="241"/>
      <c r="Q238" s="241"/>
      <c r="R238" s="295"/>
    </row>
    <row r="239" spans="2:18" ht="12.75">
      <c r="B239" s="407" t="s">
        <v>591</v>
      </c>
      <c r="C239" s="341">
        <v>1189</v>
      </c>
      <c r="D239" s="419" t="s">
        <v>588</v>
      </c>
      <c r="E239" s="344" t="s">
        <v>69</v>
      </c>
      <c r="F239" s="396">
        <v>1</v>
      </c>
      <c r="G239" s="395">
        <f>1.3*1.18</f>
        <v>1.534</v>
      </c>
      <c r="H239" s="328">
        <f t="shared" si="66"/>
        <v>1.53</v>
      </c>
      <c r="I239" s="241"/>
      <c r="J239" s="241"/>
      <c r="K239" s="241"/>
      <c r="L239" s="241"/>
      <c r="M239" s="241"/>
      <c r="N239" s="241"/>
      <c r="O239" s="241"/>
      <c r="P239" s="241"/>
      <c r="Q239" s="241"/>
      <c r="R239" s="295"/>
    </row>
    <row r="240" spans="2:18" ht="12.75">
      <c r="B240" s="412" t="s">
        <v>593</v>
      </c>
      <c r="C240" s="341"/>
      <c r="D240" s="411" t="s">
        <v>592</v>
      </c>
      <c r="E240" s="409"/>
      <c r="F240" s="410"/>
      <c r="G240" s="410"/>
      <c r="H240" s="328"/>
      <c r="I240" s="241"/>
      <c r="J240" s="241"/>
      <c r="K240" s="241"/>
      <c r="L240" s="241"/>
      <c r="M240" s="241"/>
      <c r="N240" s="241"/>
      <c r="O240" s="241"/>
      <c r="P240" s="241"/>
      <c r="Q240" s="241"/>
      <c r="R240" s="295"/>
    </row>
    <row r="241" spans="2:46">
      <c r="B241" s="407" t="s">
        <v>594</v>
      </c>
      <c r="C241" s="341" t="s">
        <v>203</v>
      </c>
      <c r="D241" s="420" t="s">
        <v>595</v>
      </c>
      <c r="E241" s="344" t="s">
        <v>69</v>
      </c>
      <c r="F241" s="396">
        <v>26</v>
      </c>
      <c r="G241" s="395">
        <f>11.67</f>
        <v>11.67</v>
      </c>
      <c r="H241" s="328">
        <f t="shared" si="66"/>
        <v>303.42</v>
      </c>
      <c r="I241" s="241"/>
      <c r="J241" s="241"/>
      <c r="K241" s="241"/>
      <c r="L241" s="241"/>
      <c r="M241" s="241"/>
      <c r="N241" s="241"/>
      <c r="O241" s="241"/>
      <c r="P241" s="241"/>
      <c r="Q241" s="241"/>
      <c r="R241" s="295"/>
    </row>
    <row r="242" spans="2:46" ht="36">
      <c r="B242" s="407" t="s">
        <v>600</v>
      </c>
      <c r="C242" s="341">
        <v>7691</v>
      </c>
      <c r="D242" s="419" t="s">
        <v>450</v>
      </c>
      <c r="E242" s="344" t="s">
        <v>713</v>
      </c>
      <c r="F242" s="396">
        <v>26</v>
      </c>
      <c r="G242" s="395">
        <f>10.44*1.18</f>
        <v>12.319199999999999</v>
      </c>
      <c r="H242" s="328">
        <f t="shared" si="66"/>
        <v>320.3</v>
      </c>
      <c r="I242" s="241"/>
      <c r="J242" s="241"/>
      <c r="K242" s="241"/>
      <c r="L242" s="241"/>
      <c r="M242" s="241"/>
      <c r="N242" s="241"/>
      <c r="O242" s="241"/>
      <c r="P242" s="241"/>
      <c r="Q242" s="241"/>
      <c r="R242" s="295"/>
    </row>
    <row r="243" spans="2:46">
      <c r="B243" s="407" t="s">
        <v>601</v>
      </c>
      <c r="C243" s="341">
        <v>3908</v>
      </c>
      <c r="D243" s="419" t="s">
        <v>452</v>
      </c>
      <c r="E243" s="344" t="s">
        <v>69</v>
      </c>
      <c r="F243" s="396">
        <v>26</v>
      </c>
      <c r="G243" s="395">
        <f>2.77*1.18</f>
        <v>3.2685999999999997</v>
      </c>
      <c r="H243" s="328">
        <f t="shared" si="66"/>
        <v>84.98</v>
      </c>
      <c r="I243" s="241"/>
      <c r="J243" s="241"/>
      <c r="K243" s="241"/>
      <c r="L243" s="241"/>
      <c r="M243" s="241"/>
      <c r="N243" s="241"/>
      <c r="O243" s="241"/>
      <c r="P243" s="241"/>
      <c r="Q243" s="241"/>
      <c r="R243" s="295"/>
    </row>
    <row r="244" spans="2:46">
      <c r="B244" s="407" t="s">
        <v>602</v>
      </c>
      <c r="C244" s="341">
        <v>3455</v>
      </c>
      <c r="D244" s="419" t="s">
        <v>596</v>
      </c>
      <c r="E244" s="344" t="s">
        <v>69</v>
      </c>
      <c r="F244" s="396">
        <v>78</v>
      </c>
      <c r="G244" s="395">
        <f>2.99*1.18</f>
        <v>3.5282</v>
      </c>
      <c r="H244" s="328">
        <f t="shared" si="66"/>
        <v>275.2</v>
      </c>
      <c r="I244" s="241"/>
      <c r="J244" s="241"/>
      <c r="K244" s="241"/>
      <c r="L244" s="241"/>
      <c r="M244" s="241"/>
      <c r="N244" s="241"/>
      <c r="O244" s="241"/>
      <c r="P244" s="241"/>
      <c r="Q244" s="241"/>
      <c r="R244" s="295"/>
    </row>
    <row r="245" spans="2:46">
      <c r="B245" s="407" t="s">
        <v>603</v>
      </c>
      <c r="C245" s="341">
        <v>11748</v>
      </c>
      <c r="D245" s="419" t="s">
        <v>597</v>
      </c>
      <c r="E245" s="344" t="s">
        <v>69</v>
      </c>
      <c r="F245" s="396">
        <v>26</v>
      </c>
      <c r="G245" s="395">
        <f>14.95*1.18</f>
        <v>17.640999999999998</v>
      </c>
      <c r="H245" s="328">
        <f t="shared" si="66"/>
        <v>458.67</v>
      </c>
      <c r="I245" s="241"/>
      <c r="J245" s="241"/>
      <c r="K245" s="241"/>
      <c r="L245" s="241"/>
      <c r="M245" s="241"/>
      <c r="N245" s="241"/>
      <c r="O245" s="241"/>
      <c r="P245" s="241"/>
      <c r="Q245" s="241"/>
      <c r="R245" s="295"/>
    </row>
    <row r="246" spans="2:46" ht="12.75">
      <c r="B246" s="407" t="s">
        <v>449</v>
      </c>
      <c r="C246" s="341" t="s">
        <v>203</v>
      </c>
      <c r="D246" s="419" t="s">
        <v>598</v>
      </c>
      <c r="E246" s="344" t="s">
        <v>69</v>
      </c>
      <c r="F246" s="396">
        <v>52</v>
      </c>
      <c r="G246" s="395">
        <v>10.36</v>
      </c>
      <c r="H246" s="328">
        <f t="shared" si="66"/>
        <v>538.72</v>
      </c>
      <c r="I246" s="241"/>
      <c r="J246" s="241"/>
      <c r="K246" s="241"/>
      <c r="L246" s="241"/>
      <c r="M246" s="241"/>
      <c r="N246" s="241"/>
      <c r="O246" s="241"/>
      <c r="P246" s="241"/>
      <c r="Q246" s="241"/>
      <c r="R246" s="295"/>
    </row>
    <row r="247" spans="2:46">
      <c r="B247" s="407" t="s">
        <v>451</v>
      </c>
      <c r="C247" s="341">
        <v>12769</v>
      </c>
      <c r="D247" s="419" t="s">
        <v>599</v>
      </c>
      <c r="E247" s="344" t="s">
        <v>69</v>
      </c>
      <c r="F247" s="396">
        <v>26</v>
      </c>
      <c r="G247" s="395">
        <f>71.74*1.18</f>
        <v>84.653199999999984</v>
      </c>
      <c r="H247" s="328">
        <f t="shared" si="66"/>
        <v>2200.98</v>
      </c>
      <c r="I247" s="241"/>
      <c r="J247" s="241"/>
      <c r="K247" s="241"/>
      <c r="L247" s="241"/>
      <c r="M247" s="241"/>
      <c r="N247" s="241"/>
      <c r="O247" s="241"/>
      <c r="P247" s="241"/>
      <c r="Q247" s="241"/>
      <c r="R247" s="295"/>
    </row>
    <row r="248" spans="2:46" ht="12.75">
      <c r="B248" s="412"/>
      <c r="C248" s="341"/>
      <c r="D248" s="411"/>
      <c r="E248" s="409"/>
      <c r="F248" s="410"/>
      <c r="G248" s="410"/>
      <c r="H248" s="333"/>
      <c r="I248" s="241"/>
      <c r="J248" s="241"/>
      <c r="K248" s="241"/>
      <c r="L248" s="241"/>
      <c r="M248" s="241"/>
      <c r="N248" s="241"/>
      <c r="O248" s="241"/>
      <c r="P248" s="241"/>
      <c r="Q248" s="241"/>
      <c r="R248" s="295"/>
    </row>
    <row r="249" spans="2:46" ht="12.75">
      <c r="B249" s="412"/>
      <c r="C249" s="341"/>
      <c r="D249" s="411" t="s">
        <v>453</v>
      </c>
      <c r="E249" s="409"/>
      <c r="F249" s="410"/>
      <c r="G249" s="410"/>
      <c r="H249" s="333">
        <f>SUM(H135:H247)</f>
        <v>17815.96000000001</v>
      </c>
      <c r="I249" s="241"/>
      <c r="J249" s="241"/>
      <c r="K249" s="241"/>
      <c r="L249" s="241"/>
      <c r="M249" s="241"/>
      <c r="N249" s="241"/>
      <c r="O249" s="241"/>
      <c r="P249" s="241"/>
      <c r="Q249" s="241"/>
      <c r="R249" s="295"/>
    </row>
    <row r="250" spans="2:46" s="238" customFormat="1" ht="12.75">
      <c r="B250" s="394"/>
      <c r="C250" s="391"/>
      <c r="D250" s="298"/>
      <c r="E250" s="391"/>
      <c r="F250" s="392"/>
      <c r="G250" s="392"/>
      <c r="H250" s="328"/>
      <c r="I250" s="242"/>
      <c r="J250" s="242">
        <f>H250</f>
        <v>0</v>
      </c>
      <c r="K250" s="242"/>
      <c r="L250" s="242"/>
      <c r="M250" s="242"/>
      <c r="N250" s="242"/>
      <c r="O250" s="242"/>
      <c r="P250" s="241">
        <f>SUM(I250:O250)</f>
        <v>0</v>
      </c>
      <c r="Q250" s="241">
        <f>H250-P250</f>
        <v>0</v>
      </c>
      <c r="R250" s="295"/>
      <c r="S250" s="242"/>
      <c r="T250" s="340"/>
      <c r="U250" s="242"/>
      <c r="V250" s="242"/>
      <c r="W250" s="242"/>
      <c r="X250" s="242"/>
      <c r="Y250" s="242"/>
      <c r="Z250" s="242"/>
      <c r="AA250" s="242"/>
      <c r="AB250" s="242"/>
      <c r="AC250" s="242"/>
      <c r="AD250" s="242"/>
      <c r="AE250" s="242"/>
      <c r="AF250" s="242"/>
      <c r="AG250" s="242"/>
      <c r="AH250" s="242"/>
      <c r="AI250" s="242"/>
      <c r="AJ250" s="242"/>
      <c r="AK250" s="242"/>
      <c r="AL250" s="242"/>
      <c r="AM250" s="242"/>
      <c r="AN250" s="242"/>
      <c r="AO250" s="242"/>
      <c r="AP250" s="242"/>
      <c r="AQ250" s="242"/>
      <c r="AR250" s="242"/>
      <c r="AS250" s="242"/>
      <c r="AT250" s="242"/>
    </row>
    <row r="251" spans="2:46" ht="24" customHeight="1">
      <c r="B251" s="306"/>
      <c r="C251" s="307"/>
      <c r="D251" s="308" t="s">
        <v>444</v>
      </c>
      <c r="E251" s="436"/>
      <c r="F251" s="334"/>
      <c r="G251" s="335"/>
      <c r="H251" s="336" t="e">
        <f>H249+H133</f>
        <v>#REF!</v>
      </c>
      <c r="I251" s="240" t="e">
        <f t="shared" ref="I251:P251" si="67">SUM(I16:I250)</f>
        <v>#REF!</v>
      </c>
      <c r="J251" s="240" t="e">
        <f t="shared" si="67"/>
        <v>#REF!</v>
      </c>
      <c r="K251" s="240" t="e">
        <f t="shared" si="67"/>
        <v>#REF!</v>
      </c>
      <c r="L251" s="240">
        <f t="shared" si="67"/>
        <v>0</v>
      </c>
      <c r="M251" s="240" t="e">
        <f t="shared" si="67"/>
        <v>#REF!</v>
      </c>
      <c r="N251" s="240">
        <f t="shared" si="67"/>
        <v>0</v>
      </c>
      <c r="O251" s="240">
        <f t="shared" si="67"/>
        <v>0</v>
      </c>
      <c r="P251" s="240" t="e">
        <f t="shared" si="67"/>
        <v>#REF!</v>
      </c>
      <c r="R251" s="242"/>
    </row>
    <row r="252" spans="2:46" ht="24" customHeight="1">
      <c r="I252" s="240" t="e">
        <f>I251/$P$251</f>
        <v>#REF!</v>
      </c>
      <c r="J252" s="240" t="e">
        <f t="shared" ref="J252:O252" si="68">J251/$P$251</f>
        <v>#REF!</v>
      </c>
      <c r="K252" s="240" t="e">
        <f t="shared" si="68"/>
        <v>#REF!</v>
      </c>
      <c r="L252" s="240" t="e">
        <f t="shared" si="68"/>
        <v>#REF!</v>
      </c>
      <c r="M252" s="240" t="e">
        <f t="shared" si="68"/>
        <v>#REF!</v>
      </c>
      <c r="N252" s="240" t="e">
        <f t="shared" si="68"/>
        <v>#REF!</v>
      </c>
      <c r="O252" s="240" t="e">
        <f t="shared" si="68"/>
        <v>#REF!</v>
      </c>
      <c r="P252" s="241"/>
      <c r="Q252" s="241"/>
      <c r="R252" s="242"/>
    </row>
  </sheetData>
  <autoFilter ref="D1:D254"/>
  <mergeCells count="1">
    <mergeCell ref="B11:H11"/>
  </mergeCells>
  <phoneticPr fontId="0" type="noConversion"/>
  <pageMargins left="0.95" right="0.3" top="0.68" bottom="0.51" header="0.33" footer="0.41"/>
  <pageSetup paperSize="9" scale="65" fitToHeight="4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6155" r:id="rId4">
          <objectPr defaultSize="0" autoPict="0" r:id="rId5">
            <anchor moveWithCells="1" sizeWithCells="1">
              <from>
                <xdr:col>1</xdr:col>
                <xdr:colOff>38100</xdr:colOff>
                <xdr:row>1</xdr:row>
                <xdr:rowOff>19050</xdr:rowOff>
              </from>
              <to>
                <xdr:col>3</xdr:col>
                <xdr:colOff>1590675</xdr:colOff>
                <xdr:row>5</xdr:row>
                <xdr:rowOff>0</xdr:rowOff>
              </to>
            </anchor>
          </objectPr>
        </oleObject>
      </mc:Choice>
      <mc:Fallback>
        <oleObject shapeId="615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4"/>
  <sheetViews>
    <sheetView workbookViewId="0">
      <selection activeCell="E16" sqref="E16"/>
    </sheetView>
  </sheetViews>
  <sheetFormatPr defaultRowHeight="12.75"/>
  <cols>
    <col min="3" max="3" width="26.28515625" bestFit="1" customWidth="1"/>
    <col min="7" max="7" width="14.28515625" bestFit="1" customWidth="1"/>
  </cols>
  <sheetData>
    <row r="2" spans="2:16" ht="15">
      <c r="B2" s="706" t="s">
        <v>646</v>
      </c>
      <c r="C2" s="706"/>
      <c r="D2" s="706"/>
      <c r="E2" s="706"/>
      <c r="F2" s="706"/>
      <c r="G2" s="706"/>
    </row>
    <row r="3" spans="2:16">
      <c r="B3" s="707" t="s">
        <v>647</v>
      </c>
      <c r="C3" s="707"/>
      <c r="D3" s="707"/>
      <c r="E3" s="707"/>
      <c r="F3" s="707"/>
      <c r="G3" s="707"/>
    </row>
    <row r="4" spans="2:16">
      <c r="G4" s="350" t="s">
        <v>211</v>
      </c>
      <c r="I4" s="350" t="s">
        <v>211</v>
      </c>
    </row>
    <row r="5" spans="2:16">
      <c r="B5" s="351" t="s">
        <v>212</v>
      </c>
      <c r="C5" s="352">
        <v>100000</v>
      </c>
      <c r="G5" s="88" t="s">
        <v>211</v>
      </c>
      <c r="I5" s="88"/>
    </row>
    <row r="6" spans="2:16" ht="13.5" thickBot="1">
      <c r="I6" s="350" t="s">
        <v>211</v>
      </c>
    </row>
    <row r="7" spans="2:16">
      <c r="B7" s="708" t="s">
        <v>213</v>
      </c>
      <c r="C7" s="710" t="s">
        <v>214</v>
      </c>
      <c r="D7" s="353" t="s">
        <v>67</v>
      </c>
      <c r="E7" s="353" t="s">
        <v>67</v>
      </c>
      <c r="F7" s="354" t="s">
        <v>215</v>
      </c>
      <c r="G7" s="355" t="s">
        <v>315</v>
      </c>
      <c r="H7" s="350" t="s">
        <v>211</v>
      </c>
    </row>
    <row r="8" spans="2:16" ht="13.5" thickBot="1">
      <c r="B8" s="709"/>
      <c r="C8" s="711"/>
      <c r="D8" s="356" t="s">
        <v>216</v>
      </c>
      <c r="E8" s="356" t="s">
        <v>217</v>
      </c>
      <c r="F8" s="356" t="s">
        <v>218</v>
      </c>
      <c r="G8" s="357" t="s">
        <v>218</v>
      </c>
      <c r="I8" s="704" t="s">
        <v>211</v>
      </c>
      <c r="J8" s="704"/>
      <c r="K8" s="704"/>
      <c r="L8" s="704"/>
      <c r="M8" s="704"/>
    </row>
    <row r="9" spans="2:16">
      <c r="B9" s="358"/>
      <c r="C9" s="359"/>
      <c r="D9" s="360"/>
      <c r="E9" s="360"/>
      <c r="F9" s="360"/>
      <c r="G9" s="361"/>
      <c r="I9" s="348"/>
      <c r="J9" s="348"/>
      <c r="K9" s="348"/>
      <c r="L9" s="348"/>
      <c r="M9" s="348"/>
    </row>
    <row r="10" spans="2:16" ht="15">
      <c r="B10" s="362">
        <v>1</v>
      </c>
      <c r="C10" s="363" t="s">
        <v>219</v>
      </c>
      <c r="D10" s="364" t="s">
        <v>211</v>
      </c>
      <c r="E10" s="364">
        <v>8.01</v>
      </c>
      <c r="F10" s="107" t="s">
        <v>211</v>
      </c>
      <c r="G10" s="365">
        <f>ROUND(E10*C5/100,2)</f>
        <v>8010</v>
      </c>
      <c r="H10" t="s">
        <v>211</v>
      </c>
      <c r="I10" s="348" t="s">
        <v>211</v>
      </c>
      <c r="J10" s="349" t="s">
        <v>220</v>
      </c>
      <c r="K10" s="366">
        <v>8.0100000000000005E-2</v>
      </c>
      <c r="L10" s="367"/>
      <c r="M10" s="367" t="s">
        <v>221</v>
      </c>
      <c r="N10" s="347"/>
      <c r="O10" s="347"/>
      <c r="P10" s="347"/>
    </row>
    <row r="11" spans="2:16">
      <c r="B11" s="368"/>
      <c r="C11" s="107"/>
      <c r="D11" s="369" t="s">
        <v>211</v>
      </c>
      <c r="E11" s="369" t="s">
        <v>211</v>
      </c>
      <c r="F11" s="370" t="s">
        <v>211</v>
      </c>
      <c r="G11" s="147"/>
      <c r="I11" s="704" t="s">
        <v>211</v>
      </c>
      <c r="J11" s="704"/>
      <c r="K11" s="704"/>
      <c r="L11" s="704"/>
    </row>
    <row r="12" spans="2:16">
      <c r="B12" s="368"/>
      <c r="C12" s="107"/>
      <c r="D12" s="369" t="s">
        <v>211</v>
      </c>
      <c r="E12" s="369" t="s">
        <v>211</v>
      </c>
      <c r="F12" s="370" t="s">
        <v>211</v>
      </c>
      <c r="G12" s="147"/>
      <c r="I12" s="172"/>
      <c r="J12" s="172"/>
      <c r="K12" s="172"/>
      <c r="L12" s="172"/>
    </row>
    <row r="13" spans="2:16">
      <c r="B13" s="368"/>
      <c r="C13" s="107"/>
      <c r="D13" s="369" t="s">
        <v>211</v>
      </c>
      <c r="E13" s="369" t="s">
        <v>211</v>
      </c>
      <c r="F13" s="370" t="s">
        <v>211</v>
      </c>
      <c r="G13" s="147"/>
      <c r="I13" s="704" t="s">
        <v>211</v>
      </c>
      <c r="J13" s="704"/>
      <c r="K13" s="704"/>
      <c r="L13" s="704"/>
      <c r="M13" s="703"/>
    </row>
    <row r="14" spans="2:16">
      <c r="B14" s="368" t="s">
        <v>211</v>
      </c>
      <c r="C14" s="107" t="s">
        <v>211</v>
      </c>
      <c r="D14" s="369" t="s">
        <v>211</v>
      </c>
      <c r="E14" s="369" t="s">
        <v>211</v>
      </c>
      <c r="F14" s="370" t="s">
        <v>211</v>
      </c>
      <c r="G14" s="147"/>
      <c r="I14" s="704" t="s">
        <v>211</v>
      </c>
      <c r="J14" s="704"/>
      <c r="K14" s="704"/>
      <c r="L14" s="704"/>
      <c r="M14" s="704"/>
    </row>
    <row r="15" spans="2:16" ht="15">
      <c r="B15" s="362">
        <v>2</v>
      </c>
      <c r="C15" s="363" t="s">
        <v>222</v>
      </c>
      <c r="D15" s="371">
        <f>SUM(D16:D19)</f>
        <v>5.65</v>
      </c>
      <c r="E15" s="371">
        <f>ROUND(SUM(E16:E19),2)</f>
        <v>7.35</v>
      </c>
      <c r="F15" s="370" t="s">
        <v>211</v>
      </c>
      <c r="G15" s="372">
        <f>ROUND(SUM(F16:F19),2)</f>
        <v>7350</v>
      </c>
      <c r="I15" s="367"/>
      <c r="J15" s="349" t="s">
        <v>223</v>
      </c>
      <c r="K15" s="366">
        <v>5.6500000000000002E-2</v>
      </c>
      <c r="L15" s="367"/>
      <c r="M15" s="702" t="s">
        <v>224</v>
      </c>
      <c r="N15" s="705"/>
      <c r="O15" s="705"/>
      <c r="P15" s="347"/>
    </row>
    <row r="16" spans="2:16" ht="15">
      <c r="B16" s="368" t="s">
        <v>225</v>
      </c>
      <c r="C16" s="373" t="s">
        <v>226</v>
      </c>
      <c r="D16" s="369">
        <v>2</v>
      </c>
      <c r="E16" s="369">
        <f>ROUND(D16*(1+($C$32/100)),2)</f>
        <v>2.6</v>
      </c>
      <c r="F16" s="370">
        <f t="shared" ref="F16:F23" si="0">ROUND(E16*$C$5/100,2)</f>
        <v>2600</v>
      </c>
      <c r="G16" s="147"/>
      <c r="I16" s="702" t="s">
        <v>211</v>
      </c>
      <c r="J16" s="702"/>
      <c r="K16" s="702"/>
      <c r="L16" s="702"/>
      <c r="M16" s="702"/>
      <c r="N16" s="374"/>
      <c r="O16" s="374"/>
      <c r="P16" s="374"/>
    </row>
    <row r="17" spans="2:16" ht="15">
      <c r="B17" s="368" t="s">
        <v>227</v>
      </c>
      <c r="C17" s="107" t="s">
        <v>228</v>
      </c>
      <c r="D17" s="369">
        <v>0.65</v>
      </c>
      <c r="E17" s="369">
        <f>ROUND(D17*(1+($C$32/100)),2)</f>
        <v>0.85</v>
      </c>
      <c r="F17" s="370">
        <f t="shared" si="0"/>
        <v>850</v>
      </c>
      <c r="G17" s="147"/>
      <c r="I17" s="702" t="s">
        <v>211</v>
      </c>
      <c r="J17" s="702"/>
      <c r="K17" s="702"/>
      <c r="L17" s="702"/>
      <c r="M17" s="702"/>
      <c r="N17" s="374"/>
      <c r="O17" s="374"/>
      <c r="P17" s="374"/>
    </row>
    <row r="18" spans="2:16" ht="15">
      <c r="B18" s="368" t="s">
        <v>229</v>
      </c>
      <c r="C18" s="107" t="s">
        <v>230</v>
      </c>
      <c r="D18" s="375">
        <v>3</v>
      </c>
      <c r="E18" s="369">
        <f>ROUND(D18*(1+($C$32/100)),2)</f>
        <v>3.9</v>
      </c>
      <c r="F18" s="370">
        <f t="shared" si="0"/>
        <v>3900</v>
      </c>
      <c r="G18" s="376" t="s">
        <v>211</v>
      </c>
      <c r="I18" s="367"/>
      <c r="J18" s="349" t="s">
        <v>211</v>
      </c>
      <c r="K18" s="366" t="s">
        <v>211</v>
      </c>
      <c r="L18" s="367" t="s">
        <v>211</v>
      </c>
      <c r="M18" s="367" t="s">
        <v>211</v>
      </c>
      <c r="N18" s="367"/>
      <c r="O18" s="367"/>
      <c r="P18" s="367"/>
    </row>
    <row r="19" spans="2:16" ht="15">
      <c r="B19" s="368" t="s">
        <v>231</v>
      </c>
      <c r="C19" s="107" t="s">
        <v>232</v>
      </c>
      <c r="D19" s="377">
        <v>0</v>
      </c>
      <c r="E19" s="369">
        <f>ROUND(D19*(1+($C$32/100)),2)</f>
        <v>0</v>
      </c>
      <c r="F19" s="370">
        <f t="shared" si="0"/>
        <v>0</v>
      </c>
      <c r="G19" s="372"/>
      <c r="I19" s="702" t="s">
        <v>211</v>
      </c>
      <c r="J19" s="702"/>
      <c r="K19" s="702"/>
      <c r="L19" s="702"/>
      <c r="M19" s="702"/>
      <c r="N19" s="374"/>
      <c r="O19" s="374"/>
      <c r="P19" s="374"/>
    </row>
    <row r="20" spans="2:16" ht="15">
      <c r="B20" s="368"/>
      <c r="C20" s="107"/>
      <c r="D20" s="377"/>
      <c r="E20" s="369"/>
      <c r="F20" s="370"/>
      <c r="G20" s="372"/>
      <c r="I20" s="367"/>
      <c r="J20" s="367"/>
      <c r="K20" s="367"/>
      <c r="L20" s="367"/>
      <c r="M20" s="367"/>
      <c r="N20" s="374"/>
      <c r="O20" s="374"/>
      <c r="P20" s="374"/>
    </row>
    <row r="21" spans="2:16" ht="15">
      <c r="B21" s="362">
        <v>3</v>
      </c>
      <c r="C21" s="363" t="s">
        <v>233</v>
      </c>
      <c r="D21" s="369" t="s">
        <v>211</v>
      </c>
      <c r="E21" s="371">
        <v>1.74</v>
      </c>
      <c r="F21" s="370">
        <f t="shared" si="0"/>
        <v>1740</v>
      </c>
      <c r="G21" s="372">
        <f>ROUND(F21,2)</f>
        <v>1740</v>
      </c>
      <c r="H21" t="s">
        <v>211</v>
      </c>
      <c r="I21" s="367"/>
      <c r="J21" s="349" t="s">
        <v>234</v>
      </c>
      <c r="K21" s="366">
        <v>1.7399999999999999E-2</v>
      </c>
      <c r="L21" s="367"/>
      <c r="M21" s="367" t="s">
        <v>235</v>
      </c>
      <c r="N21" s="367"/>
      <c r="O21" s="367"/>
      <c r="P21" s="367"/>
    </row>
    <row r="22" spans="2:16" ht="15">
      <c r="B22" s="368"/>
      <c r="C22" s="107"/>
      <c r="D22" s="377"/>
      <c r="E22" s="369"/>
      <c r="F22" s="370"/>
      <c r="G22" s="372"/>
      <c r="I22" s="367"/>
      <c r="J22" s="349" t="s">
        <v>211</v>
      </c>
      <c r="K22" s="366" t="s">
        <v>211</v>
      </c>
      <c r="L22" s="367"/>
      <c r="M22" s="367" t="s">
        <v>211</v>
      </c>
      <c r="N22" s="374"/>
      <c r="O22" s="374"/>
      <c r="P22" s="374"/>
    </row>
    <row r="23" spans="2:16" ht="15">
      <c r="B23" s="362">
        <v>4</v>
      </c>
      <c r="C23" s="363" t="s">
        <v>636</v>
      </c>
      <c r="D23" s="369" t="s">
        <v>211</v>
      </c>
      <c r="E23" s="371">
        <v>1.2</v>
      </c>
      <c r="F23" s="370">
        <f t="shared" si="0"/>
        <v>1200</v>
      </c>
      <c r="G23" s="372">
        <f>ROUND(F23,2)</f>
        <v>1200</v>
      </c>
      <c r="H23" t="s">
        <v>211</v>
      </c>
      <c r="I23" s="348"/>
      <c r="J23" s="349" t="s">
        <v>637</v>
      </c>
      <c r="K23" s="366">
        <v>1.2E-2</v>
      </c>
      <c r="L23" s="367"/>
      <c r="M23" s="367" t="s">
        <v>648</v>
      </c>
      <c r="N23" s="374"/>
    </row>
    <row r="24" spans="2:16">
      <c r="B24" s="368"/>
      <c r="C24" s="107"/>
      <c r="D24" s="377"/>
      <c r="E24" s="369"/>
      <c r="F24" s="370"/>
      <c r="G24" s="372"/>
      <c r="I24" s="348"/>
      <c r="J24" s="348"/>
      <c r="K24" s="348"/>
      <c r="L24" s="348"/>
      <c r="M24" s="348"/>
    </row>
    <row r="25" spans="2:16" ht="15">
      <c r="B25" s="362">
        <v>5</v>
      </c>
      <c r="C25" s="363" t="s">
        <v>639</v>
      </c>
      <c r="D25" s="378">
        <v>9</v>
      </c>
      <c r="E25" s="371">
        <f>ROUND(D25*(1+($C$32/100)),2)</f>
        <v>11.7</v>
      </c>
      <c r="F25" s="370">
        <f>ROUND(E25*$C$5/100,2)</f>
        <v>11700</v>
      </c>
      <c r="G25" s="372">
        <f>ROUND(F25,2)</f>
        <v>11700</v>
      </c>
      <c r="I25" s="348"/>
      <c r="J25" s="349" t="s">
        <v>640</v>
      </c>
      <c r="K25" s="366">
        <v>0.09</v>
      </c>
      <c r="L25" s="367"/>
      <c r="M25" s="367" t="s">
        <v>641</v>
      </c>
      <c r="N25" s="374"/>
    </row>
    <row r="26" spans="2:16" ht="13.5" thickBot="1">
      <c r="B26" s="368"/>
      <c r="C26" s="107"/>
      <c r="D26" s="369"/>
      <c r="E26" s="369"/>
      <c r="F26" s="370"/>
      <c r="G26" s="147"/>
    </row>
    <row r="27" spans="2:16" ht="13.5" thickBot="1">
      <c r="B27" s="379" t="s">
        <v>211</v>
      </c>
      <c r="C27" s="380" t="s">
        <v>211</v>
      </c>
      <c r="D27" s="381" t="s">
        <v>211</v>
      </c>
      <c r="E27" s="381">
        <f>E10+E15+E21+E23+E25</f>
        <v>29.999999999999996</v>
      </c>
      <c r="F27" s="382"/>
      <c r="G27" s="383">
        <f>G10+G15+G21+G23+G25</f>
        <v>30000</v>
      </c>
      <c r="I27" s="384" t="s">
        <v>211</v>
      </c>
    </row>
    <row r="29" spans="2:16">
      <c r="E29" s="699" t="s">
        <v>642</v>
      </c>
      <c r="F29" s="700"/>
      <c r="G29" s="385">
        <f>C5+G27</f>
        <v>130000</v>
      </c>
    </row>
    <row r="30" spans="2:16" ht="18">
      <c r="G30" t="s">
        <v>211</v>
      </c>
      <c r="I30" s="701" t="s">
        <v>644</v>
      </c>
      <c r="J30" s="701"/>
      <c r="K30" s="701"/>
      <c r="L30" s="701"/>
      <c r="M30" s="701"/>
    </row>
    <row r="31" spans="2:16" ht="15">
      <c r="B31" s="386" t="s">
        <v>882</v>
      </c>
      <c r="C31" s="387">
        <f>((1+E10/100+E21/100+E23/100)/(1-(D15/100+D25/100))-1)*100</f>
        <v>29.99414176918571</v>
      </c>
      <c r="D31" s="388" t="s">
        <v>643</v>
      </c>
      <c r="I31" s="702" t="s">
        <v>211</v>
      </c>
      <c r="J31" s="702"/>
      <c r="K31" s="702"/>
      <c r="L31" s="702"/>
      <c r="M31" s="702"/>
      <c r="N31" s="702"/>
    </row>
    <row r="32" spans="2:16" ht="15">
      <c r="B32" s="386" t="s">
        <v>882</v>
      </c>
      <c r="C32" s="389">
        <v>30</v>
      </c>
      <c r="D32" s="388" t="s">
        <v>645</v>
      </c>
    </row>
    <row r="33" spans="2:5">
      <c r="B33" s="703" t="s">
        <v>211</v>
      </c>
      <c r="C33" s="703"/>
    </row>
    <row r="34" spans="2:5">
      <c r="C34" s="390" t="s">
        <v>211</v>
      </c>
      <c r="E34" t="s">
        <v>649</v>
      </c>
    </row>
  </sheetData>
  <mergeCells count="16">
    <mergeCell ref="I11:L11"/>
    <mergeCell ref="B2:G2"/>
    <mergeCell ref="B3:G3"/>
    <mergeCell ref="B7:B8"/>
    <mergeCell ref="C7:C8"/>
    <mergeCell ref="I8:M8"/>
    <mergeCell ref="E29:F29"/>
    <mergeCell ref="I30:M30"/>
    <mergeCell ref="I31:N31"/>
    <mergeCell ref="B33:C33"/>
    <mergeCell ref="I13:M13"/>
    <mergeCell ref="I14:M14"/>
    <mergeCell ref="M15:O15"/>
    <mergeCell ref="I16:M16"/>
    <mergeCell ref="I17:M17"/>
    <mergeCell ref="I19:M19"/>
  </mergeCells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0"/>
  <sheetViews>
    <sheetView workbookViewId="0">
      <selection activeCell="F29" sqref="F29"/>
    </sheetView>
  </sheetViews>
  <sheetFormatPr defaultRowHeight="12.75"/>
  <cols>
    <col min="3" max="3" width="26.28515625" bestFit="1" customWidth="1"/>
    <col min="7" max="7" width="14.28515625" bestFit="1" customWidth="1"/>
  </cols>
  <sheetData>
    <row r="1" spans="2:15">
      <c r="G1" s="350" t="s">
        <v>211</v>
      </c>
      <c r="I1" s="350" t="s">
        <v>211</v>
      </c>
    </row>
    <row r="2" spans="2:15">
      <c r="B2" s="351" t="s">
        <v>212</v>
      </c>
      <c r="C2" s="352">
        <v>100000</v>
      </c>
      <c r="G2" s="88" t="s">
        <v>211</v>
      </c>
      <c r="I2" s="88"/>
    </row>
    <row r="3" spans="2:15" ht="13.5" thickBot="1">
      <c r="I3" s="350" t="s">
        <v>211</v>
      </c>
    </row>
    <row r="4" spans="2:15">
      <c r="B4" s="708" t="s">
        <v>213</v>
      </c>
      <c r="C4" s="710" t="s">
        <v>214</v>
      </c>
      <c r="D4" s="353" t="s">
        <v>67</v>
      </c>
      <c r="E4" s="353" t="s">
        <v>67</v>
      </c>
      <c r="F4" s="354" t="s">
        <v>215</v>
      </c>
      <c r="G4" s="355" t="s">
        <v>315</v>
      </c>
      <c r="H4" s="350" t="s">
        <v>211</v>
      </c>
    </row>
    <row r="5" spans="2:15" ht="13.5" thickBot="1">
      <c r="B5" s="709"/>
      <c r="C5" s="711"/>
      <c r="D5" s="356" t="s">
        <v>216</v>
      </c>
      <c r="E5" s="356" t="s">
        <v>217</v>
      </c>
      <c r="F5" s="356" t="s">
        <v>218</v>
      </c>
      <c r="G5" s="357" t="s">
        <v>218</v>
      </c>
      <c r="I5" s="704" t="s">
        <v>211</v>
      </c>
      <c r="J5" s="704"/>
      <c r="K5" s="704"/>
      <c r="L5" s="704"/>
      <c r="M5" s="704"/>
    </row>
    <row r="6" spans="2:15">
      <c r="B6" s="358"/>
      <c r="C6" s="359"/>
      <c r="D6" s="360"/>
      <c r="E6" s="360"/>
      <c r="F6" s="360"/>
      <c r="G6" s="361"/>
      <c r="I6" s="348"/>
      <c r="J6" s="348"/>
      <c r="K6" s="348"/>
      <c r="L6" s="348"/>
      <c r="M6" s="348"/>
    </row>
    <row r="7" spans="2:15" ht="15">
      <c r="B7" s="362">
        <v>1</v>
      </c>
      <c r="C7" s="363" t="s">
        <v>219</v>
      </c>
      <c r="D7" s="364" t="s">
        <v>211</v>
      </c>
      <c r="E7" s="364">
        <v>8</v>
      </c>
      <c r="F7" s="107" t="s">
        <v>211</v>
      </c>
      <c r="G7" s="365">
        <f>ROUND(E7*C2/100,2)</f>
        <v>8000</v>
      </c>
      <c r="H7" t="s">
        <v>211</v>
      </c>
      <c r="I7" s="348" t="s">
        <v>211</v>
      </c>
      <c r="J7" s="349" t="s">
        <v>220</v>
      </c>
      <c r="K7" s="366">
        <v>8.0100000000000005E-2</v>
      </c>
      <c r="L7" s="367"/>
      <c r="M7" s="367" t="s">
        <v>221</v>
      </c>
      <c r="N7" s="347"/>
      <c r="O7" s="347"/>
    </row>
    <row r="8" spans="2:15">
      <c r="B8" s="368"/>
      <c r="C8" s="107"/>
      <c r="D8" s="369" t="s">
        <v>211</v>
      </c>
      <c r="E8" s="369" t="s">
        <v>211</v>
      </c>
      <c r="F8" s="370" t="s">
        <v>211</v>
      </c>
      <c r="G8" s="147"/>
      <c r="I8" s="704" t="s">
        <v>211</v>
      </c>
      <c r="J8" s="704"/>
      <c r="K8" s="704"/>
      <c r="L8" s="704"/>
    </row>
    <row r="9" spans="2:15">
      <c r="B9" s="368"/>
      <c r="C9" s="107"/>
      <c r="D9" s="369" t="s">
        <v>211</v>
      </c>
      <c r="E9" s="369" t="s">
        <v>211</v>
      </c>
      <c r="F9" s="370" t="s">
        <v>211</v>
      </c>
      <c r="G9" s="147"/>
      <c r="I9" s="172"/>
      <c r="J9" s="172"/>
      <c r="K9" s="172"/>
      <c r="L9" s="172"/>
    </row>
    <row r="10" spans="2:15">
      <c r="B10" s="368"/>
      <c r="C10" s="107"/>
      <c r="D10" s="369" t="s">
        <v>211</v>
      </c>
      <c r="E10" s="369" t="s">
        <v>211</v>
      </c>
      <c r="F10" s="370" t="s">
        <v>211</v>
      </c>
      <c r="G10" s="147"/>
      <c r="I10" s="704" t="s">
        <v>211</v>
      </c>
      <c r="J10" s="704"/>
      <c r="K10" s="704"/>
      <c r="L10" s="704"/>
      <c r="M10" s="703"/>
    </row>
    <row r="11" spans="2:15">
      <c r="B11" s="368" t="s">
        <v>211</v>
      </c>
      <c r="C11" s="107" t="s">
        <v>211</v>
      </c>
      <c r="D11" s="369" t="s">
        <v>211</v>
      </c>
      <c r="E11" s="369" t="s">
        <v>211</v>
      </c>
      <c r="F11" s="370" t="s">
        <v>211</v>
      </c>
      <c r="G11" s="147"/>
      <c r="I11" s="704" t="s">
        <v>211</v>
      </c>
      <c r="J11" s="704"/>
      <c r="K11" s="704"/>
      <c r="L11" s="704"/>
      <c r="M11" s="704"/>
    </row>
    <row r="12" spans="2:15" ht="15">
      <c r="B12" s="362">
        <v>2</v>
      </c>
      <c r="C12" s="363" t="s">
        <v>222</v>
      </c>
      <c r="D12" s="371">
        <f>SUM(D13:D16)</f>
        <v>3.65</v>
      </c>
      <c r="E12" s="371">
        <f>SUM(E13:E16)</f>
        <v>4.3100000000000005</v>
      </c>
      <c r="F12" s="370" t="s">
        <v>211</v>
      </c>
      <c r="G12" s="372">
        <f>ROUND(SUM(F13:F16),2)</f>
        <v>0</v>
      </c>
      <c r="I12" s="367"/>
      <c r="J12" s="349" t="s">
        <v>223</v>
      </c>
      <c r="K12" s="366">
        <v>3.6499999999999998E-2</v>
      </c>
      <c r="L12" s="367"/>
      <c r="M12" s="367" t="s">
        <v>224</v>
      </c>
      <c r="N12" s="347"/>
      <c r="O12" s="347"/>
    </row>
    <row r="13" spans="2:15" ht="15">
      <c r="B13" s="368" t="s">
        <v>225</v>
      </c>
      <c r="C13" s="373" t="s">
        <v>226</v>
      </c>
      <c r="D13" s="369">
        <v>0</v>
      </c>
      <c r="E13" s="369">
        <f>ROUND(D13*(1+($C$29/100)),2)</f>
        <v>0</v>
      </c>
      <c r="F13" s="370">
        <f t="shared" ref="F13:F20" si="0">ROUND(E13*$C$5/100,2)</f>
        <v>0</v>
      </c>
      <c r="G13" s="147"/>
      <c r="I13" s="702" t="s">
        <v>211</v>
      </c>
      <c r="J13" s="702"/>
      <c r="K13" s="702"/>
      <c r="L13" s="702"/>
      <c r="M13" s="702"/>
      <c r="N13" s="374"/>
      <c r="O13" s="374"/>
    </row>
    <row r="14" spans="2:15" ht="15">
      <c r="B14" s="368" t="s">
        <v>227</v>
      </c>
      <c r="C14" s="107" t="s">
        <v>228</v>
      </c>
      <c r="D14" s="369">
        <v>0.65</v>
      </c>
      <c r="E14" s="369">
        <f>ROUND(D14*(1+($C$29/100)),2)</f>
        <v>0.77</v>
      </c>
      <c r="F14" s="370">
        <f t="shared" si="0"/>
        <v>0</v>
      </c>
      <c r="G14" s="147"/>
      <c r="I14" s="702" t="s">
        <v>211</v>
      </c>
      <c r="J14" s="702"/>
      <c r="K14" s="702"/>
      <c r="L14" s="702"/>
      <c r="M14" s="702"/>
      <c r="N14" s="374"/>
      <c r="O14" s="374"/>
    </row>
    <row r="15" spans="2:15" ht="15">
      <c r="B15" s="368" t="s">
        <v>229</v>
      </c>
      <c r="C15" s="107" t="s">
        <v>230</v>
      </c>
      <c r="D15" s="375">
        <v>3</v>
      </c>
      <c r="E15" s="369">
        <f>ROUND(D15*(1+($C$29/100)),2)</f>
        <v>3.54</v>
      </c>
      <c r="F15" s="370">
        <f t="shared" si="0"/>
        <v>0</v>
      </c>
      <c r="G15" s="376" t="s">
        <v>211</v>
      </c>
      <c r="I15" s="367"/>
      <c r="J15" s="349" t="s">
        <v>211</v>
      </c>
      <c r="K15" s="366" t="s">
        <v>211</v>
      </c>
      <c r="L15" s="367" t="s">
        <v>211</v>
      </c>
      <c r="M15" s="367" t="s">
        <v>211</v>
      </c>
      <c r="N15" s="367"/>
      <c r="O15" s="367"/>
    </row>
    <row r="16" spans="2:15" ht="15">
      <c r="B16" s="368" t="s">
        <v>231</v>
      </c>
      <c r="C16" s="107" t="s">
        <v>232</v>
      </c>
      <c r="D16" s="377">
        <v>0</v>
      </c>
      <c r="E16" s="369">
        <f>ROUND(D16*(1+($C$29/100)),2)</f>
        <v>0</v>
      </c>
      <c r="F16" s="370">
        <f t="shared" si="0"/>
        <v>0</v>
      </c>
      <c r="G16" s="372"/>
      <c r="I16" s="702" t="s">
        <v>211</v>
      </c>
      <c r="J16" s="702"/>
      <c r="K16" s="702"/>
      <c r="L16" s="702"/>
      <c r="M16" s="702"/>
      <c r="N16" s="374"/>
      <c r="O16" s="374"/>
    </row>
    <row r="17" spans="2:15" ht="15">
      <c r="B17" s="368"/>
      <c r="C17" s="107"/>
      <c r="D17" s="377"/>
      <c r="E17" s="369"/>
      <c r="F17" s="370"/>
      <c r="G17" s="372"/>
      <c r="I17" s="367"/>
      <c r="J17" s="367"/>
      <c r="K17" s="367"/>
      <c r="L17" s="367"/>
      <c r="M17" s="367"/>
      <c r="N17" s="374"/>
      <c r="O17" s="374"/>
    </row>
    <row r="18" spans="2:15" ht="15">
      <c r="B18" s="362">
        <v>3</v>
      </c>
      <c r="C18" s="363" t="s">
        <v>233</v>
      </c>
      <c r="D18" s="369" t="s">
        <v>211</v>
      </c>
      <c r="E18" s="371">
        <v>0.65</v>
      </c>
      <c r="F18" s="370">
        <f t="shared" si="0"/>
        <v>0</v>
      </c>
      <c r="G18" s="372">
        <f>ROUND(F18,2)</f>
        <v>0</v>
      </c>
      <c r="H18" t="s">
        <v>211</v>
      </c>
      <c r="I18" s="367"/>
      <c r="J18" s="349" t="s">
        <v>234</v>
      </c>
      <c r="K18" s="366">
        <v>6.4999999999999997E-3</v>
      </c>
      <c r="L18" s="367"/>
      <c r="M18" s="367" t="s">
        <v>235</v>
      </c>
      <c r="N18" s="367"/>
      <c r="O18" s="367"/>
    </row>
    <row r="19" spans="2:15" ht="15">
      <c r="B19" s="368"/>
      <c r="C19" s="107"/>
      <c r="D19" s="377"/>
      <c r="E19" s="369"/>
      <c r="F19" s="370"/>
      <c r="G19" s="372"/>
      <c r="I19" s="367"/>
      <c r="J19" s="349" t="s">
        <v>211</v>
      </c>
      <c r="K19" s="366" t="s">
        <v>211</v>
      </c>
      <c r="L19" s="367"/>
      <c r="M19" s="367" t="s">
        <v>211</v>
      </c>
      <c r="N19" s="374"/>
      <c r="O19" s="374"/>
    </row>
    <row r="20" spans="2:15" ht="15">
      <c r="B20" s="362">
        <v>4</v>
      </c>
      <c r="C20" s="363" t="s">
        <v>636</v>
      </c>
      <c r="D20" s="369" t="s">
        <v>211</v>
      </c>
      <c r="E20" s="371">
        <v>1.2</v>
      </c>
      <c r="F20" s="370">
        <f t="shared" si="0"/>
        <v>0</v>
      </c>
      <c r="G20" s="372">
        <f>ROUND(F20,2)</f>
        <v>0</v>
      </c>
      <c r="H20" t="s">
        <v>211</v>
      </c>
      <c r="I20" s="348"/>
      <c r="J20" s="349" t="s">
        <v>637</v>
      </c>
      <c r="K20" s="366">
        <v>1.2E-2</v>
      </c>
      <c r="L20" s="367"/>
      <c r="M20" s="367" t="s">
        <v>638</v>
      </c>
      <c r="N20" s="374"/>
    </row>
    <row r="21" spans="2:15">
      <c r="B21" s="368"/>
      <c r="C21" s="107"/>
      <c r="D21" s="377"/>
      <c r="E21" s="369"/>
      <c r="F21" s="370"/>
      <c r="G21" s="372"/>
      <c r="I21" s="348"/>
      <c r="J21" s="348"/>
      <c r="K21" s="348"/>
      <c r="L21" s="348"/>
      <c r="M21" s="348"/>
    </row>
    <row r="22" spans="2:15" ht="15">
      <c r="B22" s="362">
        <v>5</v>
      </c>
      <c r="C22" s="363" t="s">
        <v>639</v>
      </c>
      <c r="D22" s="378">
        <v>3.25</v>
      </c>
      <c r="E22" s="371">
        <f>ROUND(D22*(1+($C$29/100)),2)</f>
        <v>3.84</v>
      </c>
      <c r="F22" s="370">
        <f>ROUND(E22*$C$5/100,2)</f>
        <v>0</v>
      </c>
      <c r="G22" s="372">
        <f>ROUND(F22,2)</f>
        <v>0</v>
      </c>
      <c r="I22" s="348"/>
      <c r="J22" s="349" t="s">
        <v>640</v>
      </c>
      <c r="K22" s="366">
        <v>3.2500000000000001E-2</v>
      </c>
      <c r="L22" s="367"/>
      <c r="M22" s="367" t="s">
        <v>641</v>
      </c>
      <c r="N22" s="374"/>
    </row>
    <row r="23" spans="2:15" ht="13.5" thickBot="1">
      <c r="B23" s="368"/>
      <c r="C23" s="107"/>
      <c r="D23" s="369"/>
      <c r="E23" s="369"/>
      <c r="F23" s="370"/>
      <c r="G23" s="147"/>
    </row>
    <row r="24" spans="2:15" ht="13.5" thickBot="1">
      <c r="B24" s="379" t="s">
        <v>211</v>
      </c>
      <c r="C24" s="380" t="s">
        <v>211</v>
      </c>
      <c r="D24" s="381" t="s">
        <v>211</v>
      </c>
      <c r="E24" s="381">
        <f>E7+E12+E18+E20+E22</f>
        <v>18</v>
      </c>
      <c r="F24" s="382"/>
      <c r="G24" s="383">
        <f>G7+G12+G18+G20+G22</f>
        <v>8000</v>
      </c>
      <c r="I24" s="384" t="s">
        <v>211</v>
      </c>
    </row>
    <row r="26" spans="2:15">
      <c r="E26" s="699" t="s">
        <v>642</v>
      </c>
      <c r="F26" s="700"/>
      <c r="G26" s="385">
        <f>C2+G24</f>
        <v>108000</v>
      </c>
    </row>
    <row r="27" spans="2:15" ht="18">
      <c r="G27" t="s">
        <v>211</v>
      </c>
      <c r="I27" s="701" t="s">
        <v>211</v>
      </c>
      <c r="J27" s="701"/>
      <c r="K27" s="701"/>
      <c r="L27" s="701"/>
      <c r="M27" s="701"/>
    </row>
    <row r="28" spans="2:15" ht="18">
      <c r="B28" s="386" t="s">
        <v>882</v>
      </c>
      <c r="C28" s="387">
        <f>((1+E7/100+E18/100+E20/100)/(1-(D12/100+D22/100))-1)*100</f>
        <v>17.991407089151458</v>
      </c>
      <c r="D28" s="388" t="s">
        <v>643</v>
      </c>
      <c r="I28" s="701" t="s">
        <v>644</v>
      </c>
      <c r="J28" s="701"/>
      <c r="K28" s="701"/>
      <c r="L28" s="701"/>
      <c r="M28" s="701"/>
      <c r="N28" s="701"/>
    </row>
    <row r="29" spans="2:15" ht="15">
      <c r="B29" s="386" t="s">
        <v>882</v>
      </c>
      <c r="C29" s="389">
        <v>18</v>
      </c>
      <c r="D29" s="388" t="s">
        <v>645</v>
      </c>
    </row>
    <row r="30" spans="2:15">
      <c r="B30" s="703"/>
      <c r="C30" s="703"/>
    </row>
  </sheetData>
  <mergeCells count="13">
    <mergeCell ref="I11:M11"/>
    <mergeCell ref="B4:B5"/>
    <mergeCell ref="C4:C5"/>
    <mergeCell ref="I5:M5"/>
    <mergeCell ref="I8:L8"/>
    <mergeCell ref="I10:M10"/>
    <mergeCell ref="I13:M13"/>
    <mergeCell ref="I14:M14"/>
    <mergeCell ref="B30:C30"/>
    <mergeCell ref="I16:M16"/>
    <mergeCell ref="E26:F26"/>
    <mergeCell ref="I27:M27"/>
    <mergeCell ref="I28:N28"/>
  </mergeCells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82"/>
  <sheetViews>
    <sheetView showGridLines="0" showZeros="0" tabSelected="1" view="pageBreakPreview" topLeftCell="B1" zoomScale="85" zoomScaleNormal="65" zoomScaleSheetLayoutView="85" workbookViewId="0">
      <selection activeCell="J84" sqref="J84"/>
    </sheetView>
  </sheetViews>
  <sheetFormatPr defaultColWidth="9.140625" defaultRowHeight="24" customHeight="1"/>
  <cols>
    <col min="1" max="2" width="12.7109375" style="337" customWidth="1"/>
    <col min="3" max="3" width="10.42578125" style="266" customWidth="1"/>
    <col min="4" max="4" width="20.85546875" style="266" customWidth="1"/>
    <col min="5" max="5" width="79.42578125" style="439" customWidth="1"/>
    <col min="6" max="6" width="9.7109375" style="427" customWidth="1"/>
    <col min="7" max="7" width="11.28515625" style="437" customWidth="1"/>
    <col min="8" max="8" width="15.7109375" style="438" customWidth="1"/>
    <col min="9" max="9" width="15.42578125" style="438" customWidth="1"/>
    <col min="10" max="10" width="17.42578125" style="438" customWidth="1"/>
    <col min="11" max="11" width="21.7109375" style="438" customWidth="1"/>
    <col min="12" max="12" width="9.140625" style="427"/>
    <col min="13" max="13" width="29" style="427" customWidth="1"/>
    <col min="14" max="14" width="9.140625" style="427"/>
    <col min="15" max="15" width="63" style="427" customWidth="1"/>
    <col min="16" max="19" width="9.140625" style="427"/>
    <col min="20" max="20" width="14.85546875" style="427" customWidth="1"/>
    <col min="21" max="23" width="9.140625" style="427"/>
    <col min="24" max="16384" width="9.140625" style="337"/>
  </cols>
  <sheetData>
    <row r="1" spans="1:23" ht="16.5" thickTop="1">
      <c r="C1" s="714" t="s">
        <v>1100</v>
      </c>
      <c r="D1" s="715"/>
      <c r="E1" s="715"/>
      <c r="F1" s="715"/>
      <c r="G1" s="715"/>
      <c r="H1" s="715"/>
      <c r="I1" s="715"/>
      <c r="J1" s="715"/>
      <c r="K1" s="716"/>
    </row>
    <row r="2" spans="1:23" ht="15.75">
      <c r="C2" s="717" t="s">
        <v>1101</v>
      </c>
      <c r="D2" s="718"/>
      <c r="E2" s="718"/>
      <c r="F2" s="718"/>
      <c r="G2" s="718"/>
      <c r="H2" s="718"/>
      <c r="I2" s="718"/>
      <c r="J2" s="718"/>
      <c r="K2" s="719"/>
    </row>
    <row r="3" spans="1:23" ht="24.6" customHeight="1">
      <c r="C3" s="720" t="s">
        <v>1102</v>
      </c>
      <c r="D3" s="721"/>
      <c r="E3" s="721"/>
      <c r="F3" s="721"/>
      <c r="G3" s="721"/>
      <c r="H3" s="721"/>
      <c r="I3" s="721"/>
      <c r="J3" s="721"/>
      <c r="K3" s="722"/>
    </row>
    <row r="4" spans="1:23" ht="38.25" customHeight="1">
      <c r="C4" s="723" t="s">
        <v>1153</v>
      </c>
      <c r="D4" s="724"/>
      <c r="E4" s="724"/>
      <c r="F4" s="724"/>
      <c r="G4" s="724"/>
      <c r="H4" s="724"/>
      <c r="I4" s="724"/>
      <c r="J4" s="724"/>
      <c r="K4" s="725"/>
    </row>
    <row r="5" spans="1:23" ht="24" customHeight="1">
      <c r="A5" s="440"/>
      <c r="B5" s="440"/>
      <c r="C5" s="740" t="s">
        <v>1218</v>
      </c>
      <c r="D5" s="741"/>
      <c r="E5" s="741"/>
      <c r="F5" s="741"/>
      <c r="G5" s="741"/>
      <c r="H5" s="741"/>
      <c r="I5" s="741"/>
      <c r="J5" s="713" t="s">
        <v>1217</v>
      </c>
      <c r="K5" s="713"/>
    </row>
    <row r="6" spans="1:23" ht="24" customHeight="1">
      <c r="A6" s="440"/>
      <c r="B6" s="440"/>
      <c r="C6" s="729" t="s">
        <v>1096</v>
      </c>
      <c r="D6" s="730"/>
      <c r="E6" s="730"/>
      <c r="F6" s="737" t="s">
        <v>1219</v>
      </c>
      <c r="G6" s="738"/>
      <c r="H6" s="738"/>
      <c r="I6" s="738"/>
      <c r="J6" s="739"/>
      <c r="K6" s="656">
        <f>('BDI FORNECIMENTOS'!E34)/100+1</f>
        <v>1.1689000000000001</v>
      </c>
    </row>
    <row r="7" spans="1:23" ht="24" customHeight="1">
      <c r="A7" s="440"/>
      <c r="B7" s="440"/>
      <c r="C7" s="731" t="s">
        <v>1152</v>
      </c>
      <c r="D7" s="732"/>
      <c r="E7" s="732"/>
      <c r="F7" s="737" t="s">
        <v>1160</v>
      </c>
      <c r="G7" s="738"/>
      <c r="H7" s="738"/>
      <c r="I7" s="738"/>
      <c r="J7" s="739"/>
      <c r="K7" s="656">
        <f>('BDI SERVIÇOS'!E34)/100+1</f>
        <v>1.2545999999999999</v>
      </c>
    </row>
    <row r="8" spans="1:23" ht="24" customHeight="1">
      <c r="A8" s="440"/>
      <c r="B8" s="440"/>
      <c r="C8" s="731" t="s">
        <v>1097</v>
      </c>
      <c r="D8" s="733"/>
      <c r="E8" s="733"/>
      <c r="F8" s="734" t="s">
        <v>1098</v>
      </c>
      <c r="G8" s="735"/>
      <c r="H8" s="735"/>
      <c r="I8" s="735"/>
      <c r="J8" s="735"/>
      <c r="K8" s="736"/>
    </row>
    <row r="9" spans="1:23" ht="28.5">
      <c r="C9" s="590" t="s">
        <v>912</v>
      </c>
      <c r="D9" s="483" t="s">
        <v>248</v>
      </c>
      <c r="E9" s="484" t="s">
        <v>716</v>
      </c>
      <c r="F9" s="483" t="s">
        <v>152</v>
      </c>
      <c r="G9" s="485" t="s">
        <v>814</v>
      </c>
      <c r="H9" s="486" t="s">
        <v>923</v>
      </c>
      <c r="I9" s="486" t="s">
        <v>1040</v>
      </c>
      <c r="J9" s="486" t="s">
        <v>1099</v>
      </c>
      <c r="K9" s="591" t="s">
        <v>927</v>
      </c>
    </row>
    <row r="10" spans="1:23" s="239" customFormat="1" ht="41.25" customHeight="1">
      <c r="A10" s="441"/>
      <c r="B10" s="441"/>
      <c r="C10" s="626" t="s">
        <v>619</v>
      </c>
      <c r="D10" s="726" t="s">
        <v>1082</v>
      </c>
      <c r="E10" s="727"/>
      <c r="F10" s="627"/>
      <c r="G10" s="628"/>
      <c r="H10" s="628"/>
      <c r="I10" s="628"/>
      <c r="J10" s="629">
        <f>ROUND(SUM(J11:J14),2)</f>
        <v>142531.49</v>
      </c>
      <c r="K10" s="630">
        <f>ROUND(SUM(K11:K14),2)</f>
        <v>178820.02</v>
      </c>
      <c r="L10" s="241"/>
      <c r="M10" s="241"/>
      <c r="N10" s="241"/>
      <c r="O10" s="241"/>
      <c r="P10" s="241"/>
      <c r="Q10" s="241"/>
      <c r="R10" s="241"/>
      <c r="S10" s="241"/>
      <c r="T10" s="241"/>
      <c r="U10" s="241"/>
      <c r="V10" s="241"/>
      <c r="W10" s="241"/>
    </row>
    <row r="11" spans="1:23" s="239" customFormat="1" ht="24" customHeight="1">
      <c r="A11" s="441"/>
      <c r="B11" s="441"/>
      <c r="C11" s="631" t="s">
        <v>246</v>
      </c>
      <c r="D11" s="632" t="s">
        <v>922</v>
      </c>
      <c r="E11" s="625" t="s">
        <v>1224</v>
      </c>
      <c r="F11" s="633" t="s">
        <v>775</v>
      </c>
      <c r="G11" s="634">
        <v>1</v>
      </c>
      <c r="H11" s="634">
        <f>'CPU '!I63</f>
        <v>31497.9</v>
      </c>
      <c r="I11" s="634">
        <f>H11*$K$7</f>
        <v>39517.265339999998</v>
      </c>
      <c r="J11" s="634">
        <f>ROUND(H11*G11,2)</f>
        <v>31497.9</v>
      </c>
      <c r="K11" s="635">
        <f t="shared" ref="K11:K65" si="0">ROUND(I11*G11,2)</f>
        <v>39517.269999999997</v>
      </c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</row>
    <row r="12" spans="1:23" s="239" customFormat="1" ht="24" customHeight="1">
      <c r="A12" s="441"/>
      <c r="B12" s="441"/>
      <c r="C12" s="631" t="s">
        <v>855</v>
      </c>
      <c r="D12" s="632" t="s">
        <v>922</v>
      </c>
      <c r="E12" s="625" t="s">
        <v>58</v>
      </c>
      <c r="F12" s="633" t="s">
        <v>775</v>
      </c>
      <c r="G12" s="634">
        <v>5</v>
      </c>
      <c r="H12" s="634">
        <f>'CPU '!I37</f>
        <v>20425.349984</v>
      </c>
      <c r="I12" s="634">
        <f t="shared" ref="I12:I31" si="1">H12*$K$7</f>
        <v>25625.644089926398</v>
      </c>
      <c r="J12" s="634">
        <f t="shared" ref="J12:J14" si="2">ROUND(H12*G12,2)</f>
        <v>102126.75</v>
      </c>
      <c r="K12" s="635">
        <f t="shared" si="0"/>
        <v>128128.22</v>
      </c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</row>
    <row r="13" spans="1:23" s="239" customFormat="1" ht="24" customHeight="1">
      <c r="A13" s="441"/>
      <c r="B13" s="441"/>
      <c r="C13" s="631" t="s">
        <v>913</v>
      </c>
      <c r="D13" s="632" t="s">
        <v>922</v>
      </c>
      <c r="E13" s="625" t="s">
        <v>1029</v>
      </c>
      <c r="F13" s="633" t="s">
        <v>925</v>
      </c>
      <c r="G13" s="634">
        <v>1</v>
      </c>
      <c r="H13" s="634">
        <f>'CPU '!I348</f>
        <v>7470.8</v>
      </c>
      <c r="I13" s="634">
        <f t="shared" si="1"/>
        <v>9372.865679999999</v>
      </c>
      <c r="J13" s="634">
        <f t="shared" si="2"/>
        <v>7470.8</v>
      </c>
      <c r="K13" s="635">
        <f t="shared" si="0"/>
        <v>9372.8700000000008</v>
      </c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241"/>
      <c r="W13" s="241"/>
    </row>
    <row r="14" spans="1:23" s="239" customFormat="1" ht="24" customHeight="1">
      <c r="A14" s="441"/>
      <c r="B14" s="441"/>
      <c r="C14" s="631" t="s">
        <v>914</v>
      </c>
      <c r="D14" s="632" t="s">
        <v>928</v>
      </c>
      <c r="E14" s="636" t="s">
        <v>992</v>
      </c>
      <c r="F14" s="633" t="s">
        <v>803</v>
      </c>
      <c r="G14" s="634">
        <v>4.5</v>
      </c>
      <c r="H14" s="634">
        <v>319.12</v>
      </c>
      <c r="I14" s="634">
        <f t="shared" si="1"/>
        <v>400.367952</v>
      </c>
      <c r="J14" s="634">
        <f t="shared" si="2"/>
        <v>1436.04</v>
      </c>
      <c r="K14" s="635">
        <f t="shared" si="0"/>
        <v>1801.66</v>
      </c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</row>
    <row r="15" spans="1:23" s="239" customFormat="1" ht="42" customHeight="1">
      <c r="A15" s="441"/>
      <c r="B15" s="441"/>
      <c r="C15" s="626" t="s">
        <v>620</v>
      </c>
      <c r="D15" s="728" t="s">
        <v>993</v>
      </c>
      <c r="E15" s="728"/>
      <c r="F15" s="637"/>
      <c r="G15" s="628"/>
      <c r="H15" s="628"/>
      <c r="I15" s="628"/>
      <c r="J15" s="629">
        <f>ROUND(SUM(J16:J31),2)</f>
        <v>280586.34999999998</v>
      </c>
      <c r="K15" s="630">
        <f>ROUND(SUM(K16:K31),2)</f>
        <v>352023.62</v>
      </c>
      <c r="L15" s="241"/>
      <c r="M15" s="241"/>
      <c r="N15" s="241"/>
      <c r="O15" s="241"/>
      <c r="P15" s="241"/>
      <c r="Q15" s="241"/>
      <c r="R15" s="241"/>
      <c r="S15" s="241"/>
      <c r="T15" s="241"/>
      <c r="U15" s="241"/>
      <c r="V15" s="241"/>
      <c r="W15" s="241"/>
    </row>
    <row r="16" spans="1:23" s="239" customFormat="1" ht="24" customHeight="1">
      <c r="A16" s="441"/>
      <c r="B16" s="441"/>
      <c r="C16" s="631" t="s">
        <v>764</v>
      </c>
      <c r="D16" s="638" t="s">
        <v>922</v>
      </c>
      <c r="E16" s="625" t="s">
        <v>965</v>
      </c>
      <c r="F16" s="633" t="s">
        <v>964</v>
      </c>
      <c r="G16" s="634">
        <v>1</v>
      </c>
      <c r="H16" s="634">
        <f>'CPU TOMADA'!H31</f>
        <v>6335.5</v>
      </c>
      <c r="I16" s="634">
        <f t="shared" si="1"/>
        <v>7948.5182999999997</v>
      </c>
      <c r="J16" s="634">
        <f>ROUND(H16*G16,2)</f>
        <v>6335.5</v>
      </c>
      <c r="K16" s="635">
        <f t="shared" si="0"/>
        <v>7948.52</v>
      </c>
      <c r="L16" s="712"/>
      <c r="M16" s="712"/>
      <c r="N16" s="241"/>
      <c r="O16" s="241"/>
      <c r="P16" s="241"/>
      <c r="Q16" s="241"/>
      <c r="R16" s="241"/>
      <c r="S16" s="241"/>
      <c r="T16" s="241"/>
      <c r="U16" s="241"/>
      <c r="V16" s="241"/>
      <c r="W16" s="241"/>
    </row>
    <row r="17" spans="1:23" s="239" customFormat="1" ht="24" customHeight="1">
      <c r="A17" s="441"/>
      <c r="B17" s="441"/>
      <c r="C17" s="631" t="s">
        <v>765</v>
      </c>
      <c r="D17" s="638" t="s">
        <v>972</v>
      </c>
      <c r="E17" s="625" t="s">
        <v>995</v>
      </c>
      <c r="F17" s="633" t="s">
        <v>1041</v>
      </c>
      <c r="G17" s="634">
        <v>15</v>
      </c>
      <c r="H17" s="634">
        <v>13780</v>
      </c>
      <c r="I17" s="634">
        <f t="shared" si="1"/>
        <v>17288.387999999999</v>
      </c>
      <c r="J17" s="634">
        <f t="shared" ref="J17:J31" si="3">ROUND(H17*G17,2)</f>
        <v>206700</v>
      </c>
      <c r="K17" s="635">
        <f>I17*G17</f>
        <v>259325.81999999998</v>
      </c>
      <c r="L17" s="712"/>
      <c r="M17" s="712"/>
      <c r="N17" s="241"/>
      <c r="O17" s="241"/>
      <c r="P17" s="241"/>
      <c r="Q17" s="241"/>
      <c r="R17" s="241"/>
      <c r="S17" s="241"/>
      <c r="T17" s="241"/>
      <c r="U17" s="241"/>
      <c r="V17" s="241"/>
      <c r="W17" s="241"/>
    </row>
    <row r="18" spans="1:23" s="239" customFormat="1" ht="24" customHeight="1">
      <c r="A18" s="441"/>
      <c r="B18" s="441"/>
      <c r="C18" s="631" t="s">
        <v>766</v>
      </c>
      <c r="D18" s="632" t="s">
        <v>922</v>
      </c>
      <c r="E18" s="625" t="s">
        <v>1028</v>
      </c>
      <c r="F18" s="633" t="s">
        <v>964</v>
      </c>
      <c r="G18" s="634">
        <v>1</v>
      </c>
      <c r="H18" s="634">
        <f>'CPU '!I123</f>
        <v>5680.7999999999993</v>
      </c>
      <c r="I18" s="634">
        <f t="shared" si="1"/>
        <v>7127.1316799999986</v>
      </c>
      <c r="J18" s="634">
        <f t="shared" si="3"/>
        <v>5680.8</v>
      </c>
      <c r="K18" s="635">
        <f t="shared" ref="K18:K31" si="4">ROUND(I18*G18,2)</f>
        <v>7127.13</v>
      </c>
      <c r="L18" s="712"/>
      <c r="M18" s="712"/>
      <c r="N18" s="241"/>
      <c r="O18" s="241"/>
      <c r="P18" s="241"/>
      <c r="Q18" s="241"/>
      <c r="R18" s="241"/>
      <c r="S18" s="241"/>
      <c r="T18" s="241"/>
      <c r="U18" s="241"/>
      <c r="V18" s="241"/>
      <c r="W18" s="241"/>
    </row>
    <row r="19" spans="1:23" s="239" customFormat="1" ht="24" customHeight="1">
      <c r="A19" s="441"/>
      <c r="B19" s="441"/>
      <c r="C19" s="631" t="s">
        <v>767</v>
      </c>
      <c r="D19" s="632" t="s">
        <v>922</v>
      </c>
      <c r="E19" s="625" t="s">
        <v>1006</v>
      </c>
      <c r="F19" s="633" t="s">
        <v>964</v>
      </c>
      <c r="G19" s="634">
        <v>2</v>
      </c>
      <c r="H19" s="634">
        <f>'CPU '!I156</f>
        <v>457.17</v>
      </c>
      <c r="I19" s="634">
        <f t="shared" si="1"/>
        <v>573.56548199999997</v>
      </c>
      <c r="J19" s="634">
        <f t="shared" si="3"/>
        <v>914.34</v>
      </c>
      <c r="K19" s="635">
        <f t="shared" si="4"/>
        <v>1147.1300000000001</v>
      </c>
      <c r="L19" s="712"/>
      <c r="M19" s="712"/>
      <c r="N19" s="241"/>
      <c r="O19" s="241"/>
      <c r="P19" s="241"/>
      <c r="Q19" s="241"/>
      <c r="R19" s="241"/>
      <c r="S19" s="241"/>
      <c r="T19" s="241"/>
      <c r="U19" s="241"/>
      <c r="V19" s="241"/>
      <c r="W19" s="241"/>
    </row>
    <row r="20" spans="1:23" s="239" customFormat="1" ht="24" customHeight="1">
      <c r="A20" s="441"/>
      <c r="B20" s="441"/>
      <c r="C20" s="631" t="s">
        <v>910</v>
      </c>
      <c r="D20" s="632" t="s">
        <v>922</v>
      </c>
      <c r="E20" s="625" t="s">
        <v>1008</v>
      </c>
      <c r="F20" s="633" t="s">
        <v>964</v>
      </c>
      <c r="G20" s="634">
        <v>2</v>
      </c>
      <c r="H20" s="634">
        <f>H19</f>
        <v>457.17</v>
      </c>
      <c r="I20" s="634">
        <f t="shared" si="1"/>
        <v>573.56548199999997</v>
      </c>
      <c r="J20" s="634">
        <f t="shared" si="3"/>
        <v>914.34</v>
      </c>
      <c r="K20" s="635">
        <f t="shared" si="4"/>
        <v>1147.1300000000001</v>
      </c>
      <c r="L20" s="712"/>
      <c r="M20" s="712"/>
      <c r="N20" s="241"/>
      <c r="O20" s="241"/>
      <c r="P20" s="241"/>
      <c r="Q20" s="241"/>
      <c r="R20" s="241"/>
      <c r="S20" s="241"/>
      <c r="T20" s="241"/>
      <c r="U20" s="241"/>
      <c r="V20" s="241"/>
      <c r="W20" s="241"/>
    </row>
    <row r="21" spans="1:23" s="239" customFormat="1" ht="24" customHeight="1">
      <c r="A21" s="441"/>
      <c r="B21" s="441"/>
      <c r="C21" s="631" t="s">
        <v>911</v>
      </c>
      <c r="D21" s="632" t="s">
        <v>922</v>
      </c>
      <c r="E21" s="625" t="s">
        <v>1009</v>
      </c>
      <c r="F21" s="633" t="s">
        <v>964</v>
      </c>
      <c r="G21" s="634">
        <v>3</v>
      </c>
      <c r="H21" s="634">
        <f>'CPU '!I189</f>
        <v>2836.6</v>
      </c>
      <c r="I21" s="634">
        <f t="shared" si="1"/>
        <v>3558.7983599999998</v>
      </c>
      <c r="J21" s="634">
        <f t="shared" si="3"/>
        <v>8509.7999999999993</v>
      </c>
      <c r="K21" s="635">
        <f t="shared" si="4"/>
        <v>10676.4</v>
      </c>
      <c r="L21" s="712"/>
      <c r="M21" s="712"/>
      <c r="N21" s="241"/>
      <c r="O21" s="241"/>
      <c r="P21" s="241"/>
      <c r="Q21" s="241"/>
      <c r="R21" s="241"/>
      <c r="S21" s="241"/>
      <c r="T21" s="241"/>
      <c r="U21" s="241"/>
      <c r="V21" s="241"/>
      <c r="W21" s="241"/>
    </row>
    <row r="22" spans="1:23" s="239" customFormat="1" ht="24" customHeight="1">
      <c r="A22" s="441"/>
      <c r="B22" s="441"/>
      <c r="C22" s="631" t="s">
        <v>915</v>
      </c>
      <c r="D22" s="632" t="s">
        <v>922</v>
      </c>
      <c r="E22" s="625" t="s">
        <v>1007</v>
      </c>
      <c r="F22" s="633" t="s">
        <v>964</v>
      </c>
      <c r="G22" s="634">
        <v>2</v>
      </c>
      <c r="H22" s="634">
        <f>'CPU '!I222</f>
        <v>7617.5599999999995</v>
      </c>
      <c r="I22" s="634">
        <f t="shared" si="1"/>
        <v>9556.9907759999987</v>
      </c>
      <c r="J22" s="634">
        <f t="shared" si="3"/>
        <v>15235.12</v>
      </c>
      <c r="K22" s="635">
        <f t="shared" si="4"/>
        <v>19113.98</v>
      </c>
      <c r="L22" s="712"/>
      <c r="M22" s="712"/>
      <c r="N22" s="539"/>
      <c r="O22" s="241"/>
      <c r="P22" s="241"/>
      <c r="Q22" s="241"/>
      <c r="R22" s="241"/>
      <c r="S22" s="241"/>
      <c r="T22" s="241"/>
      <c r="U22" s="241"/>
      <c r="V22" s="241"/>
      <c r="W22" s="241"/>
    </row>
    <row r="23" spans="1:23" s="239" customFormat="1" ht="24" customHeight="1">
      <c r="A23" s="441"/>
      <c r="B23" s="441"/>
      <c r="C23" s="631" t="s">
        <v>916</v>
      </c>
      <c r="D23" s="632" t="s">
        <v>922</v>
      </c>
      <c r="E23" s="625" t="s">
        <v>1010</v>
      </c>
      <c r="F23" s="633" t="s">
        <v>964</v>
      </c>
      <c r="G23" s="634">
        <v>2</v>
      </c>
      <c r="H23" s="634">
        <f>'CPU '!I255</f>
        <v>7098.8338000000003</v>
      </c>
      <c r="I23" s="634">
        <f t="shared" si="1"/>
        <v>8906.1968854799998</v>
      </c>
      <c r="J23" s="634">
        <f t="shared" si="3"/>
        <v>14197.67</v>
      </c>
      <c r="K23" s="635">
        <f t="shared" si="4"/>
        <v>17812.39</v>
      </c>
      <c r="L23" s="712"/>
      <c r="M23" s="712"/>
      <c r="N23" s="539"/>
      <c r="O23" s="241"/>
      <c r="P23" s="241"/>
      <c r="Q23" s="241"/>
      <c r="R23" s="241"/>
      <c r="S23" s="241"/>
      <c r="T23" s="241"/>
      <c r="U23" s="241"/>
      <c r="V23" s="241"/>
      <c r="W23" s="241"/>
    </row>
    <row r="24" spans="1:23" s="239" customFormat="1" ht="24" customHeight="1">
      <c r="A24" s="441"/>
      <c r="B24" s="441"/>
      <c r="C24" s="631" t="s">
        <v>917</v>
      </c>
      <c r="D24" s="632" t="s">
        <v>1047</v>
      </c>
      <c r="E24" s="625" t="s">
        <v>1020</v>
      </c>
      <c r="F24" s="633" t="s">
        <v>964</v>
      </c>
      <c r="G24" s="634">
        <v>1</v>
      </c>
      <c r="H24" s="634">
        <v>442.82</v>
      </c>
      <c r="I24" s="634">
        <f t="shared" si="1"/>
        <v>555.56197199999997</v>
      </c>
      <c r="J24" s="634">
        <f t="shared" si="3"/>
        <v>442.82</v>
      </c>
      <c r="K24" s="635">
        <f t="shared" si="4"/>
        <v>555.55999999999995</v>
      </c>
      <c r="L24" s="712"/>
      <c r="M24" s="712"/>
      <c r="N24" s="539"/>
      <c r="O24" s="241"/>
      <c r="P24" s="241"/>
      <c r="Q24" s="241"/>
      <c r="R24" s="241"/>
      <c r="S24" s="241"/>
      <c r="T24" s="241"/>
      <c r="U24" s="241"/>
      <c r="V24" s="241"/>
      <c r="W24" s="241"/>
    </row>
    <row r="25" spans="1:23" s="239" customFormat="1" ht="24" customHeight="1">
      <c r="A25" s="441"/>
      <c r="B25" s="441"/>
      <c r="C25" s="631" t="s">
        <v>918</v>
      </c>
      <c r="D25" s="632" t="s">
        <v>1048</v>
      </c>
      <c r="E25" s="625" t="s">
        <v>1021</v>
      </c>
      <c r="F25" s="633" t="s">
        <v>964</v>
      </c>
      <c r="G25" s="634">
        <v>1</v>
      </c>
      <c r="H25" s="634">
        <v>516.62</v>
      </c>
      <c r="I25" s="634">
        <f t="shared" si="1"/>
        <v>648.15145199999995</v>
      </c>
      <c r="J25" s="634">
        <f t="shared" si="3"/>
        <v>516.62</v>
      </c>
      <c r="K25" s="635">
        <f t="shared" si="4"/>
        <v>648.15</v>
      </c>
      <c r="L25" s="712"/>
      <c r="M25" s="712"/>
      <c r="N25" s="539"/>
      <c r="O25" s="241"/>
      <c r="P25" s="241"/>
      <c r="Q25" s="241"/>
      <c r="R25" s="241"/>
      <c r="S25" s="241"/>
      <c r="T25" s="241"/>
      <c r="U25" s="241"/>
      <c r="V25" s="241"/>
      <c r="W25" s="241"/>
    </row>
    <row r="26" spans="1:23" s="239" customFormat="1" ht="24" customHeight="1">
      <c r="A26" s="441"/>
      <c r="B26" s="441"/>
      <c r="C26" s="631" t="s">
        <v>290</v>
      </c>
      <c r="D26" s="632" t="s">
        <v>1049</v>
      </c>
      <c r="E26" s="625" t="s">
        <v>1022</v>
      </c>
      <c r="F26" s="633" t="s">
        <v>964</v>
      </c>
      <c r="G26" s="634">
        <v>1</v>
      </c>
      <c r="H26" s="634">
        <v>738.04</v>
      </c>
      <c r="I26" s="634">
        <f t="shared" si="1"/>
        <v>925.94498399999986</v>
      </c>
      <c r="J26" s="634">
        <f t="shared" si="3"/>
        <v>738.04</v>
      </c>
      <c r="K26" s="635">
        <f t="shared" si="4"/>
        <v>925.94</v>
      </c>
      <c r="L26" s="712"/>
      <c r="M26" s="712"/>
      <c r="N26" s="539"/>
      <c r="O26" s="241"/>
      <c r="P26" s="241"/>
      <c r="Q26" s="241"/>
      <c r="R26" s="241"/>
      <c r="S26" s="241"/>
      <c r="T26" s="241"/>
      <c r="U26" s="241"/>
      <c r="V26" s="241"/>
      <c r="W26" s="241"/>
    </row>
    <row r="27" spans="1:23" s="239" customFormat="1" ht="24" customHeight="1">
      <c r="A27" s="441"/>
      <c r="B27" s="441"/>
      <c r="C27" s="631" t="s">
        <v>291</v>
      </c>
      <c r="D27" s="632" t="s">
        <v>1050</v>
      </c>
      <c r="E27" s="625" t="s">
        <v>1023</v>
      </c>
      <c r="F27" s="633" t="s">
        <v>964</v>
      </c>
      <c r="G27" s="634">
        <v>3</v>
      </c>
      <c r="H27" s="634">
        <v>811.84</v>
      </c>
      <c r="I27" s="634">
        <f t="shared" si="1"/>
        <v>1018.534464</v>
      </c>
      <c r="J27" s="634">
        <f t="shared" si="3"/>
        <v>2435.52</v>
      </c>
      <c r="K27" s="635">
        <f t="shared" si="4"/>
        <v>3055.6</v>
      </c>
      <c r="L27" s="712"/>
      <c r="M27" s="712"/>
      <c r="N27" s="539"/>
      <c r="O27" s="241"/>
      <c r="P27" s="241"/>
      <c r="Q27" s="241"/>
      <c r="R27" s="241"/>
      <c r="S27" s="241"/>
      <c r="T27" s="241"/>
      <c r="U27" s="241"/>
      <c r="V27" s="241"/>
      <c r="W27" s="241"/>
    </row>
    <row r="28" spans="1:23" s="239" customFormat="1" ht="24" customHeight="1">
      <c r="A28" s="441"/>
      <c r="B28" s="441"/>
      <c r="C28" s="631" t="s">
        <v>1161</v>
      </c>
      <c r="D28" s="632" t="s">
        <v>1051</v>
      </c>
      <c r="E28" s="625" t="s">
        <v>1024</v>
      </c>
      <c r="F28" s="633" t="s">
        <v>964</v>
      </c>
      <c r="G28" s="634">
        <v>4</v>
      </c>
      <c r="H28" s="634">
        <v>848.73</v>
      </c>
      <c r="I28" s="634">
        <f t="shared" si="1"/>
        <v>1064.816658</v>
      </c>
      <c r="J28" s="634">
        <f t="shared" si="3"/>
        <v>3394.92</v>
      </c>
      <c r="K28" s="635">
        <f t="shared" si="4"/>
        <v>4259.2700000000004</v>
      </c>
      <c r="L28" s="712"/>
      <c r="M28" s="712"/>
      <c r="N28" s="539"/>
      <c r="O28" s="241"/>
      <c r="P28" s="241"/>
      <c r="Q28" s="241"/>
      <c r="R28" s="241"/>
      <c r="S28" s="241"/>
      <c r="T28" s="241"/>
      <c r="U28" s="241"/>
      <c r="V28" s="241"/>
      <c r="W28" s="241"/>
    </row>
    <row r="29" spans="1:23" s="239" customFormat="1" ht="24" customHeight="1">
      <c r="A29" s="441"/>
      <c r="B29" s="441"/>
      <c r="C29" s="631" t="s">
        <v>1162</v>
      </c>
      <c r="D29" s="632" t="s">
        <v>1052</v>
      </c>
      <c r="E29" s="625" t="s">
        <v>1026</v>
      </c>
      <c r="F29" s="633" t="s">
        <v>964</v>
      </c>
      <c r="G29" s="634">
        <v>2</v>
      </c>
      <c r="H29" s="634">
        <v>1110.19</v>
      </c>
      <c r="I29" s="634">
        <f t="shared" si="1"/>
        <v>1392.844374</v>
      </c>
      <c r="J29" s="634">
        <f t="shared" si="3"/>
        <v>2220.38</v>
      </c>
      <c r="K29" s="635">
        <f t="shared" si="4"/>
        <v>2785.69</v>
      </c>
      <c r="L29" s="712"/>
      <c r="M29" s="712"/>
      <c r="N29" s="241"/>
      <c r="O29" s="241"/>
      <c r="P29" s="241"/>
      <c r="Q29" s="241"/>
      <c r="R29" s="241"/>
      <c r="S29" s="241"/>
      <c r="T29" s="241"/>
      <c r="U29" s="241"/>
      <c r="V29" s="241"/>
      <c r="W29" s="241"/>
    </row>
    <row r="30" spans="1:23" s="239" customFormat="1" ht="24" customHeight="1">
      <c r="A30" s="441"/>
      <c r="B30" s="441"/>
      <c r="C30" s="631" t="s">
        <v>1163</v>
      </c>
      <c r="D30" s="632" t="s">
        <v>922</v>
      </c>
      <c r="E30" s="625" t="s">
        <v>1025</v>
      </c>
      <c r="F30" s="633" t="s">
        <v>964</v>
      </c>
      <c r="G30" s="634">
        <v>2</v>
      </c>
      <c r="H30" s="634">
        <f>'CPU '!I288</f>
        <v>2217.46</v>
      </c>
      <c r="I30" s="634">
        <f t="shared" si="1"/>
        <v>2782.0253159999997</v>
      </c>
      <c r="J30" s="634">
        <f t="shared" si="3"/>
        <v>4434.92</v>
      </c>
      <c r="K30" s="635">
        <f t="shared" si="4"/>
        <v>5564.05</v>
      </c>
      <c r="L30" s="712"/>
      <c r="M30" s="712"/>
      <c r="N30" s="241"/>
      <c r="O30" s="241"/>
      <c r="P30" s="241"/>
      <c r="Q30" s="241"/>
      <c r="R30" s="241"/>
      <c r="S30" s="241"/>
      <c r="T30" s="241"/>
      <c r="U30" s="241"/>
      <c r="V30" s="241"/>
      <c r="W30" s="241"/>
    </row>
    <row r="31" spans="1:23" s="239" customFormat="1" ht="24" customHeight="1">
      <c r="A31" s="441"/>
      <c r="B31" s="441"/>
      <c r="C31" s="631" t="s">
        <v>1164</v>
      </c>
      <c r="D31" s="632" t="s">
        <v>922</v>
      </c>
      <c r="E31" s="625" t="s">
        <v>1042</v>
      </c>
      <c r="F31" s="633" t="s">
        <v>964</v>
      </c>
      <c r="G31" s="634">
        <v>4</v>
      </c>
      <c r="H31" s="634">
        <f>'CPU '!I320</f>
        <v>1978.89</v>
      </c>
      <c r="I31" s="634">
        <f t="shared" si="1"/>
        <v>2482.7153939999998</v>
      </c>
      <c r="J31" s="634">
        <f t="shared" si="3"/>
        <v>7915.56</v>
      </c>
      <c r="K31" s="635">
        <f t="shared" si="4"/>
        <v>9930.86</v>
      </c>
      <c r="L31" s="712"/>
      <c r="M31" s="712"/>
      <c r="N31" s="241"/>
      <c r="O31" s="241"/>
      <c r="P31" s="241"/>
      <c r="Q31" s="241"/>
      <c r="R31" s="241"/>
      <c r="S31" s="241"/>
      <c r="T31" s="241"/>
      <c r="U31" s="241"/>
      <c r="V31" s="241"/>
      <c r="W31" s="241"/>
    </row>
    <row r="32" spans="1:23" s="239" customFormat="1" ht="50.1" customHeight="1">
      <c r="A32" s="441"/>
      <c r="B32" s="441"/>
      <c r="C32" s="626" t="s">
        <v>961</v>
      </c>
      <c r="D32" s="728" t="s">
        <v>994</v>
      </c>
      <c r="E32" s="728"/>
      <c r="F32" s="627"/>
      <c r="G32" s="628"/>
      <c r="H32" s="628"/>
      <c r="I32" s="628"/>
      <c r="J32" s="629">
        <f>ROUND(SUM(J33:J57),2)</f>
        <v>280035.06</v>
      </c>
      <c r="K32" s="630">
        <f>ROUND(SUM(K33:K57),2)</f>
        <v>327332.96000000002</v>
      </c>
      <c r="L32" s="712"/>
      <c r="M32" s="712"/>
      <c r="N32" s="241"/>
      <c r="O32" s="241"/>
      <c r="P32" s="241"/>
      <c r="Q32" s="241"/>
      <c r="R32" s="241"/>
      <c r="S32" s="241"/>
      <c r="T32" s="241"/>
      <c r="U32" s="241"/>
      <c r="V32" s="241"/>
      <c r="W32" s="241"/>
    </row>
    <row r="33" spans="1:23" s="239" customFormat="1" ht="30" customHeight="1">
      <c r="A33" s="441"/>
      <c r="B33" s="441"/>
      <c r="C33" s="631" t="s">
        <v>225</v>
      </c>
      <c r="D33" s="632" t="s">
        <v>1053</v>
      </c>
      <c r="E33" s="625" t="s">
        <v>1019</v>
      </c>
      <c r="F33" s="633" t="s">
        <v>964</v>
      </c>
      <c r="G33" s="634">
        <v>2</v>
      </c>
      <c r="H33" s="634">
        <v>16667.419999999998</v>
      </c>
      <c r="I33" s="634">
        <f>H33*$K$6</f>
        <v>19482.547237999999</v>
      </c>
      <c r="J33" s="634">
        <f>ROUND(H33*G33,2)</f>
        <v>33334.839999999997</v>
      </c>
      <c r="K33" s="635">
        <f t="shared" si="0"/>
        <v>38965.089999999997</v>
      </c>
      <c r="L33" s="712"/>
      <c r="M33" s="712"/>
      <c r="N33" s="241"/>
      <c r="O33" s="241"/>
      <c r="P33" s="241"/>
      <c r="Q33" s="241"/>
      <c r="R33" s="241"/>
      <c r="S33" s="241"/>
      <c r="T33" s="241"/>
      <c r="U33" s="241"/>
      <c r="V33" s="241"/>
      <c r="W33" s="241"/>
    </row>
    <row r="34" spans="1:23" s="239" customFormat="1" ht="30" customHeight="1">
      <c r="A34" s="441"/>
      <c r="B34" s="441"/>
      <c r="C34" s="631" t="s">
        <v>227</v>
      </c>
      <c r="D34" s="632" t="s">
        <v>1155</v>
      </c>
      <c r="E34" s="655" t="s">
        <v>1154</v>
      </c>
      <c r="F34" s="633" t="s">
        <v>713</v>
      </c>
      <c r="G34" s="634">
        <v>4</v>
      </c>
      <c r="H34" s="634">
        <v>620.54999999999995</v>
      </c>
      <c r="I34" s="634">
        <f t="shared" ref="I34:I57" si="5">H34*$K$6</f>
        <v>725.36089500000003</v>
      </c>
      <c r="J34" s="634">
        <f t="shared" ref="J34:J57" si="6">ROUND(H34*G34,2)</f>
        <v>2482.1999999999998</v>
      </c>
      <c r="K34" s="635">
        <f t="shared" si="0"/>
        <v>2901.44</v>
      </c>
      <c r="L34" s="712"/>
      <c r="M34" s="712"/>
      <c r="N34" s="241"/>
      <c r="O34" s="538"/>
      <c r="P34" s="241"/>
      <c r="Q34" s="241"/>
      <c r="R34" s="241"/>
      <c r="S34" s="241"/>
      <c r="T34" s="241"/>
      <c r="U34" s="241"/>
      <c r="V34" s="241"/>
      <c r="W34" s="241"/>
    </row>
    <row r="35" spans="1:23" s="239" customFormat="1" ht="30" customHeight="1">
      <c r="A35" s="441"/>
      <c r="B35" s="441"/>
      <c r="C35" s="631" t="s">
        <v>229</v>
      </c>
      <c r="D35" s="632" t="s">
        <v>972</v>
      </c>
      <c r="E35" s="655" t="s">
        <v>996</v>
      </c>
      <c r="F35" s="633" t="s">
        <v>964</v>
      </c>
      <c r="G35" s="634">
        <v>2</v>
      </c>
      <c r="H35" s="634">
        <v>47428.23</v>
      </c>
      <c r="I35" s="634">
        <f t="shared" si="5"/>
        <v>55438.858047000009</v>
      </c>
      <c r="J35" s="634">
        <f t="shared" si="6"/>
        <v>94856.46</v>
      </c>
      <c r="K35" s="635">
        <f t="shared" si="0"/>
        <v>110877.72</v>
      </c>
      <c r="L35" s="712"/>
      <c r="M35" s="712"/>
      <c r="N35" s="241"/>
      <c r="O35" s="538"/>
      <c r="P35" s="241"/>
      <c r="Q35" s="241"/>
      <c r="R35" s="241"/>
      <c r="S35" s="241"/>
      <c r="T35" s="241"/>
      <c r="U35" s="241"/>
      <c r="V35" s="241"/>
      <c r="W35" s="241"/>
    </row>
    <row r="36" spans="1:23" s="239" customFormat="1" ht="30" customHeight="1">
      <c r="A36" s="441"/>
      <c r="B36" s="441"/>
      <c r="C36" s="631" t="s">
        <v>231</v>
      </c>
      <c r="D36" s="632" t="s">
        <v>979</v>
      </c>
      <c r="E36" s="655" t="s">
        <v>1017</v>
      </c>
      <c r="F36" s="633" t="s">
        <v>964</v>
      </c>
      <c r="G36" s="634">
        <v>2</v>
      </c>
      <c r="H36" s="634">
        <v>564.16</v>
      </c>
      <c r="I36" s="634">
        <f t="shared" si="5"/>
        <v>659.44662400000004</v>
      </c>
      <c r="J36" s="634">
        <f t="shared" si="6"/>
        <v>1128.32</v>
      </c>
      <c r="K36" s="635">
        <f>ROUND(I36*G36,2)</f>
        <v>1318.89</v>
      </c>
      <c r="L36" s="712"/>
      <c r="M36" s="712"/>
      <c r="N36" s="241"/>
      <c r="O36" s="538"/>
      <c r="P36" s="241"/>
      <c r="Q36" s="241"/>
      <c r="R36" s="241"/>
      <c r="S36" s="241"/>
      <c r="T36" s="241"/>
      <c r="U36" s="241"/>
      <c r="V36" s="241"/>
      <c r="W36" s="241"/>
    </row>
    <row r="37" spans="1:23" s="239" customFormat="1" ht="30" customHeight="1">
      <c r="A37" s="441"/>
      <c r="B37" s="441"/>
      <c r="C37" s="631" t="s">
        <v>1165</v>
      </c>
      <c r="D37" s="632" t="s">
        <v>979</v>
      </c>
      <c r="E37" s="655" t="s">
        <v>1018</v>
      </c>
      <c r="F37" s="633" t="s">
        <v>964</v>
      </c>
      <c r="G37" s="634">
        <v>2</v>
      </c>
      <c r="H37" s="634">
        <v>564.16</v>
      </c>
      <c r="I37" s="634">
        <f t="shared" si="5"/>
        <v>659.44662400000004</v>
      </c>
      <c r="J37" s="634">
        <f t="shared" si="6"/>
        <v>1128.32</v>
      </c>
      <c r="K37" s="635">
        <f>ROUND(I37*G37,2)</f>
        <v>1318.89</v>
      </c>
      <c r="L37" s="712"/>
      <c r="M37" s="712"/>
      <c r="N37" s="241"/>
      <c r="O37" s="538"/>
      <c r="P37" s="241"/>
      <c r="Q37" s="241"/>
      <c r="R37" s="241"/>
      <c r="S37" s="241"/>
      <c r="T37" s="241"/>
      <c r="U37" s="241"/>
      <c r="V37" s="241"/>
      <c r="W37" s="241"/>
    </row>
    <row r="38" spans="1:23" s="239" customFormat="1" ht="30" customHeight="1">
      <c r="A38" s="441"/>
      <c r="B38" s="441"/>
      <c r="C38" s="631" t="s">
        <v>1166</v>
      </c>
      <c r="D38" s="632" t="s">
        <v>972</v>
      </c>
      <c r="E38" s="639" t="s">
        <v>1004</v>
      </c>
      <c r="F38" s="633" t="s">
        <v>964</v>
      </c>
      <c r="G38" s="634">
        <v>1</v>
      </c>
      <c r="H38" s="634">
        <v>2213.35</v>
      </c>
      <c r="I38" s="634">
        <f t="shared" si="5"/>
        <v>2587.1848150000001</v>
      </c>
      <c r="J38" s="634">
        <f t="shared" si="6"/>
        <v>2213.35</v>
      </c>
      <c r="K38" s="635">
        <f t="shared" ref="K38:K41" si="7">ROUND(I38*G38,2)</f>
        <v>2587.1799999999998</v>
      </c>
      <c r="L38" s="712"/>
      <c r="M38" s="712"/>
      <c r="N38" s="241"/>
      <c r="O38" s="538"/>
      <c r="P38" s="241"/>
      <c r="Q38" s="241"/>
      <c r="R38" s="241"/>
      <c r="S38" s="241"/>
      <c r="T38" s="241"/>
      <c r="U38" s="241"/>
      <c r="V38" s="241"/>
      <c r="W38" s="241"/>
    </row>
    <row r="39" spans="1:23" s="239" customFormat="1" ht="30" customHeight="1">
      <c r="A39" s="441"/>
      <c r="B39" s="441"/>
      <c r="C39" s="631" t="s">
        <v>1167</v>
      </c>
      <c r="D39" s="632" t="s">
        <v>972</v>
      </c>
      <c r="E39" s="639" t="s">
        <v>1005</v>
      </c>
      <c r="F39" s="633" t="s">
        <v>964</v>
      </c>
      <c r="G39" s="634">
        <v>1</v>
      </c>
      <c r="H39" s="634">
        <v>2318.7399999999998</v>
      </c>
      <c r="I39" s="634">
        <f t="shared" si="5"/>
        <v>2710.3751859999998</v>
      </c>
      <c r="J39" s="634">
        <f t="shared" si="6"/>
        <v>2318.7399999999998</v>
      </c>
      <c r="K39" s="635">
        <f t="shared" si="7"/>
        <v>2710.38</v>
      </c>
      <c r="L39" s="712"/>
      <c r="M39" s="712"/>
      <c r="N39" s="241"/>
      <c r="O39" s="538"/>
      <c r="P39" s="241"/>
      <c r="Q39" s="241"/>
      <c r="R39" s="241"/>
      <c r="S39" s="241"/>
      <c r="T39" s="241"/>
      <c r="U39" s="241"/>
      <c r="V39" s="241"/>
      <c r="W39" s="241"/>
    </row>
    <row r="40" spans="1:23" s="239" customFormat="1" ht="30" customHeight="1">
      <c r="A40" s="441"/>
      <c r="B40" s="441"/>
      <c r="C40" s="631" t="s">
        <v>1168</v>
      </c>
      <c r="D40" s="632" t="s">
        <v>972</v>
      </c>
      <c r="E40" s="639" t="s">
        <v>1002</v>
      </c>
      <c r="F40" s="633" t="s">
        <v>964</v>
      </c>
      <c r="G40" s="634">
        <v>2</v>
      </c>
      <c r="H40" s="634">
        <v>185.5</v>
      </c>
      <c r="I40" s="634">
        <f t="shared" si="5"/>
        <v>216.83095</v>
      </c>
      <c r="J40" s="634">
        <f t="shared" si="6"/>
        <v>371</v>
      </c>
      <c r="K40" s="635">
        <f t="shared" si="7"/>
        <v>433.66</v>
      </c>
      <c r="L40" s="712"/>
      <c r="M40" s="712"/>
      <c r="N40" s="241"/>
      <c r="O40" s="538"/>
      <c r="P40" s="241"/>
      <c r="Q40" s="241"/>
      <c r="R40" s="241"/>
      <c r="S40" s="241"/>
      <c r="T40" s="241"/>
      <c r="U40" s="241"/>
      <c r="V40" s="241"/>
      <c r="W40" s="241"/>
    </row>
    <row r="41" spans="1:23" s="239" customFormat="1" ht="30" customHeight="1">
      <c r="A41" s="441"/>
      <c r="B41" s="441"/>
      <c r="C41" s="631" t="s">
        <v>1169</v>
      </c>
      <c r="D41" s="632" t="s">
        <v>972</v>
      </c>
      <c r="E41" s="639" t="s">
        <v>1003</v>
      </c>
      <c r="F41" s="633" t="s">
        <v>964</v>
      </c>
      <c r="G41" s="634">
        <v>1</v>
      </c>
      <c r="H41" s="634">
        <v>185.5</v>
      </c>
      <c r="I41" s="634">
        <f t="shared" si="5"/>
        <v>216.83095</v>
      </c>
      <c r="J41" s="634">
        <f t="shared" si="6"/>
        <v>185.5</v>
      </c>
      <c r="K41" s="635">
        <f t="shared" si="7"/>
        <v>216.83</v>
      </c>
      <c r="L41" s="712"/>
      <c r="M41" s="712"/>
      <c r="N41" s="241"/>
      <c r="O41" s="538"/>
      <c r="P41" s="241"/>
      <c r="Q41" s="241"/>
      <c r="R41" s="241"/>
      <c r="S41" s="241"/>
      <c r="T41" s="241"/>
      <c r="U41" s="241"/>
      <c r="V41" s="241"/>
      <c r="W41" s="241"/>
    </row>
    <row r="42" spans="1:23" s="239" customFormat="1" ht="30" customHeight="1">
      <c r="A42" s="441"/>
      <c r="B42" s="441"/>
      <c r="C42" s="631" t="s">
        <v>1170</v>
      </c>
      <c r="D42" s="632" t="s">
        <v>972</v>
      </c>
      <c r="E42" s="639" t="s">
        <v>1043</v>
      </c>
      <c r="F42" s="633" t="s">
        <v>964</v>
      </c>
      <c r="G42" s="634">
        <v>20</v>
      </c>
      <c r="H42" s="634">
        <v>12.13</v>
      </c>
      <c r="I42" s="634">
        <f t="shared" si="5"/>
        <v>14.178757000000001</v>
      </c>
      <c r="J42" s="634">
        <f t="shared" si="6"/>
        <v>242.6</v>
      </c>
      <c r="K42" s="635">
        <f t="shared" si="0"/>
        <v>283.58</v>
      </c>
      <c r="L42" s="712"/>
      <c r="M42" s="712"/>
      <c r="N42" s="241"/>
      <c r="O42" s="538"/>
      <c r="P42" s="241"/>
      <c r="Q42" s="241"/>
      <c r="R42" s="241"/>
      <c r="S42" s="241"/>
      <c r="T42" s="241"/>
      <c r="U42" s="241"/>
      <c r="V42" s="241"/>
      <c r="W42" s="241"/>
    </row>
    <row r="43" spans="1:23" s="239" customFormat="1" ht="30" customHeight="1">
      <c r="A43" s="441"/>
      <c r="B43" s="441"/>
      <c r="C43" s="631" t="s">
        <v>1171</v>
      </c>
      <c r="D43" s="632" t="s">
        <v>972</v>
      </c>
      <c r="E43" s="639" t="s">
        <v>1044</v>
      </c>
      <c r="F43" s="633" t="s">
        <v>964</v>
      </c>
      <c r="G43" s="634">
        <v>120</v>
      </c>
      <c r="H43" s="634">
        <v>12.13</v>
      </c>
      <c r="I43" s="634">
        <f t="shared" si="5"/>
        <v>14.178757000000001</v>
      </c>
      <c r="J43" s="634">
        <f t="shared" si="6"/>
        <v>1455.6</v>
      </c>
      <c r="K43" s="635">
        <f t="shared" si="0"/>
        <v>1701.45</v>
      </c>
      <c r="L43" s="712"/>
      <c r="M43" s="712"/>
      <c r="N43" s="241"/>
      <c r="O43" s="538"/>
      <c r="P43" s="241"/>
      <c r="Q43" s="241"/>
      <c r="R43" s="241"/>
      <c r="S43" s="241"/>
      <c r="T43" s="241"/>
      <c r="U43" s="241"/>
      <c r="V43" s="241"/>
      <c r="W43" s="241"/>
    </row>
    <row r="44" spans="1:23" s="239" customFormat="1" ht="30" customHeight="1">
      <c r="A44" s="441"/>
      <c r="B44" s="441"/>
      <c r="C44" s="631" t="s">
        <v>1172</v>
      </c>
      <c r="D44" s="632" t="s">
        <v>972</v>
      </c>
      <c r="E44" s="639" t="s">
        <v>1045</v>
      </c>
      <c r="F44" s="633" t="s">
        <v>964</v>
      </c>
      <c r="G44" s="634">
        <v>48</v>
      </c>
      <c r="H44" s="634">
        <v>12.13</v>
      </c>
      <c r="I44" s="634">
        <f t="shared" si="5"/>
        <v>14.178757000000001</v>
      </c>
      <c r="J44" s="634">
        <f t="shared" si="6"/>
        <v>582.24</v>
      </c>
      <c r="K44" s="635">
        <f t="shared" si="0"/>
        <v>680.58</v>
      </c>
      <c r="L44" s="712"/>
      <c r="M44" s="712"/>
      <c r="N44" s="241"/>
      <c r="O44" s="538"/>
      <c r="P44" s="241"/>
      <c r="Q44" s="241"/>
      <c r="R44" s="241"/>
      <c r="S44" s="241"/>
      <c r="T44" s="241"/>
      <c r="U44" s="241"/>
      <c r="V44" s="241"/>
      <c r="W44" s="241"/>
    </row>
    <row r="45" spans="1:23" s="239" customFormat="1" ht="30" customHeight="1">
      <c r="A45" s="441"/>
      <c r="B45" s="441"/>
      <c r="C45" s="631" t="s">
        <v>1173</v>
      </c>
      <c r="D45" s="632" t="s">
        <v>972</v>
      </c>
      <c r="E45" s="625" t="s">
        <v>1015</v>
      </c>
      <c r="F45" s="633" t="s">
        <v>964</v>
      </c>
      <c r="G45" s="634">
        <v>2</v>
      </c>
      <c r="H45" s="634">
        <v>5.87</v>
      </c>
      <c r="I45" s="634">
        <f t="shared" si="5"/>
        <v>6.8614430000000004</v>
      </c>
      <c r="J45" s="634">
        <f t="shared" si="6"/>
        <v>11.74</v>
      </c>
      <c r="K45" s="635">
        <f t="shared" si="0"/>
        <v>13.72</v>
      </c>
      <c r="L45" s="712"/>
      <c r="M45" s="712"/>
      <c r="N45" s="241"/>
      <c r="O45" s="538"/>
      <c r="P45" s="241"/>
      <c r="Q45" s="241"/>
      <c r="R45" s="241"/>
      <c r="S45" s="241"/>
      <c r="T45" s="241"/>
      <c r="U45" s="241"/>
      <c r="V45" s="241"/>
      <c r="W45" s="241"/>
    </row>
    <row r="46" spans="1:23" s="239" customFormat="1" ht="30" customHeight="1">
      <c r="A46" s="441"/>
      <c r="B46" s="441"/>
      <c r="C46" s="631" t="s">
        <v>1174</v>
      </c>
      <c r="D46" s="632" t="s">
        <v>972</v>
      </c>
      <c r="E46" s="625" t="s">
        <v>1016</v>
      </c>
      <c r="F46" s="633" t="s">
        <v>964</v>
      </c>
      <c r="G46" s="634">
        <v>2</v>
      </c>
      <c r="H46" s="634">
        <v>6.97</v>
      </c>
      <c r="I46" s="634">
        <f t="shared" si="5"/>
        <v>8.1472329999999999</v>
      </c>
      <c r="J46" s="634">
        <f t="shared" si="6"/>
        <v>13.94</v>
      </c>
      <c r="K46" s="635">
        <f t="shared" si="0"/>
        <v>16.29</v>
      </c>
      <c r="L46" s="712"/>
      <c r="M46" s="712"/>
      <c r="N46" s="241"/>
      <c r="O46" s="538"/>
      <c r="P46" s="241"/>
      <c r="Q46" s="241"/>
      <c r="R46" s="241"/>
      <c r="S46" s="241"/>
      <c r="T46" s="241"/>
      <c r="U46" s="241"/>
      <c r="V46" s="241"/>
      <c r="W46" s="241"/>
    </row>
    <row r="47" spans="1:23" s="239" customFormat="1" ht="30" customHeight="1">
      <c r="A47" s="441"/>
      <c r="B47" s="441"/>
      <c r="C47" s="631" t="s">
        <v>1175</v>
      </c>
      <c r="D47" s="632" t="s">
        <v>972</v>
      </c>
      <c r="E47" s="625" t="s">
        <v>1011</v>
      </c>
      <c r="F47" s="633" t="s">
        <v>964</v>
      </c>
      <c r="G47" s="634">
        <v>4</v>
      </c>
      <c r="H47" s="634">
        <v>7.76</v>
      </c>
      <c r="I47" s="634">
        <f t="shared" si="5"/>
        <v>9.0706640000000007</v>
      </c>
      <c r="J47" s="634">
        <f t="shared" si="6"/>
        <v>31.04</v>
      </c>
      <c r="K47" s="635">
        <f t="shared" si="0"/>
        <v>36.28</v>
      </c>
      <c r="L47" s="712"/>
      <c r="M47" s="712"/>
      <c r="N47" s="241"/>
      <c r="O47" s="596"/>
      <c r="P47" s="430"/>
      <c r="Q47" s="430"/>
      <c r="R47" s="430"/>
      <c r="S47" s="430"/>
      <c r="T47" s="430"/>
      <c r="U47" s="241"/>
      <c r="V47" s="241"/>
      <c r="W47" s="241"/>
    </row>
    <row r="48" spans="1:23" s="239" customFormat="1" ht="30" customHeight="1">
      <c r="A48" s="441"/>
      <c r="B48" s="441"/>
      <c r="C48" s="631" t="s">
        <v>1176</v>
      </c>
      <c r="D48" s="632" t="s">
        <v>972</v>
      </c>
      <c r="E48" s="625" t="s">
        <v>1012</v>
      </c>
      <c r="F48" s="633" t="s">
        <v>964</v>
      </c>
      <c r="G48" s="634">
        <v>4</v>
      </c>
      <c r="H48" s="634">
        <v>14.77</v>
      </c>
      <c r="I48" s="634">
        <f t="shared" si="5"/>
        <v>17.264652999999999</v>
      </c>
      <c r="J48" s="634">
        <f t="shared" si="6"/>
        <v>59.08</v>
      </c>
      <c r="K48" s="635">
        <f t="shared" si="0"/>
        <v>69.06</v>
      </c>
      <c r="L48" s="712"/>
      <c r="M48" s="712"/>
      <c r="N48" s="241"/>
      <c r="O48" s="597"/>
      <c r="P48" s="598"/>
      <c r="Q48" s="598"/>
      <c r="R48" s="598"/>
      <c r="S48" s="599"/>
      <c r="T48" s="430"/>
      <c r="U48" s="241">
        <f ca="1">SUM(N45:V558:R53)</f>
        <v>0</v>
      </c>
      <c r="V48" s="241"/>
      <c r="W48" s="241"/>
    </row>
    <row r="49" spans="1:23" s="239" customFormat="1" ht="30" customHeight="1">
      <c r="A49" s="441"/>
      <c r="B49" s="441"/>
      <c r="C49" s="631" t="s">
        <v>1177</v>
      </c>
      <c r="D49" s="632" t="s">
        <v>972</v>
      </c>
      <c r="E49" s="625" t="s">
        <v>967</v>
      </c>
      <c r="F49" s="633" t="s">
        <v>964</v>
      </c>
      <c r="G49" s="634">
        <v>20</v>
      </c>
      <c r="H49" s="634">
        <v>16.72</v>
      </c>
      <c r="I49" s="634">
        <f t="shared" si="5"/>
        <v>19.544007999999998</v>
      </c>
      <c r="J49" s="634">
        <f t="shared" si="6"/>
        <v>334.4</v>
      </c>
      <c r="K49" s="635">
        <f t="shared" si="0"/>
        <v>390.88</v>
      </c>
      <c r="L49" s="712"/>
      <c r="M49" s="712"/>
      <c r="N49" s="241"/>
      <c r="O49" s="597"/>
      <c r="P49" s="598"/>
      <c r="Q49" s="598"/>
      <c r="R49" s="598"/>
      <c r="S49" s="599"/>
      <c r="T49" s="430"/>
      <c r="U49" s="241"/>
      <c r="V49" s="241"/>
      <c r="W49" s="241"/>
    </row>
    <row r="50" spans="1:23" s="239" customFormat="1" ht="30" customHeight="1">
      <c r="A50" s="441"/>
      <c r="B50" s="441"/>
      <c r="C50" s="631" t="s">
        <v>1178</v>
      </c>
      <c r="D50" s="632" t="s">
        <v>972</v>
      </c>
      <c r="E50" s="625" t="s">
        <v>1013</v>
      </c>
      <c r="F50" s="633" t="s">
        <v>964</v>
      </c>
      <c r="G50" s="634">
        <v>6</v>
      </c>
      <c r="H50" s="634">
        <v>22.49</v>
      </c>
      <c r="I50" s="634">
        <f t="shared" si="5"/>
        <v>26.288560999999998</v>
      </c>
      <c r="J50" s="634">
        <f t="shared" si="6"/>
        <v>134.94</v>
      </c>
      <c r="K50" s="635">
        <f t="shared" si="0"/>
        <v>157.72999999999999</v>
      </c>
      <c r="L50" s="712"/>
      <c r="M50" s="712"/>
      <c r="N50" s="241"/>
      <c r="O50" s="597"/>
      <c r="P50" s="598"/>
      <c r="Q50" s="598"/>
      <c r="R50" s="598"/>
      <c r="S50" s="599"/>
      <c r="T50" s="430"/>
      <c r="U50" s="241"/>
      <c r="V50" s="241"/>
      <c r="W50" s="241"/>
    </row>
    <row r="51" spans="1:23" s="239" customFormat="1" ht="30" customHeight="1">
      <c r="A51" s="441"/>
      <c r="B51" s="441"/>
      <c r="C51" s="631" t="s">
        <v>1179</v>
      </c>
      <c r="D51" s="632" t="s">
        <v>972</v>
      </c>
      <c r="E51" s="625" t="s">
        <v>1014</v>
      </c>
      <c r="F51" s="633" t="s">
        <v>964</v>
      </c>
      <c r="G51" s="634">
        <v>4</v>
      </c>
      <c r="H51" s="634">
        <v>130.86000000000001</v>
      </c>
      <c r="I51" s="634">
        <f t="shared" si="5"/>
        <v>152.96225400000003</v>
      </c>
      <c r="J51" s="634">
        <f t="shared" si="6"/>
        <v>523.44000000000005</v>
      </c>
      <c r="K51" s="635">
        <f t="shared" si="0"/>
        <v>611.85</v>
      </c>
      <c r="L51" s="712"/>
      <c r="M51" s="712"/>
      <c r="N51" s="241"/>
      <c r="O51" s="597"/>
      <c r="P51" s="598"/>
      <c r="Q51" s="598"/>
      <c r="R51" s="598"/>
      <c r="S51" s="599"/>
      <c r="T51" s="430"/>
      <c r="U51" s="241"/>
      <c r="V51" s="241"/>
      <c r="W51" s="241"/>
    </row>
    <row r="52" spans="1:23" s="239" customFormat="1" ht="30" customHeight="1">
      <c r="A52" s="441"/>
      <c r="B52" s="441"/>
      <c r="C52" s="631" t="s">
        <v>1180</v>
      </c>
      <c r="D52" s="632" t="s">
        <v>1086</v>
      </c>
      <c r="E52" s="625" t="s">
        <v>1087</v>
      </c>
      <c r="F52" s="633" t="s">
        <v>964</v>
      </c>
      <c r="G52" s="634">
        <v>1</v>
      </c>
      <c r="H52" s="634">
        <v>23566.7</v>
      </c>
      <c r="I52" s="634">
        <f t="shared" si="5"/>
        <v>27547.11563</v>
      </c>
      <c r="J52" s="634">
        <f t="shared" si="6"/>
        <v>23566.7</v>
      </c>
      <c r="K52" s="635">
        <f t="shared" si="0"/>
        <v>27547.119999999999</v>
      </c>
      <c r="L52" s="712"/>
      <c r="M52" s="712"/>
      <c r="N52" s="241"/>
      <c r="O52" s="597"/>
      <c r="P52" s="598"/>
      <c r="Q52" s="598"/>
      <c r="R52" s="598"/>
      <c r="S52" s="599"/>
      <c r="T52" s="430"/>
      <c r="U52" s="241"/>
      <c r="V52" s="241"/>
      <c r="W52" s="241"/>
    </row>
    <row r="53" spans="1:23" s="239" customFormat="1" ht="30" customHeight="1">
      <c r="A53" s="441"/>
      <c r="B53" s="441"/>
      <c r="C53" s="631" t="s">
        <v>1181</v>
      </c>
      <c r="D53" s="632" t="s">
        <v>1089</v>
      </c>
      <c r="E53" s="625" t="s">
        <v>1088</v>
      </c>
      <c r="F53" s="633" t="s">
        <v>964</v>
      </c>
      <c r="G53" s="634">
        <v>1</v>
      </c>
      <c r="H53" s="634">
        <v>16299.77</v>
      </c>
      <c r="I53" s="634">
        <f t="shared" si="5"/>
        <v>19052.801153</v>
      </c>
      <c r="J53" s="634">
        <f t="shared" si="6"/>
        <v>16299.77</v>
      </c>
      <c r="K53" s="635">
        <f t="shared" si="0"/>
        <v>19052.8</v>
      </c>
      <c r="L53" s="712"/>
      <c r="M53" s="712"/>
      <c r="N53" s="241"/>
      <c r="O53" s="597"/>
      <c r="P53" s="598"/>
      <c r="Q53" s="598"/>
      <c r="R53" s="598"/>
      <c r="S53" s="599"/>
      <c r="T53" s="430"/>
      <c r="U53" s="241"/>
      <c r="V53" s="241"/>
      <c r="W53" s="241"/>
    </row>
    <row r="54" spans="1:23" s="239" customFormat="1" ht="32.25" customHeight="1">
      <c r="A54" s="441"/>
      <c r="B54" s="441"/>
      <c r="C54" s="631" t="s">
        <v>1182</v>
      </c>
      <c r="D54" s="632" t="s">
        <v>1090</v>
      </c>
      <c r="E54" s="625" t="s">
        <v>1093</v>
      </c>
      <c r="F54" s="633" t="s">
        <v>964</v>
      </c>
      <c r="G54" s="634">
        <v>1</v>
      </c>
      <c r="H54" s="634">
        <v>21194.68</v>
      </c>
      <c r="I54" s="634">
        <f t="shared" si="5"/>
        <v>24774.461452000003</v>
      </c>
      <c r="J54" s="634">
        <f t="shared" si="6"/>
        <v>21194.68</v>
      </c>
      <c r="K54" s="635">
        <f t="shared" si="0"/>
        <v>24774.46</v>
      </c>
      <c r="L54" s="712"/>
      <c r="M54" s="712"/>
      <c r="N54" s="241"/>
      <c r="O54" s="597"/>
      <c r="P54" s="598"/>
      <c r="Q54" s="598"/>
      <c r="R54" s="598"/>
      <c r="S54" s="599"/>
      <c r="T54" s="430"/>
      <c r="U54" s="241"/>
      <c r="V54" s="241"/>
      <c r="W54" s="241"/>
    </row>
    <row r="55" spans="1:23" s="239" customFormat="1" ht="39.75" customHeight="1">
      <c r="A55" s="441"/>
      <c r="B55" s="441"/>
      <c r="C55" s="631" t="s">
        <v>1183</v>
      </c>
      <c r="D55" s="632" t="s">
        <v>1091</v>
      </c>
      <c r="E55" s="625" t="s">
        <v>1094</v>
      </c>
      <c r="F55" s="633" t="s">
        <v>964</v>
      </c>
      <c r="G55" s="634">
        <v>2</v>
      </c>
      <c r="H55" s="634">
        <v>25330.53</v>
      </c>
      <c r="I55" s="634">
        <f t="shared" si="5"/>
        <v>29608.856517</v>
      </c>
      <c r="J55" s="634">
        <f t="shared" si="6"/>
        <v>50661.06</v>
      </c>
      <c r="K55" s="635">
        <f t="shared" si="0"/>
        <v>59217.71</v>
      </c>
      <c r="L55" s="712"/>
      <c r="M55" s="712"/>
      <c r="N55" s="241"/>
      <c r="O55" s="1"/>
      <c r="P55" s="241"/>
      <c r="Q55" s="241"/>
      <c r="R55" s="241"/>
      <c r="S55" s="241"/>
      <c r="T55" s="241"/>
      <c r="U55" s="241"/>
      <c r="V55" s="241"/>
      <c r="W55" s="241"/>
    </row>
    <row r="56" spans="1:23" s="239" customFormat="1" ht="30.75" customHeight="1">
      <c r="A56" s="441"/>
      <c r="B56" s="441"/>
      <c r="C56" s="631" t="s">
        <v>1184</v>
      </c>
      <c r="D56" s="632" t="s">
        <v>1092</v>
      </c>
      <c r="E56" s="625" t="s">
        <v>1095</v>
      </c>
      <c r="F56" s="633" t="s">
        <v>964</v>
      </c>
      <c r="G56" s="634">
        <v>1</v>
      </c>
      <c r="H56" s="634">
        <v>25845.93</v>
      </c>
      <c r="I56" s="634">
        <f t="shared" si="5"/>
        <v>30211.307577000003</v>
      </c>
      <c r="J56" s="634">
        <f t="shared" si="6"/>
        <v>25845.93</v>
      </c>
      <c r="K56" s="635">
        <f t="shared" si="0"/>
        <v>30211.31</v>
      </c>
      <c r="L56" s="712"/>
      <c r="M56" s="712"/>
      <c r="N56" s="241"/>
      <c r="O56" s="241"/>
      <c r="P56" s="241"/>
      <c r="Q56" s="241"/>
      <c r="R56" s="241"/>
      <c r="S56" s="241"/>
      <c r="T56" s="241"/>
      <c r="U56" s="241"/>
      <c r="V56" s="241"/>
      <c r="W56" s="241"/>
    </row>
    <row r="57" spans="1:23" s="239" customFormat="1" ht="34.5" customHeight="1">
      <c r="A57" s="441"/>
      <c r="B57" s="441"/>
      <c r="C57" s="631" t="s">
        <v>1185</v>
      </c>
      <c r="D57" s="632" t="s">
        <v>980</v>
      </c>
      <c r="E57" s="625" t="s">
        <v>978</v>
      </c>
      <c r="F57" s="633" t="s">
        <v>964</v>
      </c>
      <c r="G57" s="634">
        <v>1</v>
      </c>
      <c r="H57" s="634">
        <v>1059.17</v>
      </c>
      <c r="I57" s="634">
        <f t="shared" si="5"/>
        <v>1238.0638130000002</v>
      </c>
      <c r="J57" s="634">
        <f t="shared" si="6"/>
        <v>1059.17</v>
      </c>
      <c r="K57" s="635">
        <f t="shared" si="0"/>
        <v>1238.06</v>
      </c>
      <c r="L57" s="712"/>
      <c r="M57" s="712"/>
      <c r="N57" s="241"/>
      <c r="O57" s="241"/>
      <c r="P57" s="241"/>
      <c r="Q57" s="241"/>
      <c r="R57" s="241"/>
      <c r="S57" s="241"/>
      <c r="T57" s="241"/>
      <c r="U57" s="241"/>
      <c r="V57" s="241"/>
      <c r="W57" s="241"/>
    </row>
    <row r="58" spans="1:23" s="239" customFormat="1" ht="40.5" customHeight="1">
      <c r="A58" s="441"/>
      <c r="B58" s="441"/>
      <c r="C58" s="626" t="s">
        <v>962</v>
      </c>
      <c r="D58" s="728" t="s">
        <v>963</v>
      </c>
      <c r="E58" s="728"/>
      <c r="F58" s="627"/>
      <c r="G58" s="628"/>
      <c r="H58" s="628"/>
      <c r="I58" s="628"/>
      <c r="J58" s="629">
        <f>ROUND(SUM(J59:J63),2)</f>
        <v>1887.82</v>
      </c>
      <c r="K58" s="630">
        <f>ROUND(SUM(K59:K63),2)</f>
        <v>2368.4499999999998</v>
      </c>
      <c r="L58" s="712"/>
      <c r="M58" s="712"/>
      <c r="N58" s="241"/>
      <c r="O58" s="241"/>
      <c r="P58" s="241"/>
      <c r="Q58" s="241"/>
      <c r="R58" s="241"/>
      <c r="S58" s="241"/>
      <c r="T58" s="241"/>
      <c r="U58" s="241"/>
      <c r="V58" s="241"/>
      <c r="W58" s="241"/>
    </row>
    <row r="59" spans="1:23" s="593" customFormat="1" ht="35.1" customHeight="1">
      <c r="A59" s="592"/>
      <c r="B59" s="592"/>
      <c r="C59" s="631" t="s">
        <v>1186</v>
      </c>
      <c r="D59" s="632" t="s">
        <v>1106</v>
      </c>
      <c r="E59" s="640" t="s">
        <v>1107</v>
      </c>
      <c r="F59" s="633" t="s">
        <v>969</v>
      </c>
      <c r="G59" s="634">
        <v>2</v>
      </c>
      <c r="H59" s="634">
        <v>251.12</v>
      </c>
      <c r="I59" s="634">
        <f>H59*$K$7</f>
        <v>315.05515199999996</v>
      </c>
      <c r="J59" s="634">
        <f>ROUND(H59*G59,2)</f>
        <v>502.24</v>
      </c>
      <c r="K59" s="635">
        <f t="shared" si="0"/>
        <v>630.11</v>
      </c>
      <c r="L59" s="712"/>
      <c r="M59" s="712"/>
    </row>
    <row r="60" spans="1:23" s="239" customFormat="1" ht="35.1" customHeight="1">
      <c r="A60" s="441"/>
      <c r="B60" s="441"/>
      <c r="C60" s="631" t="s">
        <v>1187</v>
      </c>
      <c r="D60" s="638">
        <v>94971</v>
      </c>
      <c r="E60" s="640" t="s">
        <v>1132</v>
      </c>
      <c r="F60" s="633" t="s">
        <v>969</v>
      </c>
      <c r="G60" s="634">
        <v>2.5</v>
      </c>
      <c r="H60" s="634">
        <v>260.88</v>
      </c>
      <c r="I60" s="634">
        <f t="shared" ref="I60:I62" si="8">H60*$K$7</f>
        <v>327.300048</v>
      </c>
      <c r="J60" s="634">
        <f t="shared" ref="J60:J65" si="9">ROUND(H60*G60,2)</f>
        <v>652.20000000000005</v>
      </c>
      <c r="K60" s="635">
        <f t="shared" si="0"/>
        <v>818.25</v>
      </c>
      <c r="L60" s="712"/>
      <c r="M60" s="712"/>
      <c r="N60" s="241"/>
      <c r="O60" s="241"/>
      <c r="P60" s="241"/>
      <c r="Q60" s="241"/>
      <c r="R60" s="241"/>
      <c r="S60" s="241"/>
      <c r="T60" s="241"/>
      <c r="U60" s="241"/>
      <c r="V60" s="241"/>
      <c r="W60" s="241"/>
    </row>
    <row r="61" spans="1:23" s="239" customFormat="1" ht="35.1" customHeight="1">
      <c r="A61" s="441"/>
      <c r="B61" s="441"/>
      <c r="C61" s="631" t="s">
        <v>1188</v>
      </c>
      <c r="D61" s="638" t="s">
        <v>1133</v>
      </c>
      <c r="E61" s="640" t="s">
        <v>988</v>
      </c>
      <c r="F61" s="633" t="s">
        <v>969</v>
      </c>
      <c r="G61" s="634">
        <v>2.5</v>
      </c>
      <c r="H61" s="634">
        <v>94.23</v>
      </c>
      <c r="I61" s="634">
        <f t="shared" si="8"/>
        <v>118.220958</v>
      </c>
      <c r="J61" s="634">
        <f t="shared" si="9"/>
        <v>235.58</v>
      </c>
      <c r="K61" s="635">
        <f t="shared" si="0"/>
        <v>295.55</v>
      </c>
      <c r="L61" s="691"/>
      <c r="M61" s="691"/>
      <c r="N61" s="241"/>
      <c r="O61" s="241"/>
      <c r="P61" s="241"/>
      <c r="Q61" s="241"/>
      <c r="R61" s="241"/>
      <c r="S61" s="241"/>
      <c r="T61" s="241"/>
      <c r="U61" s="241"/>
      <c r="V61" s="241"/>
      <c r="W61" s="241"/>
    </row>
    <row r="62" spans="1:23" s="239" customFormat="1" ht="35.1" customHeight="1">
      <c r="A62" s="441"/>
      <c r="B62" s="441"/>
      <c r="C62" s="631" t="s">
        <v>1189</v>
      </c>
      <c r="D62" s="638" t="s">
        <v>1054</v>
      </c>
      <c r="E62" s="640" t="s">
        <v>1105</v>
      </c>
      <c r="F62" s="633" t="s">
        <v>969</v>
      </c>
      <c r="G62" s="634">
        <v>5</v>
      </c>
      <c r="H62" s="634">
        <v>65.05</v>
      </c>
      <c r="I62" s="634">
        <f t="shared" si="8"/>
        <v>81.611729999999994</v>
      </c>
      <c r="J62" s="634">
        <f t="shared" si="9"/>
        <v>325.25</v>
      </c>
      <c r="K62" s="635">
        <f t="shared" si="0"/>
        <v>408.06</v>
      </c>
      <c r="L62" s="712"/>
      <c r="M62" s="712"/>
      <c r="N62" s="241"/>
      <c r="O62" s="241"/>
      <c r="P62" s="241"/>
      <c r="Q62" s="241"/>
      <c r="R62" s="241"/>
      <c r="S62" s="241"/>
      <c r="T62" s="241"/>
      <c r="U62" s="241"/>
      <c r="V62" s="241"/>
      <c r="W62" s="241"/>
    </row>
    <row r="63" spans="1:23" s="595" customFormat="1" ht="35.1" customHeight="1">
      <c r="A63" s="594"/>
      <c r="B63" s="594"/>
      <c r="C63" s="631" t="s">
        <v>1226</v>
      </c>
      <c r="D63" s="632" t="s">
        <v>1108</v>
      </c>
      <c r="E63" s="640" t="s">
        <v>1109</v>
      </c>
      <c r="F63" s="633" t="s">
        <v>968</v>
      </c>
      <c r="G63" s="634">
        <v>2.5</v>
      </c>
      <c r="H63" s="634">
        <v>69.02</v>
      </c>
      <c r="I63" s="634">
        <f>H63*$K$7</f>
        <v>86.592491999999993</v>
      </c>
      <c r="J63" s="634">
        <f t="shared" si="9"/>
        <v>172.55</v>
      </c>
      <c r="K63" s="635">
        <f t="shared" si="0"/>
        <v>216.48</v>
      </c>
      <c r="L63" s="712"/>
      <c r="M63" s="712"/>
    </row>
    <row r="64" spans="1:23" ht="24" customHeight="1">
      <c r="C64" s="626">
        <v>5</v>
      </c>
      <c r="D64" s="728" t="s">
        <v>1118</v>
      </c>
      <c r="E64" s="728"/>
      <c r="F64" s="637"/>
      <c r="G64" s="628"/>
      <c r="H64" s="628"/>
      <c r="I64" s="628"/>
      <c r="J64" s="629">
        <f>ROUND(SUM(J66:J79),2)</f>
        <v>332462.03999999998</v>
      </c>
      <c r="K64" s="630">
        <f>ROUND(SUM(K65:K79),2)</f>
        <v>419624.87</v>
      </c>
      <c r="L64" s="712"/>
      <c r="M64" s="712"/>
    </row>
    <row r="65" spans="3:13" ht="24" customHeight="1">
      <c r="C65" s="631" t="s">
        <v>1190</v>
      </c>
      <c r="D65" s="642">
        <v>73686</v>
      </c>
      <c r="E65" s="625" t="s">
        <v>983</v>
      </c>
      <c r="F65" s="692" t="s">
        <v>968</v>
      </c>
      <c r="G65" s="634">
        <v>100</v>
      </c>
      <c r="H65" s="634">
        <v>20.07</v>
      </c>
      <c r="I65" s="634">
        <f t="shared" ref="I65:I79" si="10">H65*$K$7</f>
        <v>25.179821999999998</v>
      </c>
      <c r="J65" s="634">
        <f t="shared" si="9"/>
        <v>2007</v>
      </c>
      <c r="K65" s="635">
        <f t="shared" si="0"/>
        <v>2517.98</v>
      </c>
      <c r="L65" s="690"/>
      <c r="M65" s="690"/>
    </row>
    <row r="66" spans="3:13" ht="35.1" customHeight="1">
      <c r="C66" s="631" t="s">
        <v>1191</v>
      </c>
      <c r="D66" s="638" t="s">
        <v>1119</v>
      </c>
      <c r="E66" s="625" t="s">
        <v>1120</v>
      </c>
      <c r="F66" s="633" t="s">
        <v>802</v>
      </c>
      <c r="G66" s="634">
        <f>(0.4+0.6+0.6)*1.25*3.3</f>
        <v>6.6</v>
      </c>
      <c r="H66" s="634">
        <v>54.35</v>
      </c>
      <c r="I66" s="634">
        <f t="shared" si="10"/>
        <v>68.187510000000003</v>
      </c>
      <c r="J66" s="634">
        <f>ROUND(H66*G66,2)</f>
        <v>358.71</v>
      </c>
      <c r="K66" s="635">
        <f t="shared" ref="K66:K79" si="11">ROUND(I66*G66,2)</f>
        <v>450.04</v>
      </c>
      <c r="L66" s="712"/>
      <c r="M66" s="712"/>
    </row>
    <row r="67" spans="3:13" ht="35.1" customHeight="1">
      <c r="C67" s="631" t="s">
        <v>1192</v>
      </c>
      <c r="D67" s="632" t="s">
        <v>1121</v>
      </c>
      <c r="E67" s="625" t="s">
        <v>1122</v>
      </c>
      <c r="F67" s="633" t="s">
        <v>802</v>
      </c>
      <c r="G67" s="634">
        <f>G66-G68</f>
        <v>4.9499999999999993</v>
      </c>
      <c r="H67" s="634">
        <v>29.34</v>
      </c>
      <c r="I67" s="634">
        <f t="shared" si="10"/>
        <v>36.809964000000001</v>
      </c>
      <c r="J67" s="634">
        <f t="shared" ref="J67:J79" si="12">ROUND(H67*G67,2)</f>
        <v>145.22999999999999</v>
      </c>
      <c r="K67" s="635">
        <f t="shared" si="11"/>
        <v>182.21</v>
      </c>
      <c r="L67" s="712"/>
      <c r="M67" s="712"/>
    </row>
    <row r="68" spans="3:13" ht="35.1" customHeight="1">
      <c r="C68" s="631" t="s">
        <v>1193</v>
      </c>
      <c r="D68" s="632" t="s">
        <v>1123</v>
      </c>
      <c r="E68" s="625" t="s">
        <v>1124</v>
      </c>
      <c r="F68" s="633" t="s">
        <v>802</v>
      </c>
      <c r="G68" s="634">
        <f>0.4*1.25*3.3</f>
        <v>1.65</v>
      </c>
      <c r="H68" s="634">
        <v>27.5</v>
      </c>
      <c r="I68" s="634">
        <f t="shared" si="10"/>
        <v>34.5015</v>
      </c>
      <c r="J68" s="634">
        <f t="shared" si="12"/>
        <v>45.38</v>
      </c>
      <c r="K68" s="635">
        <f t="shared" si="11"/>
        <v>56.93</v>
      </c>
      <c r="L68" s="712"/>
      <c r="M68" s="712"/>
    </row>
    <row r="69" spans="3:13" ht="35.1" customHeight="1">
      <c r="C69" s="631" t="s">
        <v>1194</v>
      </c>
      <c r="D69" s="641" t="s">
        <v>922</v>
      </c>
      <c r="E69" s="625" t="s">
        <v>1125</v>
      </c>
      <c r="F69" s="633" t="s">
        <v>984</v>
      </c>
      <c r="G69" s="634">
        <v>8267</v>
      </c>
      <c r="H69" s="634">
        <f>'CPU '!I376</f>
        <v>38.548333333333332</v>
      </c>
      <c r="I69" s="634">
        <f t="shared" si="10"/>
        <v>48.362738999999998</v>
      </c>
      <c r="J69" s="634">
        <f t="shared" si="12"/>
        <v>318679.07</v>
      </c>
      <c r="K69" s="635">
        <f t="shared" si="11"/>
        <v>399814.76</v>
      </c>
      <c r="L69" s="712"/>
      <c r="M69" s="712"/>
    </row>
    <row r="70" spans="3:13" ht="35.1" customHeight="1">
      <c r="C70" s="631" t="s">
        <v>1195</v>
      </c>
      <c r="D70" s="632" t="s">
        <v>1126</v>
      </c>
      <c r="E70" s="625" t="s">
        <v>1127</v>
      </c>
      <c r="F70" s="633" t="s">
        <v>803</v>
      </c>
      <c r="G70" s="634">
        <f>50*(2.4*4*2)</f>
        <v>960</v>
      </c>
      <c r="H70" s="634">
        <v>9.25</v>
      </c>
      <c r="I70" s="634">
        <f t="shared" si="10"/>
        <v>11.605049999999999</v>
      </c>
      <c r="J70" s="634">
        <f t="shared" si="12"/>
        <v>8880</v>
      </c>
      <c r="K70" s="635">
        <f t="shared" si="11"/>
        <v>11140.85</v>
      </c>
      <c r="L70" s="712"/>
      <c r="M70" s="712"/>
    </row>
    <row r="71" spans="3:13" ht="35.1" customHeight="1">
      <c r="C71" s="631" t="s">
        <v>1196</v>
      </c>
      <c r="D71" s="632" t="s">
        <v>1128</v>
      </c>
      <c r="E71" s="625" t="s">
        <v>1129</v>
      </c>
      <c r="F71" s="633" t="s">
        <v>183</v>
      </c>
      <c r="G71" s="634">
        <f>0.97*2*50*2.4</f>
        <v>232.79999999999998</v>
      </c>
      <c r="H71" s="634">
        <v>7.68</v>
      </c>
      <c r="I71" s="634">
        <f t="shared" si="10"/>
        <v>9.6353279999999994</v>
      </c>
      <c r="J71" s="634">
        <f t="shared" si="12"/>
        <v>1787.9</v>
      </c>
      <c r="K71" s="635">
        <f t="shared" si="11"/>
        <v>2243.1</v>
      </c>
      <c r="L71" s="712"/>
      <c r="M71" s="712"/>
    </row>
    <row r="72" spans="3:13" ht="35.1" customHeight="1">
      <c r="C72" s="631" t="s">
        <v>1197</v>
      </c>
      <c r="D72" s="642" t="s">
        <v>1130</v>
      </c>
      <c r="E72" s="625" t="s">
        <v>1131</v>
      </c>
      <c r="F72" s="633" t="s">
        <v>802</v>
      </c>
      <c r="G72" s="634">
        <f>2*0.2*1.2*0.7</f>
        <v>0.33599999999999997</v>
      </c>
      <c r="H72" s="634">
        <v>135.30000000000001</v>
      </c>
      <c r="I72" s="634">
        <f t="shared" si="10"/>
        <v>169.74737999999999</v>
      </c>
      <c r="J72" s="634">
        <f t="shared" si="12"/>
        <v>45.46</v>
      </c>
      <c r="K72" s="635">
        <f t="shared" si="11"/>
        <v>57.04</v>
      </c>
      <c r="L72" s="712"/>
      <c r="M72" s="712"/>
    </row>
    <row r="73" spans="3:13" ht="35.1" customHeight="1">
      <c r="C73" s="631" t="s">
        <v>1198</v>
      </c>
      <c r="D73" s="642">
        <v>94971</v>
      </c>
      <c r="E73" s="625" t="s">
        <v>1132</v>
      </c>
      <c r="F73" s="633" t="s">
        <v>802</v>
      </c>
      <c r="G73" s="634">
        <f>0.4*1.25*3.3+2*0.2*1.2*0.7</f>
        <v>1.9859999999999998</v>
      </c>
      <c r="H73" s="634">
        <v>260.88</v>
      </c>
      <c r="I73" s="634">
        <f t="shared" si="10"/>
        <v>327.300048</v>
      </c>
      <c r="J73" s="634">
        <f t="shared" si="12"/>
        <v>518.11</v>
      </c>
      <c r="K73" s="635">
        <f t="shared" si="11"/>
        <v>650.02</v>
      </c>
      <c r="L73" s="712"/>
      <c r="M73" s="712"/>
    </row>
    <row r="74" spans="3:13" ht="35.1" customHeight="1">
      <c r="C74" s="631" t="s">
        <v>1199</v>
      </c>
      <c r="D74" s="632" t="s">
        <v>1133</v>
      </c>
      <c r="E74" s="625" t="s">
        <v>988</v>
      </c>
      <c r="F74" s="633" t="s">
        <v>802</v>
      </c>
      <c r="G74" s="634">
        <f>G73+G76</f>
        <v>2.0519999999999996</v>
      </c>
      <c r="H74" s="634">
        <v>94.23</v>
      </c>
      <c r="I74" s="634">
        <f t="shared" si="10"/>
        <v>118.220958</v>
      </c>
      <c r="J74" s="634">
        <f t="shared" si="12"/>
        <v>193.36</v>
      </c>
      <c r="K74" s="635">
        <f t="shared" si="11"/>
        <v>242.59</v>
      </c>
      <c r="L74" s="712"/>
      <c r="M74" s="712"/>
    </row>
    <row r="75" spans="3:13" ht="45.75" customHeight="1">
      <c r="C75" s="631" t="s">
        <v>1200</v>
      </c>
      <c r="D75" s="638" t="s">
        <v>1134</v>
      </c>
      <c r="E75" s="625" t="s">
        <v>1135</v>
      </c>
      <c r="F75" s="633" t="s">
        <v>713</v>
      </c>
      <c r="G75" s="634">
        <f>4*3</f>
        <v>12</v>
      </c>
      <c r="H75" s="634">
        <v>80.31</v>
      </c>
      <c r="I75" s="634">
        <f t="shared" si="10"/>
        <v>100.75692599999999</v>
      </c>
      <c r="J75" s="634">
        <f t="shared" si="12"/>
        <v>963.72</v>
      </c>
      <c r="K75" s="635">
        <f t="shared" si="11"/>
        <v>1209.08</v>
      </c>
      <c r="L75" s="712"/>
      <c r="M75" s="712"/>
    </row>
    <row r="76" spans="3:13" ht="35.1" customHeight="1">
      <c r="C76" s="631" t="s">
        <v>1201</v>
      </c>
      <c r="D76" s="632" t="s">
        <v>1136</v>
      </c>
      <c r="E76" s="625" t="s">
        <v>1137</v>
      </c>
      <c r="F76" s="633" t="s">
        <v>802</v>
      </c>
      <c r="G76" s="634">
        <f>0.05*0.4*3.3</f>
        <v>6.6000000000000003E-2</v>
      </c>
      <c r="H76" s="634">
        <v>409.45</v>
      </c>
      <c r="I76" s="634">
        <f t="shared" si="10"/>
        <v>513.69596999999999</v>
      </c>
      <c r="J76" s="634">
        <f t="shared" si="12"/>
        <v>27.02</v>
      </c>
      <c r="K76" s="635">
        <f t="shared" si="11"/>
        <v>33.9</v>
      </c>
      <c r="L76" s="712"/>
      <c r="M76" s="712"/>
    </row>
    <row r="77" spans="3:13" ht="35.1" customHeight="1">
      <c r="C77" s="631" t="s">
        <v>1202</v>
      </c>
      <c r="D77" s="632" t="s">
        <v>1138</v>
      </c>
      <c r="E77" s="625" t="s">
        <v>1139</v>
      </c>
      <c r="F77" s="633" t="s">
        <v>183</v>
      </c>
      <c r="G77" s="634">
        <v>11</v>
      </c>
      <c r="H77" s="634">
        <v>7.86</v>
      </c>
      <c r="I77" s="634">
        <f t="shared" si="10"/>
        <v>9.8611559999999994</v>
      </c>
      <c r="J77" s="634">
        <f t="shared" si="12"/>
        <v>86.46</v>
      </c>
      <c r="K77" s="635">
        <f t="shared" si="11"/>
        <v>108.47</v>
      </c>
      <c r="L77" s="712"/>
      <c r="M77" s="712"/>
    </row>
    <row r="78" spans="3:13" ht="35.1" customHeight="1">
      <c r="C78" s="631" t="s">
        <v>1203</v>
      </c>
      <c r="D78" s="632" t="s">
        <v>1140</v>
      </c>
      <c r="E78" s="625" t="s">
        <v>1141</v>
      </c>
      <c r="F78" s="633" t="s">
        <v>183</v>
      </c>
      <c r="G78" s="634">
        <v>16</v>
      </c>
      <c r="H78" s="634">
        <v>7.82</v>
      </c>
      <c r="I78" s="634">
        <f t="shared" si="10"/>
        <v>9.8109719999999996</v>
      </c>
      <c r="J78" s="634">
        <f t="shared" si="12"/>
        <v>125.12</v>
      </c>
      <c r="K78" s="635">
        <f t="shared" si="11"/>
        <v>156.97999999999999</v>
      </c>
      <c r="L78" s="712"/>
      <c r="M78" s="712"/>
    </row>
    <row r="79" spans="3:13" ht="35.1" customHeight="1">
      <c r="C79" s="631" t="s">
        <v>1204</v>
      </c>
      <c r="D79" s="638" t="s">
        <v>1142</v>
      </c>
      <c r="E79" s="625" t="s">
        <v>1143</v>
      </c>
      <c r="F79" s="633" t="s">
        <v>803</v>
      </c>
      <c r="G79" s="634">
        <f>(0.4*2+3.3*2)*1.2</f>
        <v>8.879999999999999</v>
      </c>
      <c r="H79" s="634">
        <v>68.3</v>
      </c>
      <c r="I79" s="634">
        <f t="shared" si="10"/>
        <v>85.689179999999993</v>
      </c>
      <c r="J79" s="634">
        <f t="shared" si="12"/>
        <v>606.5</v>
      </c>
      <c r="K79" s="635">
        <f t="shared" si="11"/>
        <v>760.92</v>
      </c>
      <c r="L79" s="712"/>
      <c r="M79" s="712"/>
    </row>
    <row r="80" spans="3:13" ht="24" customHeight="1" thickBot="1">
      <c r="C80" s="742" t="s">
        <v>1151</v>
      </c>
      <c r="D80" s="743"/>
      <c r="E80" s="743"/>
      <c r="F80" s="743"/>
      <c r="G80" s="743"/>
      <c r="H80" s="744"/>
      <c r="I80" s="643"/>
      <c r="J80" s="643">
        <f>ROUND(J64+J58+J32+J15+J10,2)</f>
        <v>1037502.76</v>
      </c>
      <c r="K80" s="644">
        <f>ROUND(K64+K58+K32+K15+K10,2)</f>
        <v>1280169.92</v>
      </c>
      <c r="L80" s="712"/>
      <c r="M80" s="712"/>
    </row>
    <row r="81" spans="10:11" ht="24" customHeight="1" thickTop="1"/>
    <row r="82" spans="10:11" ht="24" customHeight="1">
      <c r="J82" s="645"/>
      <c r="K82" s="645"/>
    </row>
  </sheetData>
  <mergeCells count="81">
    <mergeCell ref="C80:H80"/>
    <mergeCell ref="D64:E64"/>
    <mergeCell ref="L27:M27"/>
    <mergeCell ref="L28:M28"/>
    <mergeCell ref="L29:M29"/>
    <mergeCell ref="L30:M30"/>
    <mergeCell ref="L31:M31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D32:E32"/>
    <mergeCell ref="D58:E58"/>
    <mergeCell ref="L17:M17"/>
    <mergeCell ref="L18:M18"/>
    <mergeCell ref="L19:M19"/>
    <mergeCell ref="L20:M20"/>
    <mergeCell ref="L21:M21"/>
    <mergeCell ref="L22:M22"/>
    <mergeCell ref="L23:M23"/>
    <mergeCell ref="L24:M24"/>
    <mergeCell ref="L25:M25"/>
    <mergeCell ref="L26:M26"/>
    <mergeCell ref="L32:M32"/>
    <mergeCell ref="L42:M42"/>
    <mergeCell ref="L43:M43"/>
    <mergeCell ref="L44:M44"/>
    <mergeCell ref="C1:K1"/>
    <mergeCell ref="C2:K2"/>
    <mergeCell ref="C3:K3"/>
    <mergeCell ref="C4:K4"/>
    <mergeCell ref="L16:M16"/>
    <mergeCell ref="D10:E10"/>
    <mergeCell ref="D15:E15"/>
    <mergeCell ref="C6:E6"/>
    <mergeCell ref="C7:E7"/>
    <mergeCell ref="C8:E8"/>
    <mergeCell ref="F8:K8"/>
    <mergeCell ref="F6:J6"/>
    <mergeCell ref="F7:J7"/>
    <mergeCell ref="C5:I5"/>
    <mergeCell ref="L45:M45"/>
    <mergeCell ref="L46:M46"/>
    <mergeCell ref="L47:M47"/>
    <mergeCell ref="L48:M48"/>
    <mergeCell ref="L49:M49"/>
    <mergeCell ref="L50:M50"/>
    <mergeCell ref="L51:M51"/>
    <mergeCell ref="L52:M52"/>
    <mergeCell ref="L53:M53"/>
    <mergeCell ref="L54:M54"/>
    <mergeCell ref="L56:M56"/>
    <mergeCell ref="L64:M64"/>
    <mergeCell ref="L66:M66"/>
    <mergeCell ref="L67:M67"/>
    <mergeCell ref="L57:M57"/>
    <mergeCell ref="L58:M58"/>
    <mergeCell ref="L59:M59"/>
    <mergeCell ref="L60:M60"/>
    <mergeCell ref="L62:M62"/>
    <mergeCell ref="L78:M78"/>
    <mergeCell ref="L79:M79"/>
    <mergeCell ref="L80:M80"/>
    <mergeCell ref="J5:K5"/>
    <mergeCell ref="L73:M73"/>
    <mergeCell ref="L74:M74"/>
    <mergeCell ref="L75:M75"/>
    <mergeCell ref="L76:M76"/>
    <mergeCell ref="L77:M77"/>
    <mergeCell ref="L69:M69"/>
    <mergeCell ref="L70:M70"/>
    <mergeCell ref="L71:M71"/>
    <mergeCell ref="L72:M72"/>
    <mergeCell ref="L63:M63"/>
    <mergeCell ref="L68:M68"/>
    <mergeCell ref="L55:M55"/>
  </mergeCells>
  <printOptions horizontalCentered="1"/>
  <pageMargins left="0" right="0" top="0.31496062992125984" bottom="0" header="0" footer="0"/>
  <pageSetup paperSize="9" scale="70" fitToWidth="0" fitToHeight="4" orientation="landscape" r:id="rId1"/>
  <headerFooter alignWithMargins="0">
    <oddFooter>Página &amp;P de &amp;N</oddFooter>
  </headerFooter>
  <rowBreaks count="2" manualBreakCount="2">
    <brk id="50" min="2" max="10" man="1"/>
    <brk id="68" min="2" max="10" man="1"/>
  </rowBreaks>
  <drawing r:id="rId2"/>
  <legacyDrawing r:id="rId3"/>
  <oleObjects>
    <mc:AlternateContent xmlns:mc="http://schemas.openxmlformats.org/markup-compatibility/2006">
      <mc:Choice Requires="x14">
        <oleObject shapeId="25602" r:id="rId4">
          <objectPr defaultSize="0" autoPict="0" r:id="rId5">
            <anchor moveWithCells="1" sizeWithCells="1">
              <from>
                <xdr:col>2</xdr:col>
                <xdr:colOff>409575</xdr:colOff>
                <xdr:row>0</xdr:row>
                <xdr:rowOff>85725</xdr:rowOff>
              </from>
              <to>
                <xdr:col>4</xdr:col>
                <xdr:colOff>666750</xdr:colOff>
                <xdr:row>2</xdr:row>
                <xdr:rowOff>190500</xdr:rowOff>
              </to>
            </anchor>
          </objectPr>
        </oleObject>
      </mc:Choice>
      <mc:Fallback>
        <oleObject shapeId="25602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6"/>
  <sheetViews>
    <sheetView topLeftCell="A361" workbookViewId="0">
      <selection activeCell="J261" sqref="J261:L262"/>
    </sheetView>
  </sheetViews>
  <sheetFormatPr defaultRowHeight="12.75"/>
  <cols>
    <col min="1" max="1" width="46.28515625" customWidth="1"/>
    <col min="2" max="2" width="9.7109375" customWidth="1"/>
    <col min="4" max="4" width="9.5703125" customWidth="1"/>
    <col min="7" max="7" width="12.28515625" customWidth="1"/>
    <col min="8" max="8" width="11.7109375" customWidth="1"/>
  </cols>
  <sheetData>
    <row r="1" spans="1:9">
      <c r="A1" s="542"/>
      <c r="B1" s="542"/>
      <c r="C1" s="542"/>
      <c r="D1" s="542"/>
      <c r="E1" s="542"/>
      <c r="F1" s="542"/>
      <c r="G1" s="542"/>
      <c r="H1" s="542"/>
      <c r="I1" s="542"/>
    </row>
    <row r="2" spans="1:9" ht="15.75" customHeight="1">
      <c r="A2" s="543" t="s">
        <v>29</v>
      </c>
      <c r="B2" s="610"/>
      <c r="C2" s="773" t="s">
        <v>30</v>
      </c>
      <c r="D2" s="774"/>
      <c r="E2" s="774"/>
      <c r="F2" s="774"/>
      <c r="G2" s="774"/>
      <c r="H2" s="774"/>
      <c r="I2" s="775"/>
    </row>
    <row r="3" spans="1:9" ht="15.75" customHeight="1">
      <c r="A3" s="544" t="s">
        <v>52</v>
      </c>
      <c r="B3" s="611"/>
      <c r="C3" s="545"/>
      <c r="D3" s="546"/>
      <c r="E3" s="545"/>
      <c r="F3" s="547"/>
      <c r="G3" s="547"/>
      <c r="H3" s="548" t="s">
        <v>31</v>
      </c>
      <c r="I3" s="549">
        <v>43365</v>
      </c>
    </row>
    <row r="4" spans="1:9" ht="12.75" customHeight="1">
      <c r="A4" s="776" t="s">
        <v>53</v>
      </c>
      <c r="B4" s="777"/>
      <c r="C4" s="777"/>
      <c r="D4" s="777"/>
      <c r="E4" s="777"/>
      <c r="F4" s="777"/>
      <c r="G4" s="778"/>
      <c r="H4" s="550" t="s">
        <v>32</v>
      </c>
      <c r="I4" s="551" t="s">
        <v>775</v>
      </c>
    </row>
    <row r="5" spans="1:9" ht="12.75" customHeight="1">
      <c r="A5" s="756" t="s">
        <v>33</v>
      </c>
      <c r="B5" s="757"/>
      <c r="C5" s="757"/>
      <c r="D5" s="757"/>
      <c r="E5" s="757"/>
      <c r="F5" s="757"/>
      <c r="G5" s="757"/>
      <c r="H5" s="757"/>
      <c r="I5" s="758"/>
    </row>
    <row r="6" spans="1:9">
      <c r="A6" s="552" t="s">
        <v>716</v>
      </c>
      <c r="B6" s="552" t="s">
        <v>1113</v>
      </c>
      <c r="C6" s="553" t="s">
        <v>34</v>
      </c>
      <c r="D6" s="554" t="s">
        <v>814</v>
      </c>
      <c r="E6" s="555" t="s">
        <v>35</v>
      </c>
      <c r="F6" s="555" t="s">
        <v>36</v>
      </c>
      <c r="G6" s="556" t="s">
        <v>37</v>
      </c>
      <c r="H6" s="556" t="s">
        <v>38</v>
      </c>
      <c r="I6" s="553" t="s">
        <v>39</v>
      </c>
    </row>
    <row r="7" spans="1:9" ht="20.100000000000001" customHeight="1">
      <c r="A7" s="574" t="s">
        <v>1157</v>
      </c>
      <c r="B7" s="648">
        <v>10777</v>
      </c>
      <c r="C7" s="552" t="s">
        <v>1085</v>
      </c>
      <c r="D7" s="646">
        <v>1</v>
      </c>
      <c r="E7" s="555"/>
      <c r="F7" s="555"/>
      <c r="G7" s="472">
        <v>493.9</v>
      </c>
      <c r="H7" s="556"/>
      <c r="I7" s="560">
        <f>G7*D7</f>
        <v>493.9</v>
      </c>
    </row>
    <row r="8" spans="1:9" ht="20.100000000000001" customHeight="1">
      <c r="A8" s="574" t="s">
        <v>1156</v>
      </c>
      <c r="B8" s="648">
        <v>10776</v>
      </c>
      <c r="C8" s="552" t="s">
        <v>1085</v>
      </c>
      <c r="D8" s="646">
        <v>1</v>
      </c>
      <c r="E8" s="555"/>
      <c r="F8" s="555"/>
      <c r="G8" s="472">
        <v>339.84</v>
      </c>
      <c r="H8" s="556"/>
      <c r="I8" s="560">
        <f>G8*D8</f>
        <v>339.84</v>
      </c>
    </row>
    <row r="9" spans="1:9" ht="20.100000000000001" customHeight="1">
      <c r="A9" s="619" t="s">
        <v>1145</v>
      </c>
      <c r="B9" s="620" t="s">
        <v>1146</v>
      </c>
      <c r="C9" s="468" t="s">
        <v>259</v>
      </c>
      <c r="D9" s="652">
        <v>40</v>
      </c>
      <c r="E9" s="456">
        <v>0.83</v>
      </c>
      <c r="F9" s="455">
        <v>0.17</v>
      </c>
      <c r="G9" s="617">
        <v>48.713900000000002</v>
      </c>
      <c r="H9" s="472">
        <v>34.941699999999997</v>
      </c>
      <c r="I9" s="653">
        <f>D9*E9*G9+D9*F9*H9</f>
        <v>1854.9050399999999</v>
      </c>
    </row>
    <row r="10" spans="1:9" ht="20.100000000000001" customHeight="1">
      <c r="A10" s="621" t="s">
        <v>1147</v>
      </c>
      <c r="B10" s="622" t="s">
        <v>1148</v>
      </c>
      <c r="C10" s="450" t="s">
        <v>259</v>
      </c>
      <c r="D10" s="654">
        <v>16</v>
      </c>
      <c r="E10" s="456">
        <v>0.83</v>
      </c>
      <c r="F10" s="455">
        <v>0.17</v>
      </c>
      <c r="G10" s="617">
        <v>142.8914</v>
      </c>
      <c r="H10" s="467">
        <v>40.304099999999998</v>
      </c>
      <c r="I10" s="653">
        <f>D10*E10*G10+D10*F10*H10</f>
        <v>2007.2249440000001</v>
      </c>
    </row>
    <row r="11" spans="1:9" ht="38.25">
      <c r="A11" s="540" t="s">
        <v>1144</v>
      </c>
      <c r="B11" s="649" t="s">
        <v>1158</v>
      </c>
      <c r="C11" s="468" t="s">
        <v>252</v>
      </c>
      <c r="D11" s="541">
        <v>1</v>
      </c>
      <c r="E11" s="557">
        <v>1</v>
      </c>
      <c r="F11" s="557"/>
      <c r="G11" s="472">
        <v>2865.31</v>
      </c>
      <c r="H11" s="556"/>
      <c r="I11" s="442">
        <f>G11*E11*D11</f>
        <v>2865.31</v>
      </c>
    </row>
    <row r="12" spans="1:9">
      <c r="A12" s="779" t="s">
        <v>40</v>
      </c>
      <c r="B12" s="780"/>
      <c r="C12" s="780"/>
      <c r="D12" s="780"/>
      <c r="E12" s="780"/>
      <c r="F12" s="780"/>
      <c r="G12" s="780"/>
      <c r="H12" s="781"/>
      <c r="I12" s="558">
        <f>SUM(I7:I11)</f>
        <v>7561.1799840000003</v>
      </c>
    </row>
    <row r="13" spans="1:9">
      <c r="A13" s="756" t="s">
        <v>41</v>
      </c>
      <c r="B13" s="757"/>
      <c r="C13" s="757"/>
      <c r="D13" s="757"/>
      <c r="E13" s="757"/>
      <c r="F13" s="757"/>
      <c r="G13" s="757"/>
      <c r="H13" s="757"/>
      <c r="I13" s="758"/>
    </row>
    <row r="14" spans="1:9">
      <c r="A14" s="552" t="s">
        <v>716</v>
      </c>
      <c r="B14" s="552" t="s">
        <v>1113</v>
      </c>
      <c r="C14" s="553" t="s">
        <v>34</v>
      </c>
      <c r="D14" s="554" t="s">
        <v>814</v>
      </c>
      <c r="E14" s="554"/>
      <c r="F14" s="554"/>
      <c r="G14" s="554"/>
      <c r="H14" s="553" t="s">
        <v>42</v>
      </c>
      <c r="I14" s="553" t="s">
        <v>39</v>
      </c>
    </row>
    <row r="15" spans="1:9">
      <c r="A15" s="548" t="s">
        <v>1030</v>
      </c>
      <c r="B15" s="552" t="s">
        <v>860</v>
      </c>
      <c r="C15" s="553" t="s">
        <v>1031</v>
      </c>
      <c r="D15" s="559">
        <v>300</v>
      </c>
      <c r="E15" s="554"/>
      <c r="F15" s="554"/>
      <c r="G15" s="554"/>
      <c r="H15" s="560">
        <v>0.79</v>
      </c>
      <c r="I15" s="442">
        <f>H15*D15</f>
        <v>237</v>
      </c>
    </row>
    <row r="16" spans="1:9">
      <c r="A16" s="548" t="s">
        <v>54</v>
      </c>
      <c r="B16" s="552" t="s">
        <v>860</v>
      </c>
      <c r="C16" s="553" t="s">
        <v>55</v>
      </c>
      <c r="D16" s="559">
        <v>1500</v>
      </c>
      <c r="E16" s="554"/>
      <c r="F16" s="554"/>
      <c r="G16" s="554"/>
      <c r="H16" s="560">
        <v>0.50973999999999997</v>
      </c>
      <c r="I16" s="442">
        <f t="shared" ref="I16:I22" si="0">H16*D16</f>
        <v>764.6099999999999</v>
      </c>
    </row>
    <row r="17" spans="1:9">
      <c r="A17" s="548" t="s">
        <v>1032</v>
      </c>
      <c r="B17" s="552" t="s">
        <v>860</v>
      </c>
      <c r="C17" s="553" t="s">
        <v>1033</v>
      </c>
      <c r="D17" s="559">
        <v>1</v>
      </c>
      <c r="E17" s="554"/>
      <c r="F17" s="554"/>
      <c r="G17" s="554"/>
      <c r="H17" s="560">
        <v>28.19</v>
      </c>
      <c r="I17" s="442">
        <f t="shared" si="0"/>
        <v>28.19</v>
      </c>
    </row>
    <row r="18" spans="1:9">
      <c r="A18" s="548" t="s">
        <v>1034</v>
      </c>
      <c r="B18" s="552" t="s">
        <v>860</v>
      </c>
      <c r="C18" s="553" t="s">
        <v>252</v>
      </c>
      <c r="D18" s="559">
        <v>1</v>
      </c>
      <c r="E18" s="554"/>
      <c r="F18" s="554"/>
      <c r="G18" s="554"/>
      <c r="H18" s="560">
        <v>261.2</v>
      </c>
      <c r="I18" s="442">
        <f t="shared" si="0"/>
        <v>261.2</v>
      </c>
    </row>
    <row r="19" spans="1:9">
      <c r="A19" s="548" t="s">
        <v>1035</v>
      </c>
      <c r="B19" s="552" t="s">
        <v>860</v>
      </c>
      <c r="C19" s="553" t="s">
        <v>252</v>
      </c>
      <c r="D19" s="559">
        <v>1</v>
      </c>
      <c r="E19" s="554"/>
      <c r="F19" s="554"/>
      <c r="G19" s="554"/>
      <c r="H19" s="560">
        <v>100</v>
      </c>
      <c r="I19" s="442">
        <f t="shared" si="0"/>
        <v>100</v>
      </c>
    </row>
    <row r="20" spans="1:9">
      <c r="A20" s="561" t="s">
        <v>1036</v>
      </c>
      <c r="B20" s="650" t="s">
        <v>860</v>
      </c>
      <c r="C20" s="553" t="s">
        <v>252</v>
      </c>
      <c r="D20" s="559">
        <v>1</v>
      </c>
      <c r="E20" s="554"/>
      <c r="F20" s="554"/>
      <c r="G20" s="554"/>
      <c r="H20" s="560">
        <v>98</v>
      </c>
      <c r="I20" s="442">
        <f t="shared" si="0"/>
        <v>98</v>
      </c>
    </row>
    <row r="21" spans="1:9">
      <c r="A21" s="473" t="s">
        <v>56</v>
      </c>
      <c r="B21" s="468" t="s">
        <v>860</v>
      </c>
      <c r="C21" s="454" t="s">
        <v>252</v>
      </c>
      <c r="D21" s="559">
        <v>1</v>
      </c>
      <c r="E21" s="459"/>
      <c r="F21" s="459"/>
      <c r="G21" s="459"/>
      <c r="H21" s="471">
        <v>200</v>
      </c>
      <c r="I21" s="442">
        <f t="shared" si="0"/>
        <v>200</v>
      </c>
    </row>
    <row r="22" spans="1:9">
      <c r="A22" s="473" t="s">
        <v>57</v>
      </c>
      <c r="B22" s="468" t="s">
        <v>860</v>
      </c>
      <c r="C22" s="454" t="s">
        <v>252</v>
      </c>
      <c r="D22" s="559">
        <v>1</v>
      </c>
      <c r="E22" s="459"/>
      <c r="F22" s="459"/>
      <c r="G22" s="459"/>
      <c r="H22" s="471">
        <v>200</v>
      </c>
      <c r="I22" s="442">
        <f t="shared" si="0"/>
        <v>200</v>
      </c>
    </row>
    <row r="23" spans="1:9">
      <c r="A23" s="772" t="s">
        <v>40</v>
      </c>
      <c r="B23" s="772"/>
      <c r="C23" s="772"/>
      <c r="D23" s="772"/>
      <c r="E23" s="772"/>
      <c r="F23" s="772"/>
      <c r="G23" s="772"/>
      <c r="H23" s="772"/>
      <c r="I23" s="562">
        <f>SUM(I15:I22)</f>
        <v>1889</v>
      </c>
    </row>
    <row r="24" spans="1:9">
      <c r="A24" s="756" t="s">
        <v>43</v>
      </c>
      <c r="B24" s="757"/>
      <c r="C24" s="757"/>
      <c r="D24" s="757"/>
      <c r="E24" s="757"/>
      <c r="F24" s="757"/>
      <c r="G24" s="757"/>
      <c r="H24" s="757"/>
      <c r="I24" s="758"/>
    </row>
    <row r="25" spans="1:9">
      <c r="A25" s="553" t="s">
        <v>716</v>
      </c>
      <c r="B25" s="553"/>
      <c r="C25" s="563" t="s">
        <v>34</v>
      </c>
      <c r="D25" s="563" t="s">
        <v>814</v>
      </c>
      <c r="E25" s="563"/>
      <c r="F25" s="563"/>
      <c r="G25" s="563"/>
      <c r="H25" s="553" t="s">
        <v>42</v>
      </c>
      <c r="I25" s="560" t="s">
        <v>39</v>
      </c>
    </row>
    <row r="26" spans="1:9">
      <c r="A26" s="470"/>
      <c r="B26" s="470"/>
      <c r="C26" s="553"/>
      <c r="D26" s="564"/>
      <c r="E26" s="563"/>
      <c r="F26" s="563"/>
      <c r="G26" s="563"/>
      <c r="H26" s="560"/>
      <c r="I26" s="562">
        <v>0</v>
      </c>
    </row>
    <row r="27" spans="1:9">
      <c r="A27" s="772" t="s">
        <v>40</v>
      </c>
      <c r="B27" s="772"/>
      <c r="C27" s="772"/>
      <c r="D27" s="772"/>
      <c r="E27" s="772"/>
      <c r="F27" s="772"/>
      <c r="G27" s="772"/>
      <c r="H27" s="772"/>
      <c r="I27" s="562">
        <v>0</v>
      </c>
    </row>
    <row r="28" spans="1:9">
      <c r="A28" s="756" t="s">
        <v>44</v>
      </c>
      <c r="B28" s="757"/>
      <c r="C28" s="757"/>
      <c r="D28" s="757"/>
      <c r="E28" s="757"/>
      <c r="F28" s="757"/>
      <c r="G28" s="757"/>
      <c r="H28" s="757"/>
      <c r="I28" s="758"/>
    </row>
    <row r="29" spans="1:9">
      <c r="A29" s="552" t="s">
        <v>716</v>
      </c>
      <c r="B29" s="552"/>
      <c r="C29" s="553" t="s">
        <v>34</v>
      </c>
      <c r="D29" s="554" t="s">
        <v>814</v>
      </c>
      <c r="E29" s="554"/>
      <c r="F29" s="554"/>
      <c r="G29" s="554"/>
      <c r="H29" s="553" t="s">
        <v>42</v>
      </c>
      <c r="I29" s="553" t="s">
        <v>39</v>
      </c>
    </row>
    <row r="30" spans="1:9" ht="38.25">
      <c r="A30" s="473" t="s">
        <v>1058</v>
      </c>
      <c r="B30" s="649" t="s">
        <v>1158</v>
      </c>
      <c r="C30" s="553" t="s">
        <v>252</v>
      </c>
      <c r="D30" s="565">
        <v>0.5</v>
      </c>
      <c r="E30" s="554"/>
      <c r="F30" s="554"/>
      <c r="G30" s="554"/>
      <c r="H30" s="471">
        <v>18224.8</v>
      </c>
      <c r="I30" s="442">
        <f>H30*D30</f>
        <v>9112.4</v>
      </c>
    </row>
    <row r="31" spans="1:9">
      <c r="A31" s="548" t="s">
        <v>1159</v>
      </c>
      <c r="B31" s="651">
        <v>93567</v>
      </c>
      <c r="C31" s="553" t="s">
        <v>252</v>
      </c>
      <c r="D31" s="565">
        <v>0.4</v>
      </c>
      <c r="E31" s="554"/>
      <c r="F31" s="554"/>
      <c r="G31" s="554"/>
      <c r="H31" s="471">
        <v>16410.3</v>
      </c>
      <c r="I31" s="442">
        <f>H31*D31</f>
        <v>6564.12</v>
      </c>
    </row>
    <row r="32" spans="1:9">
      <c r="A32" s="548" t="s">
        <v>1231</v>
      </c>
      <c r="B32" s="651">
        <v>94295</v>
      </c>
      <c r="C32" s="553" t="s">
        <v>252</v>
      </c>
      <c r="D32" s="565">
        <v>0.5</v>
      </c>
      <c r="E32" s="554"/>
      <c r="F32" s="554"/>
      <c r="G32" s="554"/>
      <c r="H32" s="471">
        <v>8822.1</v>
      </c>
      <c r="I32" s="442">
        <f>H32*D32</f>
        <v>4411.05</v>
      </c>
    </row>
    <row r="33" spans="1:9" ht="15.75" customHeight="1">
      <c r="A33" s="782" t="s">
        <v>40</v>
      </c>
      <c r="B33" s="783"/>
      <c r="C33" s="783"/>
      <c r="D33" s="783"/>
      <c r="E33" s="783"/>
      <c r="F33" s="783"/>
      <c r="G33" s="783"/>
      <c r="H33" s="784"/>
      <c r="I33" s="558">
        <f>SUM(I31:I32)</f>
        <v>10975.17</v>
      </c>
    </row>
    <row r="34" spans="1:9" ht="15.75" customHeight="1">
      <c r="A34" s="566" t="s">
        <v>45</v>
      </c>
      <c r="B34" s="604"/>
      <c r="C34" s="564">
        <v>1</v>
      </c>
      <c r="D34" s="782" t="s">
        <v>46</v>
      </c>
      <c r="E34" s="783"/>
      <c r="F34" s="783"/>
      <c r="G34" s="783"/>
      <c r="H34" s="784"/>
      <c r="I34" s="558">
        <f>I33+I27+I23+I12</f>
        <v>20425.349984</v>
      </c>
    </row>
    <row r="35" spans="1:9" ht="12.75" customHeight="1">
      <c r="A35" s="790"/>
      <c r="B35" s="791"/>
      <c r="C35" s="791"/>
      <c r="D35" s="791"/>
      <c r="E35" s="791"/>
      <c r="F35" s="791"/>
      <c r="G35" s="791"/>
      <c r="H35" s="792"/>
      <c r="I35" s="562">
        <f>I34/C34</f>
        <v>20425.349984</v>
      </c>
    </row>
    <row r="36" spans="1:9" ht="12.75" customHeight="1">
      <c r="A36" s="790" t="s">
        <v>47</v>
      </c>
      <c r="B36" s="791"/>
      <c r="C36" s="791"/>
      <c r="D36" s="791"/>
      <c r="E36" s="791"/>
      <c r="F36" s="791"/>
      <c r="G36" s="791"/>
      <c r="H36" s="792"/>
      <c r="I36" s="562">
        <v>1</v>
      </c>
    </row>
    <row r="37" spans="1:9">
      <c r="A37" s="793" t="s">
        <v>48</v>
      </c>
      <c r="B37" s="794"/>
      <c r="C37" s="794"/>
      <c r="D37" s="794"/>
      <c r="E37" s="794"/>
      <c r="F37" s="794"/>
      <c r="G37" s="794"/>
      <c r="H37" s="795"/>
      <c r="I37" s="562">
        <f>I36*I35</f>
        <v>20425.349984</v>
      </c>
    </row>
    <row r="38" spans="1:9" ht="15.75" customHeight="1">
      <c r="A38" s="543" t="s">
        <v>29</v>
      </c>
      <c r="B38" s="610"/>
      <c r="C38" s="773" t="s">
        <v>30</v>
      </c>
      <c r="D38" s="774"/>
      <c r="E38" s="774"/>
      <c r="F38" s="774"/>
      <c r="G38" s="774"/>
      <c r="H38" s="774"/>
      <c r="I38" s="775"/>
    </row>
    <row r="39" spans="1:9">
      <c r="A39" s="544" t="s">
        <v>52</v>
      </c>
      <c r="B39" s="611"/>
      <c r="C39" s="545"/>
      <c r="D39" s="546"/>
      <c r="E39" s="545"/>
      <c r="F39" s="547"/>
      <c r="G39" s="547"/>
      <c r="H39" s="548" t="s">
        <v>31</v>
      </c>
      <c r="I39" s="549">
        <v>43365</v>
      </c>
    </row>
    <row r="40" spans="1:9" ht="12.75" customHeight="1">
      <c r="A40" s="776" t="s">
        <v>1225</v>
      </c>
      <c r="B40" s="777"/>
      <c r="C40" s="777"/>
      <c r="D40" s="777"/>
      <c r="E40" s="777"/>
      <c r="F40" s="777"/>
      <c r="G40" s="778"/>
      <c r="H40" s="550" t="s">
        <v>32</v>
      </c>
      <c r="I40" s="551" t="s">
        <v>49</v>
      </c>
    </row>
    <row r="41" spans="1:9">
      <c r="A41" s="756" t="s">
        <v>33</v>
      </c>
      <c r="B41" s="757"/>
      <c r="C41" s="757"/>
      <c r="D41" s="757"/>
      <c r="E41" s="757"/>
      <c r="F41" s="757"/>
      <c r="G41" s="757"/>
      <c r="H41" s="757"/>
      <c r="I41" s="758"/>
    </row>
    <row r="42" spans="1:9">
      <c r="A42" s="552" t="s">
        <v>716</v>
      </c>
      <c r="B42" s="552"/>
      <c r="C42" s="553" t="s">
        <v>34</v>
      </c>
      <c r="D42" s="554" t="s">
        <v>814</v>
      </c>
      <c r="E42" s="555" t="s">
        <v>35</v>
      </c>
      <c r="F42" s="555" t="s">
        <v>36</v>
      </c>
      <c r="G42" s="556" t="s">
        <v>37</v>
      </c>
      <c r="H42" s="556" t="s">
        <v>38</v>
      </c>
      <c r="I42" s="553" t="s">
        <v>39</v>
      </c>
    </row>
    <row r="43" spans="1:9" ht="25.5">
      <c r="A43" s="647" t="s">
        <v>1232</v>
      </c>
      <c r="B43" s="694">
        <v>91634</v>
      </c>
      <c r="C43" s="468" t="s">
        <v>926</v>
      </c>
      <c r="D43" s="475">
        <v>100</v>
      </c>
      <c r="E43" s="456">
        <v>90</v>
      </c>
      <c r="F43" s="455">
        <v>10</v>
      </c>
      <c r="G43" s="472">
        <v>120.01</v>
      </c>
      <c r="H43" s="472">
        <v>31.2</v>
      </c>
      <c r="I43" s="442">
        <f>((E43*G43)+(F43*H43))</f>
        <v>11112.9</v>
      </c>
    </row>
    <row r="44" spans="1:9" ht="38.25">
      <c r="A44" s="540" t="s">
        <v>1230</v>
      </c>
      <c r="B44" s="540" t="s">
        <v>248</v>
      </c>
      <c r="C44" s="454" t="s">
        <v>926</v>
      </c>
      <c r="D44" s="693">
        <v>70</v>
      </c>
      <c r="E44" s="557">
        <v>60</v>
      </c>
      <c r="F44" s="557">
        <v>10</v>
      </c>
      <c r="G44" s="472">
        <v>298.68</v>
      </c>
      <c r="H44" s="556">
        <v>96.42</v>
      </c>
      <c r="I44" s="442">
        <f>((E44*G44)+(F44*H44))</f>
        <v>18885</v>
      </c>
    </row>
    <row r="45" spans="1:9">
      <c r="A45" s="779" t="s">
        <v>40</v>
      </c>
      <c r="B45" s="780"/>
      <c r="C45" s="780"/>
      <c r="D45" s="780"/>
      <c r="E45" s="780"/>
      <c r="F45" s="780"/>
      <c r="G45" s="780"/>
      <c r="H45" s="781"/>
      <c r="I45" s="558">
        <f>SUM(I43:I44)</f>
        <v>29997.9</v>
      </c>
    </row>
    <row r="46" spans="1:9">
      <c r="A46" s="756" t="s">
        <v>41</v>
      </c>
      <c r="B46" s="757"/>
      <c r="C46" s="757"/>
      <c r="D46" s="757"/>
      <c r="E46" s="757"/>
      <c r="F46" s="757"/>
      <c r="G46" s="757"/>
      <c r="H46" s="757"/>
      <c r="I46" s="758"/>
    </row>
    <row r="47" spans="1:9">
      <c r="A47" s="552" t="s">
        <v>716</v>
      </c>
      <c r="B47" s="552"/>
      <c r="C47" s="553" t="s">
        <v>34</v>
      </c>
      <c r="D47" s="554" t="s">
        <v>814</v>
      </c>
      <c r="E47" s="554"/>
      <c r="F47" s="554"/>
      <c r="G47" s="554"/>
      <c r="H47" s="553" t="s">
        <v>42</v>
      </c>
      <c r="I47" s="553" t="s">
        <v>39</v>
      </c>
    </row>
    <row r="48" spans="1:9">
      <c r="A48" s="473" t="s">
        <v>50</v>
      </c>
      <c r="B48" s="473"/>
      <c r="C48" s="454" t="s">
        <v>51</v>
      </c>
      <c r="D48" s="464">
        <v>15</v>
      </c>
      <c r="E48" s="459"/>
      <c r="F48" s="459"/>
      <c r="G48" s="459"/>
      <c r="H48" s="471">
        <v>100</v>
      </c>
      <c r="I48" s="442">
        <f>H48*D48</f>
        <v>1500</v>
      </c>
    </row>
    <row r="49" spans="1:9">
      <c r="A49" s="548"/>
      <c r="B49" s="548"/>
      <c r="C49" s="553"/>
      <c r="D49" s="559"/>
      <c r="E49" s="554"/>
      <c r="F49" s="554"/>
      <c r="G49" s="554"/>
      <c r="H49" s="560"/>
      <c r="I49" s="442">
        <v>0</v>
      </c>
    </row>
    <row r="50" spans="1:9">
      <c r="A50" s="772" t="s">
        <v>40</v>
      </c>
      <c r="B50" s="772"/>
      <c r="C50" s="772"/>
      <c r="D50" s="772"/>
      <c r="E50" s="772"/>
      <c r="F50" s="772"/>
      <c r="G50" s="772"/>
      <c r="H50" s="772"/>
      <c r="I50" s="562">
        <f>SUM(I48:I49)</f>
        <v>1500</v>
      </c>
    </row>
    <row r="51" spans="1:9">
      <c r="A51" s="756" t="s">
        <v>43</v>
      </c>
      <c r="B51" s="757"/>
      <c r="C51" s="757"/>
      <c r="D51" s="757"/>
      <c r="E51" s="757"/>
      <c r="F51" s="757"/>
      <c r="G51" s="757"/>
      <c r="H51" s="757"/>
      <c r="I51" s="758"/>
    </row>
    <row r="52" spans="1:9">
      <c r="A52" s="553" t="s">
        <v>716</v>
      </c>
      <c r="B52" s="553"/>
      <c r="C52" s="563" t="s">
        <v>34</v>
      </c>
      <c r="D52" s="563" t="s">
        <v>814</v>
      </c>
      <c r="E52" s="563"/>
      <c r="F52" s="563"/>
      <c r="G52" s="563"/>
      <c r="H52" s="553" t="s">
        <v>42</v>
      </c>
      <c r="I52" s="560" t="s">
        <v>39</v>
      </c>
    </row>
    <row r="53" spans="1:9">
      <c r="A53" s="470"/>
      <c r="B53" s="470"/>
      <c r="C53" s="553"/>
      <c r="D53" s="564"/>
      <c r="E53" s="563"/>
      <c r="F53" s="563"/>
      <c r="G53" s="563"/>
      <c r="H53" s="560"/>
      <c r="I53" s="562">
        <v>0</v>
      </c>
    </row>
    <row r="54" spans="1:9">
      <c r="A54" s="772" t="s">
        <v>40</v>
      </c>
      <c r="B54" s="772"/>
      <c r="C54" s="772"/>
      <c r="D54" s="772"/>
      <c r="E54" s="772"/>
      <c r="F54" s="772"/>
      <c r="G54" s="772"/>
      <c r="H54" s="772"/>
      <c r="I54" s="562">
        <v>0</v>
      </c>
    </row>
    <row r="55" spans="1:9">
      <c r="A55" s="756" t="s">
        <v>44</v>
      </c>
      <c r="B55" s="757"/>
      <c r="C55" s="757"/>
      <c r="D55" s="757"/>
      <c r="E55" s="757"/>
      <c r="F55" s="757"/>
      <c r="G55" s="757"/>
      <c r="H55" s="757"/>
      <c r="I55" s="758"/>
    </row>
    <row r="56" spans="1:9">
      <c r="A56" s="552" t="s">
        <v>716</v>
      </c>
      <c r="B56" s="552"/>
      <c r="C56" s="553" t="s">
        <v>34</v>
      </c>
      <c r="D56" s="554" t="s">
        <v>814</v>
      </c>
      <c r="E56" s="554"/>
      <c r="F56" s="554"/>
      <c r="G56" s="554"/>
      <c r="H56" s="553" t="s">
        <v>42</v>
      </c>
      <c r="I56" s="553" t="s">
        <v>39</v>
      </c>
    </row>
    <row r="57" spans="1:9">
      <c r="A57" s="548"/>
      <c r="B57" s="548"/>
      <c r="C57" s="553"/>
      <c r="D57" s="565"/>
      <c r="E57" s="554"/>
      <c r="F57" s="554"/>
      <c r="G57" s="554"/>
      <c r="H57" s="560"/>
      <c r="I57" s="442">
        <v>0</v>
      </c>
    </row>
    <row r="58" spans="1:9">
      <c r="A58" s="548"/>
      <c r="B58" s="548"/>
      <c r="C58" s="553"/>
      <c r="D58" s="565"/>
      <c r="E58" s="554"/>
      <c r="F58" s="554"/>
      <c r="G58" s="554"/>
      <c r="H58" s="560"/>
      <c r="I58" s="442">
        <v>0</v>
      </c>
    </row>
    <row r="59" spans="1:9" ht="15.75" customHeight="1">
      <c r="A59" s="782" t="s">
        <v>40</v>
      </c>
      <c r="B59" s="783"/>
      <c r="C59" s="783"/>
      <c r="D59" s="783"/>
      <c r="E59" s="783"/>
      <c r="F59" s="783"/>
      <c r="G59" s="783"/>
      <c r="H59" s="784"/>
      <c r="I59" s="558">
        <v>0</v>
      </c>
    </row>
    <row r="60" spans="1:9" ht="15.75" customHeight="1">
      <c r="A60" s="566" t="s">
        <v>45</v>
      </c>
      <c r="B60" s="604"/>
      <c r="C60" s="564">
        <v>1</v>
      </c>
      <c r="D60" s="782" t="s">
        <v>46</v>
      </c>
      <c r="E60" s="783"/>
      <c r="F60" s="783"/>
      <c r="G60" s="783"/>
      <c r="H60" s="784"/>
      <c r="I60" s="558">
        <f>I59+I54+I50+I45</f>
        <v>31497.9</v>
      </c>
    </row>
    <row r="61" spans="1:9" ht="12.75" customHeight="1">
      <c r="A61" s="785"/>
      <c r="B61" s="786"/>
      <c r="C61" s="787"/>
      <c r="D61" s="787"/>
      <c r="E61" s="787"/>
      <c r="F61" s="787"/>
      <c r="G61" s="788"/>
      <c r="H61" s="789"/>
      <c r="I61" s="562">
        <f>I60/C60</f>
        <v>31497.9</v>
      </c>
    </row>
    <row r="62" spans="1:9" ht="12.75" customHeight="1">
      <c r="A62" s="790" t="s">
        <v>47</v>
      </c>
      <c r="B62" s="791"/>
      <c r="C62" s="791"/>
      <c r="D62" s="791"/>
      <c r="E62" s="791"/>
      <c r="F62" s="791"/>
      <c r="G62" s="791"/>
      <c r="H62" s="792"/>
      <c r="I62" s="562">
        <v>1</v>
      </c>
    </row>
    <row r="63" spans="1:9">
      <c r="A63" s="793" t="s">
        <v>48</v>
      </c>
      <c r="B63" s="794"/>
      <c r="C63" s="794"/>
      <c r="D63" s="794"/>
      <c r="E63" s="794"/>
      <c r="F63" s="794"/>
      <c r="G63" s="794"/>
      <c r="H63" s="795"/>
      <c r="I63" s="562">
        <f>I62*I61</f>
        <v>31497.9</v>
      </c>
    </row>
    <row r="64" spans="1:9" ht="15.75" customHeight="1">
      <c r="A64" s="543" t="s">
        <v>29</v>
      </c>
      <c r="B64" s="610"/>
      <c r="C64" s="773" t="s">
        <v>30</v>
      </c>
      <c r="D64" s="774"/>
      <c r="E64" s="774"/>
      <c r="F64" s="774"/>
      <c r="G64" s="774"/>
      <c r="H64" s="774"/>
      <c r="I64" s="775"/>
    </row>
    <row r="65" spans="1:9">
      <c r="A65" s="544" t="s">
        <v>52</v>
      </c>
      <c r="B65" s="611"/>
      <c r="C65" s="545"/>
      <c r="D65" s="546"/>
      <c r="E65" s="545"/>
      <c r="F65" s="547"/>
      <c r="G65" s="547"/>
      <c r="H65" s="548" t="s">
        <v>31</v>
      </c>
      <c r="I65" s="549">
        <v>43367</v>
      </c>
    </row>
    <row r="66" spans="1:9" ht="12.75" customHeight="1">
      <c r="A66" s="776" t="s">
        <v>1037</v>
      </c>
      <c r="B66" s="777"/>
      <c r="C66" s="777"/>
      <c r="D66" s="777"/>
      <c r="E66" s="777"/>
      <c r="F66" s="777"/>
      <c r="G66" s="778"/>
      <c r="H66" s="550" t="s">
        <v>32</v>
      </c>
      <c r="I66" s="551" t="s">
        <v>925</v>
      </c>
    </row>
    <row r="67" spans="1:9">
      <c r="A67" s="756" t="s">
        <v>33</v>
      </c>
      <c r="B67" s="757"/>
      <c r="C67" s="757"/>
      <c r="D67" s="757"/>
      <c r="E67" s="757"/>
      <c r="F67" s="757"/>
      <c r="G67" s="757"/>
      <c r="H67" s="757"/>
      <c r="I67" s="758"/>
    </row>
    <row r="68" spans="1:9">
      <c r="A68" s="552" t="s">
        <v>716</v>
      </c>
      <c r="B68" s="552"/>
      <c r="C68" s="553" t="s">
        <v>34</v>
      </c>
      <c r="D68" s="554" t="s">
        <v>814</v>
      </c>
      <c r="E68" s="555" t="s">
        <v>35</v>
      </c>
      <c r="F68" s="555" t="s">
        <v>36</v>
      </c>
      <c r="G68" s="556" t="s">
        <v>37</v>
      </c>
      <c r="H68" s="556" t="s">
        <v>38</v>
      </c>
      <c r="I68" s="553" t="s">
        <v>39</v>
      </c>
    </row>
    <row r="69" spans="1:9">
      <c r="A69" s="561"/>
      <c r="B69" s="605"/>
      <c r="C69" s="553"/>
      <c r="D69" s="554"/>
      <c r="E69" s="557"/>
      <c r="F69" s="557"/>
      <c r="G69" s="556"/>
      <c r="H69" s="556"/>
      <c r="I69" s="442"/>
    </row>
    <row r="70" spans="1:9">
      <c r="A70" s="779" t="s">
        <v>40</v>
      </c>
      <c r="B70" s="780"/>
      <c r="C70" s="780"/>
      <c r="D70" s="780"/>
      <c r="E70" s="780"/>
      <c r="F70" s="780"/>
      <c r="G70" s="780"/>
      <c r="H70" s="781"/>
      <c r="I70" s="558">
        <f>SUM(I69)</f>
        <v>0</v>
      </c>
    </row>
    <row r="71" spans="1:9">
      <c r="A71" s="756" t="s">
        <v>41</v>
      </c>
      <c r="B71" s="757"/>
      <c r="C71" s="757"/>
      <c r="D71" s="757"/>
      <c r="E71" s="757"/>
      <c r="F71" s="757"/>
      <c r="G71" s="757"/>
      <c r="H71" s="757"/>
      <c r="I71" s="758"/>
    </row>
    <row r="72" spans="1:9">
      <c r="A72" s="552" t="s">
        <v>716</v>
      </c>
      <c r="B72" s="552"/>
      <c r="C72" s="553" t="s">
        <v>34</v>
      </c>
      <c r="D72" s="554" t="s">
        <v>814</v>
      </c>
      <c r="E72" s="554"/>
      <c r="F72" s="554"/>
      <c r="G72" s="554"/>
      <c r="H72" s="553" t="s">
        <v>42</v>
      </c>
      <c r="I72" s="553" t="s">
        <v>39</v>
      </c>
    </row>
    <row r="73" spans="1:9">
      <c r="A73" s="567"/>
      <c r="B73" s="567"/>
      <c r="C73" s="553"/>
      <c r="D73" s="565"/>
      <c r="E73" s="554"/>
      <c r="F73" s="554"/>
      <c r="G73" s="554"/>
      <c r="H73" s="560"/>
      <c r="I73" s="442"/>
    </row>
    <row r="74" spans="1:9">
      <c r="A74" s="772" t="s">
        <v>40</v>
      </c>
      <c r="B74" s="772"/>
      <c r="C74" s="772"/>
      <c r="D74" s="772"/>
      <c r="E74" s="772"/>
      <c r="F74" s="772"/>
      <c r="G74" s="772"/>
      <c r="H74" s="772"/>
      <c r="I74" s="562">
        <f>SUM(I73)</f>
        <v>0</v>
      </c>
    </row>
    <row r="75" spans="1:9">
      <c r="A75" s="756" t="s">
        <v>43</v>
      </c>
      <c r="B75" s="757"/>
      <c r="C75" s="757"/>
      <c r="D75" s="757"/>
      <c r="E75" s="757"/>
      <c r="F75" s="757"/>
      <c r="G75" s="757"/>
      <c r="H75" s="757"/>
      <c r="I75" s="758"/>
    </row>
    <row r="76" spans="1:9">
      <c r="A76" s="553" t="s">
        <v>716</v>
      </c>
      <c r="B76" s="553"/>
      <c r="C76" s="563" t="s">
        <v>34</v>
      </c>
      <c r="D76" s="563" t="s">
        <v>814</v>
      </c>
      <c r="E76" s="563"/>
      <c r="F76" s="563"/>
      <c r="G76" s="563"/>
      <c r="H76" s="553" t="s">
        <v>42</v>
      </c>
      <c r="I76" s="560" t="s">
        <v>39</v>
      </c>
    </row>
    <row r="77" spans="1:9">
      <c r="A77" s="567"/>
      <c r="B77" s="567"/>
      <c r="C77" s="553"/>
      <c r="D77" s="565"/>
      <c r="E77" s="563"/>
      <c r="F77" s="563"/>
      <c r="G77" s="563"/>
      <c r="H77" s="560"/>
      <c r="I77" s="562"/>
    </row>
    <row r="78" spans="1:9">
      <c r="A78" s="470"/>
      <c r="B78" s="470"/>
      <c r="C78" s="553"/>
      <c r="D78" s="565"/>
      <c r="E78" s="563"/>
      <c r="F78" s="563"/>
      <c r="G78" s="563"/>
      <c r="H78" s="560"/>
      <c r="I78" s="562"/>
    </row>
    <row r="79" spans="1:9">
      <c r="A79" s="535"/>
      <c r="B79" s="535"/>
      <c r="C79" s="553"/>
      <c r="D79" s="565"/>
      <c r="E79" s="563"/>
      <c r="F79" s="563"/>
      <c r="G79" s="563"/>
      <c r="H79" s="560"/>
      <c r="I79" s="562"/>
    </row>
    <row r="80" spans="1:9">
      <c r="A80" s="535"/>
      <c r="B80" s="535"/>
      <c r="C80" s="553"/>
      <c r="D80" s="565"/>
      <c r="E80" s="563"/>
      <c r="F80" s="563"/>
      <c r="G80" s="563"/>
      <c r="H80" s="560"/>
      <c r="I80" s="562"/>
    </row>
    <row r="81" spans="1:9">
      <c r="A81" s="535"/>
      <c r="B81" s="535"/>
      <c r="C81" s="553"/>
      <c r="D81" s="565"/>
      <c r="E81" s="563"/>
      <c r="F81" s="563"/>
      <c r="G81" s="563"/>
      <c r="H81" s="471"/>
      <c r="I81" s="562"/>
    </row>
    <row r="82" spans="1:9">
      <c r="A82" s="772" t="s">
        <v>40</v>
      </c>
      <c r="B82" s="772"/>
      <c r="C82" s="772"/>
      <c r="D82" s="772"/>
      <c r="E82" s="772"/>
      <c r="F82" s="772"/>
      <c r="G82" s="772"/>
      <c r="H82" s="772"/>
      <c r="I82" s="562">
        <f>SUM(I77:I81)</f>
        <v>0</v>
      </c>
    </row>
    <row r="83" spans="1:9">
      <c r="A83" s="756" t="s">
        <v>44</v>
      </c>
      <c r="B83" s="757"/>
      <c r="C83" s="757"/>
      <c r="D83" s="757"/>
      <c r="E83" s="757"/>
      <c r="F83" s="757"/>
      <c r="G83" s="757"/>
      <c r="H83" s="757"/>
      <c r="I83" s="758"/>
    </row>
    <row r="84" spans="1:9">
      <c r="A84" s="552" t="s">
        <v>716</v>
      </c>
      <c r="B84" s="552"/>
      <c r="C84" s="553" t="s">
        <v>34</v>
      </c>
      <c r="D84" s="554" t="s">
        <v>814</v>
      </c>
      <c r="E84" s="554"/>
      <c r="F84" s="554"/>
      <c r="G84" s="554"/>
      <c r="H84" s="454" t="s">
        <v>42</v>
      </c>
      <c r="I84" s="553" t="s">
        <v>39</v>
      </c>
    </row>
    <row r="85" spans="1:9">
      <c r="A85" s="473" t="s">
        <v>1103</v>
      </c>
      <c r="B85" s="548"/>
      <c r="C85" s="454" t="s">
        <v>926</v>
      </c>
      <c r="D85" s="565">
        <v>40</v>
      </c>
      <c r="E85" s="554"/>
      <c r="F85" s="554"/>
      <c r="G85" s="554"/>
      <c r="H85" s="471">
        <v>125.1</v>
      </c>
      <c r="I85" s="442">
        <f>H85*D85</f>
        <v>5004</v>
      </c>
    </row>
    <row r="86" spans="1:9">
      <c r="A86" s="479" t="s">
        <v>1104</v>
      </c>
      <c r="B86" s="479"/>
      <c r="C86" s="454" t="s">
        <v>926</v>
      </c>
      <c r="D86" s="480">
        <v>80</v>
      </c>
      <c r="E86" s="554"/>
      <c r="F86" s="554"/>
      <c r="G86" s="554"/>
      <c r="H86" s="471">
        <v>35.42</v>
      </c>
      <c r="I86" s="442">
        <f>H86*D86</f>
        <v>2833.6000000000004</v>
      </c>
    </row>
    <row r="87" spans="1:9">
      <c r="A87" s="782" t="s">
        <v>40</v>
      </c>
      <c r="B87" s="783"/>
      <c r="C87" s="783"/>
      <c r="D87" s="783"/>
      <c r="E87" s="783"/>
      <c r="F87" s="783"/>
      <c r="G87" s="783"/>
      <c r="H87" s="784"/>
      <c r="I87" s="558">
        <f>SUM(I85:I86)</f>
        <v>7837.6</v>
      </c>
    </row>
    <row r="88" spans="1:9">
      <c r="A88" s="566" t="s">
        <v>45</v>
      </c>
      <c r="B88" s="604"/>
      <c r="C88" s="564">
        <v>1</v>
      </c>
      <c r="D88" s="782" t="s">
        <v>46</v>
      </c>
      <c r="E88" s="783"/>
      <c r="F88" s="783"/>
      <c r="G88" s="783"/>
      <c r="H88" s="784"/>
      <c r="I88" s="558">
        <f>I87+I82+I74+I70</f>
        <v>7837.6</v>
      </c>
    </row>
    <row r="89" spans="1:9">
      <c r="A89" s="785" t="s">
        <v>924</v>
      </c>
      <c r="B89" s="786"/>
      <c r="C89" s="787"/>
      <c r="D89" s="787"/>
      <c r="E89" s="787"/>
      <c r="F89" s="787"/>
      <c r="G89" s="788"/>
      <c r="H89" s="789"/>
      <c r="I89" s="568">
        <f>I88/C88</f>
        <v>7837.6</v>
      </c>
    </row>
    <row r="90" spans="1:9" ht="15.75" customHeight="1">
      <c r="A90" s="790" t="s">
        <v>47</v>
      </c>
      <c r="B90" s="791"/>
      <c r="C90" s="791"/>
      <c r="D90" s="791"/>
      <c r="E90" s="791"/>
      <c r="F90" s="791"/>
      <c r="G90" s="791"/>
      <c r="H90" s="792"/>
      <c r="I90" s="562">
        <v>1</v>
      </c>
    </row>
    <row r="91" spans="1:9" ht="15.75" customHeight="1">
      <c r="A91" s="793" t="s">
        <v>48</v>
      </c>
      <c r="B91" s="794"/>
      <c r="C91" s="794"/>
      <c r="D91" s="794"/>
      <c r="E91" s="794"/>
      <c r="F91" s="794"/>
      <c r="G91" s="794"/>
      <c r="H91" s="795"/>
      <c r="I91" s="562">
        <f>I90*I89</f>
        <v>7837.6</v>
      </c>
    </row>
    <row r="92" spans="1:9" ht="15.75">
      <c r="A92" s="466" t="s">
        <v>29</v>
      </c>
      <c r="B92" s="612"/>
      <c r="C92" s="766" t="s">
        <v>30</v>
      </c>
      <c r="D92" s="767"/>
      <c r="E92" s="767"/>
      <c r="F92" s="767"/>
      <c r="G92" s="767"/>
      <c r="H92" s="767"/>
      <c r="I92" s="768"/>
    </row>
    <row r="93" spans="1:9">
      <c r="A93" s="474" t="s">
        <v>52</v>
      </c>
      <c r="B93" s="613"/>
      <c r="C93" s="443"/>
      <c r="D93" s="572"/>
      <c r="E93" s="443"/>
      <c r="F93" s="445"/>
      <c r="G93" s="445"/>
      <c r="H93" s="446" t="s">
        <v>31</v>
      </c>
      <c r="I93" s="482">
        <v>43365</v>
      </c>
    </row>
    <row r="94" spans="1:9">
      <c r="A94" s="769" t="s">
        <v>1060</v>
      </c>
      <c r="B94" s="770"/>
      <c r="C94" s="770"/>
      <c r="D94" s="770"/>
      <c r="E94" s="770"/>
      <c r="F94" s="770"/>
      <c r="G94" s="771"/>
      <c r="H94" s="448" t="s">
        <v>32</v>
      </c>
      <c r="I94" s="449" t="s">
        <v>860</v>
      </c>
    </row>
    <row r="95" spans="1:9">
      <c r="A95" s="756" t="s">
        <v>33</v>
      </c>
      <c r="B95" s="757"/>
      <c r="C95" s="757"/>
      <c r="D95" s="757"/>
      <c r="E95" s="757"/>
      <c r="F95" s="757"/>
      <c r="G95" s="757"/>
      <c r="H95" s="757"/>
      <c r="I95" s="758"/>
    </row>
    <row r="96" spans="1:9">
      <c r="A96" s="450" t="s">
        <v>716</v>
      </c>
      <c r="B96" s="450"/>
      <c r="C96" s="451" t="s">
        <v>34</v>
      </c>
      <c r="D96" s="452" t="s">
        <v>814</v>
      </c>
      <c r="E96" s="453" t="s">
        <v>35</v>
      </c>
      <c r="F96" s="453" t="s">
        <v>36</v>
      </c>
      <c r="G96" s="467" t="s">
        <v>37</v>
      </c>
      <c r="H96" s="467" t="s">
        <v>38</v>
      </c>
      <c r="I96" s="451" t="s">
        <v>39</v>
      </c>
    </row>
    <row r="97" spans="1:9">
      <c r="A97" s="756" t="s">
        <v>41</v>
      </c>
      <c r="B97" s="757"/>
      <c r="C97" s="757"/>
      <c r="D97" s="757"/>
      <c r="E97" s="757"/>
      <c r="F97" s="757"/>
      <c r="G97" s="757"/>
      <c r="H97" s="757"/>
      <c r="I97" s="758"/>
    </row>
    <row r="98" spans="1:9">
      <c r="A98" s="450" t="s">
        <v>716</v>
      </c>
      <c r="B98" s="450"/>
      <c r="C98" s="451" t="s">
        <v>34</v>
      </c>
      <c r="D98" s="452" t="s">
        <v>814</v>
      </c>
      <c r="E98" s="452"/>
      <c r="F98" s="452"/>
      <c r="G98" s="452"/>
      <c r="H98" s="451" t="s">
        <v>42</v>
      </c>
      <c r="I98" s="451" t="s">
        <v>39</v>
      </c>
    </row>
    <row r="99" spans="1:9">
      <c r="A99" s="446"/>
      <c r="B99" s="446"/>
      <c r="C99" s="451"/>
      <c r="D99" s="452"/>
      <c r="E99" s="452"/>
      <c r="F99" s="452"/>
      <c r="G99" s="452"/>
      <c r="H99" s="451"/>
      <c r="I99" s="451"/>
    </row>
    <row r="100" spans="1:9">
      <c r="A100" s="446"/>
      <c r="B100" s="446"/>
      <c r="C100" s="451"/>
      <c r="D100" s="452"/>
      <c r="E100" s="452"/>
      <c r="F100" s="452"/>
      <c r="G100" s="452"/>
      <c r="H100" s="451"/>
      <c r="I100" s="451"/>
    </row>
    <row r="101" spans="1:9">
      <c r="A101" s="446"/>
      <c r="B101" s="446"/>
      <c r="C101" s="451"/>
      <c r="D101" s="452"/>
      <c r="E101" s="452"/>
      <c r="F101" s="452"/>
      <c r="G101" s="452"/>
      <c r="H101" s="451"/>
      <c r="I101" s="451"/>
    </row>
    <row r="102" spans="1:9">
      <c r="A102" s="446"/>
      <c r="B102" s="446"/>
      <c r="C102" s="451"/>
      <c r="D102" s="452"/>
      <c r="E102" s="452"/>
      <c r="F102" s="452"/>
      <c r="G102" s="452"/>
      <c r="H102" s="451"/>
      <c r="I102" s="451"/>
    </row>
    <row r="103" spans="1:9">
      <c r="A103" s="476"/>
      <c r="B103" s="476"/>
      <c r="C103" s="451"/>
      <c r="D103" s="465"/>
      <c r="E103" s="452"/>
      <c r="F103" s="452"/>
      <c r="G103" s="452"/>
      <c r="H103" s="462"/>
      <c r="I103" s="442"/>
    </row>
    <row r="104" spans="1:9">
      <c r="A104" s="762" t="s">
        <v>40</v>
      </c>
      <c r="B104" s="762"/>
      <c r="C104" s="762"/>
      <c r="D104" s="762"/>
      <c r="E104" s="762"/>
      <c r="F104" s="762"/>
      <c r="G104" s="762"/>
      <c r="H104" s="762"/>
      <c r="I104" s="461">
        <f>SUM(I103)</f>
        <v>0</v>
      </c>
    </row>
    <row r="105" spans="1:9">
      <c r="A105" s="756" t="s">
        <v>43</v>
      </c>
      <c r="B105" s="757"/>
      <c r="C105" s="757"/>
      <c r="D105" s="757"/>
      <c r="E105" s="757"/>
      <c r="F105" s="757"/>
      <c r="G105" s="757"/>
      <c r="H105" s="757"/>
      <c r="I105" s="758"/>
    </row>
    <row r="106" spans="1:9">
      <c r="A106" s="451" t="s">
        <v>716</v>
      </c>
      <c r="B106" s="451"/>
      <c r="C106" s="570" t="s">
        <v>34</v>
      </c>
      <c r="D106" s="570" t="s">
        <v>814</v>
      </c>
      <c r="E106" s="570"/>
      <c r="F106" s="570"/>
      <c r="G106" s="570"/>
      <c r="H106" s="451" t="s">
        <v>42</v>
      </c>
      <c r="I106" s="462" t="s">
        <v>39</v>
      </c>
    </row>
    <row r="107" spans="1:9">
      <c r="C107" s="451"/>
      <c r="D107" s="465"/>
      <c r="E107" s="570"/>
      <c r="F107" s="570"/>
      <c r="G107" s="570"/>
      <c r="H107" s="462"/>
      <c r="I107" s="461"/>
    </row>
    <row r="108" spans="1:9">
      <c r="A108" s="478" t="s">
        <v>970</v>
      </c>
      <c r="B108" s="478"/>
      <c r="C108" s="451" t="s">
        <v>968</v>
      </c>
      <c r="D108" s="465">
        <v>10</v>
      </c>
      <c r="E108" s="570"/>
      <c r="F108" s="570"/>
      <c r="G108" s="570"/>
      <c r="H108" s="462">
        <v>250</v>
      </c>
      <c r="I108" s="461">
        <f>H108*D108</f>
        <v>2500</v>
      </c>
    </row>
    <row r="109" spans="1:9" ht="25.5">
      <c r="A109" s="477" t="s">
        <v>956</v>
      </c>
      <c r="B109" s="477"/>
      <c r="C109" s="451" t="s">
        <v>250</v>
      </c>
      <c r="D109" s="465">
        <v>10</v>
      </c>
      <c r="E109" s="570"/>
      <c r="F109" s="570"/>
      <c r="G109" s="570"/>
      <c r="H109" s="462">
        <v>205.24</v>
      </c>
      <c r="I109" s="461">
        <f t="shared" ref="I109:I111" si="1">H109*D109</f>
        <v>2052.4</v>
      </c>
    </row>
    <row r="110" spans="1:9">
      <c r="A110" s="535" t="s">
        <v>954</v>
      </c>
      <c r="B110" s="535"/>
      <c r="C110" s="451" t="s">
        <v>968</v>
      </c>
      <c r="D110" s="465">
        <v>10</v>
      </c>
      <c r="E110" s="570"/>
      <c r="F110" s="570"/>
      <c r="G110" s="570"/>
      <c r="H110" s="462">
        <v>14.48</v>
      </c>
      <c r="I110" s="461">
        <f t="shared" si="1"/>
        <v>144.80000000000001</v>
      </c>
    </row>
    <row r="111" spans="1:9">
      <c r="A111" s="534" t="s">
        <v>955</v>
      </c>
      <c r="B111" s="534"/>
      <c r="C111" s="451" t="s">
        <v>968</v>
      </c>
      <c r="D111" s="465">
        <v>10</v>
      </c>
      <c r="E111" s="570"/>
      <c r="F111" s="570"/>
      <c r="G111" s="570"/>
      <c r="H111" s="471">
        <v>40.54</v>
      </c>
      <c r="I111" s="461">
        <f t="shared" si="1"/>
        <v>405.4</v>
      </c>
    </row>
    <row r="112" spans="1:9">
      <c r="A112" s="762"/>
      <c r="B112" s="762"/>
      <c r="C112" s="762"/>
      <c r="D112" s="762"/>
      <c r="E112" s="762"/>
      <c r="F112" s="762"/>
      <c r="G112" s="762"/>
      <c r="H112" s="762"/>
      <c r="I112" s="461">
        <f>SUM(I107:I111)</f>
        <v>5102.5999999999995</v>
      </c>
    </row>
    <row r="113" spans="1:9">
      <c r="A113" s="756" t="s">
        <v>44</v>
      </c>
      <c r="B113" s="757"/>
      <c r="C113" s="757"/>
      <c r="D113" s="757"/>
      <c r="E113" s="757"/>
      <c r="F113" s="757"/>
      <c r="G113" s="757"/>
      <c r="H113" s="757"/>
      <c r="I113" s="758"/>
    </row>
    <row r="114" spans="1:9">
      <c r="A114" s="450" t="s">
        <v>716</v>
      </c>
      <c r="B114" s="450"/>
      <c r="C114" s="451" t="s">
        <v>34</v>
      </c>
      <c r="D114" s="452" t="s">
        <v>814</v>
      </c>
      <c r="E114" s="452"/>
      <c r="F114" s="452"/>
      <c r="G114" s="452"/>
      <c r="H114" s="451" t="s">
        <v>42</v>
      </c>
      <c r="I114" s="451" t="s">
        <v>39</v>
      </c>
    </row>
    <row r="115" spans="1:9">
      <c r="A115" s="446" t="s">
        <v>973</v>
      </c>
      <c r="B115" s="446"/>
      <c r="C115" s="451" t="s">
        <v>926</v>
      </c>
      <c r="D115" s="452">
        <v>10</v>
      </c>
      <c r="E115" s="452"/>
      <c r="F115" s="452"/>
      <c r="G115" s="452"/>
      <c r="H115" s="462">
        <v>15.87</v>
      </c>
      <c r="I115" s="587">
        <f>H115*D115</f>
        <v>158.69999999999999</v>
      </c>
    </row>
    <row r="116" spans="1:9">
      <c r="A116" s="446" t="s">
        <v>974</v>
      </c>
      <c r="B116" s="446"/>
      <c r="C116" s="451" t="s">
        <v>926</v>
      </c>
      <c r="D116" s="452">
        <v>20</v>
      </c>
      <c r="E116" s="452"/>
      <c r="F116" s="452"/>
      <c r="G116" s="452"/>
      <c r="H116" s="462">
        <v>21.65</v>
      </c>
      <c r="I116" s="587">
        <f>H116*D116</f>
        <v>433</v>
      </c>
    </row>
    <row r="117" spans="1:9">
      <c r="A117" s="446" t="s">
        <v>975</v>
      </c>
      <c r="B117" s="446"/>
      <c r="C117" s="451" t="s">
        <v>926</v>
      </c>
      <c r="D117" s="465">
        <v>20</v>
      </c>
      <c r="E117" s="452"/>
      <c r="F117" s="452"/>
      <c r="G117" s="452"/>
      <c r="H117" s="462">
        <v>17.239999999999998</v>
      </c>
      <c r="I117" s="442">
        <f>H117*D117</f>
        <v>344.79999999999995</v>
      </c>
    </row>
    <row r="118" spans="1:9">
      <c r="A118" s="479" t="s">
        <v>976</v>
      </c>
      <c r="B118" s="479"/>
      <c r="C118" s="454" t="s">
        <v>926</v>
      </c>
      <c r="D118" s="480">
        <v>20</v>
      </c>
      <c r="E118" s="452"/>
      <c r="F118" s="452"/>
      <c r="G118" s="452"/>
      <c r="H118" s="471">
        <v>11.67</v>
      </c>
      <c r="I118" s="442">
        <f>H118*D118</f>
        <v>233.4</v>
      </c>
    </row>
    <row r="119" spans="1:9">
      <c r="A119" s="763" t="s">
        <v>40</v>
      </c>
      <c r="B119" s="764"/>
      <c r="C119" s="764"/>
      <c r="D119" s="764"/>
      <c r="E119" s="764"/>
      <c r="F119" s="764"/>
      <c r="G119" s="764"/>
      <c r="H119" s="765"/>
      <c r="I119" s="458">
        <f>SUM(I117:I118)</f>
        <v>578.19999999999993</v>
      </c>
    </row>
    <row r="120" spans="1:9">
      <c r="A120" s="571" t="s">
        <v>45</v>
      </c>
      <c r="B120" s="602"/>
      <c r="C120" s="463">
        <v>1</v>
      </c>
      <c r="D120" s="763" t="s">
        <v>46</v>
      </c>
      <c r="E120" s="764"/>
      <c r="F120" s="764"/>
      <c r="G120" s="764"/>
      <c r="H120" s="765"/>
      <c r="I120" s="458">
        <f>I119+I112+I104</f>
        <v>5680.7999999999993</v>
      </c>
    </row>
    <row r="121" spans="1:9">
      <c r="A121" s="745" t="s">
        <v>924</v>
      </c>
      <c r="B121" s="746"/>
      <c r="C121" s="747"/>
      <c r="D121" s="747"/>
      <c r="E121" s="747"/>
      <c r="F121" s="747"/>
      <c r="G121" s="748"/>
      <c r="H121" s="749"/>
      <c r="I121" s="481">
        <f>I120/C120</f>
        <v>5680.7999999999993</v>
      </c>
    </row>
    <row r="122" spans="1:9">
      <c r="A122" s="750" t="s">
        <v>952</v>
      </c>
      <c r="B122" s="751"/>
      <c r="C122" s="751"/>
      <c r="D122" s="751"/>
      <c r="E122" s="751"/>
      <c r="F122" s="751"/>
      <c r="G122" s="751"/>
      <c r="H122" s="752"/>
      <c r="I122" s="461">
        <v>1</v>
      </c>
    </row>
    <row r="123" spans="1:9">
      <c r="A123" s="753" t="s">
        <v>48</v>
      </c>
      <c r="B123" s="754"/>
      <c r="C123" s="754"/>
      <c r="D123" s="754"/>
      <c r="E123" s="754"/>
      <c r="F123" s="754"/>
      <c r="G123" s="754"/>
      <c r="H123" s="755"/>
      <c r="I123" s="461">
        <f>I122*I121</f>
        <v>5680.7999999999993</v>
      </c>
    </row>
    <row r="124" spans="1:9" ht="15.75">
      <c r="A124" s="466" t="s">
        <v>29</v>
      </c>
      <c r="B124" s="612"/>
      <c r="C124" s="766" t="s">
        <v>30</v>
      </c>
      <c r="D124" s="767"/>
      <c r="E124" s="767"/>
      <c r="F124" s="767"/>
      <c r="G124" s="767"/>
      <c r="H124" s="767"/>
      <c r="I124" s="768"/>
    </row>
    <row r="125" spans="1:9">
      <c r="A125" s="474" t="s">
        <v>52</v>
      </c>
      <c r="B125" s="613"/>
      <c r="C125" s="443"/>
      <c r="D125" s="578"/>
      <c r="E125" s="443"/>
      <c r="F125" s="445"/>
      <c r="G125" s="445"/>
      <c r="H125" s="446" t="s">
        <v>31</v>
      </c>
      <c r="I125" s="482">
        <v>43365</v>
      </c>
    </row>
    <row r="126" spans="1:9">
      <c r="A126" s="769" t="s">
        <v>1061</v>
      </c>
      <c r="B126" s="770"/>
      <c r="C126" s="770"/>
      <c r="D126" s="770"/>
      <c r="E126" s="770"/>
      <c r="F126" s="770"/>
      <c r="G126" s="771"/>
      <c r="H126" s="448" t="s">
        <v>32</v>
      </c>
      <c r="I126" s="449" t="s">
        <v>860</v>
      </c>
    </row>
    <row r="127" spans="1:9">
      <c r="A127" s="756" t="s">
        <v>33</v>
      </c>
      <c r="B127" s="757"/>
      <c r="C127" s="757"/>
      <c r="D127" s="757"/>
      <c r="E127" s="757"/>
      <c r="F127" s="757"/>
      <c r="G127" s="757"/>
      <c r="H127" s="757"/>
      <c r="I127" s="758"/>
    </row>
    <row r="128" spans="1:9">
      <c r="A128" s="450" t="s">
        <v>716</v>
      </c>
      <c r="B128" s="450"/>
      <c r="C128" s="451" t="s">
        <v>34</v>
      </c>
      <c r="D128" s="452" t="s">
        <v>814</v>
      </c>
      <c r="E128" s="453" t="s">
        <v>35</v>
      </c>
      <c r="F128" s="453" t="s">
        <v>36</v>
      </c>
      <c r="G128" s="467" t="s">
        <v>37</v>
      </c>
      <c r="H128" s="467" t="s">
        <v>38</v>
      </c>
      <c r="I128" s="451" t="s">
        <v>39</v>
      </c>
    </row>
    <row r="129" spans="1:9">
      <c r="A129" s="576"/>
      <c r="B129" s="601"/>
      <c r="C129" s="451" t="s">
        <v>926</v>
      </c>
      <c r="D129" s="452"/>
      <c r="E129" s="469"/>
      <c r="F129" s="469"/>
      <c r="G129" s="467"/>
      <c r="H129" s="467"/>
      <c r="I129" s="442">
        <f>D129*H129</f>
        <v>0</v>
      </c>
    </row>
    <row r="130" spans="1:9">
      <c r="A130" s="759" t="s">
        <v>40</v>
      </c>
      <c r="B130" s="760"/>
      <c r="C130" s="760"/>
      <c r="D130" s="760"/>
      <c r="E130" s="760"/>
      <c r="F130" s="760"/>
      <c r="G130" s="760"/>
      <c r="H130" s="761"/>
      <c r="I130" s="458">
        <f>SUM(I129)</f>
        <v>0</v>
      </c>
    </row>
    <row r="131" spans="1:9">
      <c r="A131" s="756" t="s">
        <v>41</v>
      </c>
      <c r="B131" s="757"/>
      <c r="C131" s="757"/>
      <c r="D131" s="757"/>
      <c r="E131" s="757"/>
      <c r="F131" s="757"/>
      <c r="G131" s="757"/>
      <c r="H131" s="757"/>
      <c r="I131" s="758"/>
    </row>
    <row r="132" spans="1:9">
      <c r="A132" s="450" t="s">
        <v>716</v>
      </c>
      <c r="B132" s="450"/>
      <c r="C132" s="451" t="s">
        <v>34</v>
      </c>
      <c r="D132" s="452" t="s">
        <v>814</v>
      </c>
      <c r="E132" s="452"/>
      <c r="F132" s="452"/>
      <c r="G132" s="452"/>
      <c r="H132" s="451" t="s">
        <v>42</v>
      </c>
      <c r="I132" s="451" t="s">
        <v>39</v>
      </c>
    </row>
    <row r="133" spans="1:9">
      <c r="A133" s="446" t="s">
        <v>1062</v>
      </c>
      <c r="B133" s="446"/>
      <c r="C133" s="451" t="s">
        <v>1066</v>
      </c>
      <c r="D133" s="452">
        <v>1</v>
      </c>
      <c r="E133" s="452"/>
      <c r="F133" s="452"/>
      <c r="G133" s="452"/>
      <c r="H133" s="462">
        <v>5.57</v>
      </c>
      <c r="I133" s="462">
        <f>H133*D133</f>
        <v>5.57</v>
      </c>
    </row>
    <row r="134" spans="1:9">
      <c r="A134" s="446" t="s">
        <v>1063</v>
      </c>
      <c r="B134" s="446"/>
      <c r="C134" s="451" t="s">
        <v>1066</v>
      </c>
      <c r="D134" s="452">
        <v>1</v>
      </c>
      <c r="E134" s="452"/>
      <c r="F134" s="452"/>
      <c r="G134" s="452"/>
      <c r="H134" s="462">
        <v>15</v>
      </c>
      <c r="I134" s="462">
        <f>H134*D134</f>
        <v>15</v>
      </c>
    </row>
    <row r="135" spans="1:9">
      <c r="A135" s="446"/>
      <c r="B135" s="446"/>
      <c r="C135" s="451"/>
      <c r="D135" s="452"/>
      <c r="E135" s="452"/>
      <c r="F135" s="452"/>
      <c r="G135" s="452"/>
      <c r="H135" s="589"/>
      <c r="I135" s="462"/>
    </row>
    <row r="136" spans="1:9">
      <c r="A136" s="446"/>
      <c r="B136" s="446"/>
      <c r="C136" s="451"/>
      <c r="D136" s="452"/>
      <c r="E136" s="452"/>
      <c r="F136" s="452"/>
      <c r="G136" s="452"/>
      <c r="H136" s="451"/>
      <c r="I136" s="462"/>
    </row>
    <row r="137" spans="1:9">
      <c r="A137" s="476"/>
      <c r="B137" s="476"/>
      <c r="C137" s="451"/>
      <c r="D137" s="465"/>
      <c r="E137" s="452"/>
      <c r="F137" s="452"/>
      <c r="G137" s="452"/>
      <c r="H137" s="462"/>
      <c r="I137" s="442"/>
    </row>
    <row r="138" spans="1:9">
      <c r="A138" s="762" t="s">
        <v>40</v>
      </c>
      <c r="B138" s="762"/>
      <c r="C138" s="762"/>
      <c r="D138" s="762"/>
      <c r="E138" s="762"/>
      <c r="F138" s="762"/>
      <c r="G138" s="762"/>
      <c r="H138" s="762"/>
      <c r="I138" s="461">
        <f>SUM(I133:I137)</f>
        <v>20.57</v>
      </c>
    </row>
    <row r="139" spans="1:9">
      <c r="A139" s="756" t="s">
        <v>43</v>
      </c>
      <c r="B139" s="757"/>
      <c r="C139" s="757"/>
      <c r="D139" s="757"/>
      <c r="E139" s="757"/>
      <c r="F139" s="757"/>
      <c r="G139" s="757"/>
      <c r="H139" s="757"/>
      <c r="I139" s="758"/>
    </row>
    <row r="140" spans="1:9">
      <c r="A140" s="451" t="s">
        <v>716</v>
      </c>
      <c r="B140" s="451"/>
      <c r="C140" s="575" t="s">
        <v>34</v>
      </c>
      <c r="D140" s="575" t="s">
        <v>814</v>
      </c>
      <c r="E140" s="575"/>
      <c r="F140" s="575"/>
      <c r="G140" s="575"/>
      <c r="H140" s="451" t="s">
        <v>42</v>
      </c>
      <c r="I140" s="462" t="s">
        <v>39</v>
      </c>
    </row>
    <row r="141" spans="1:9">
      <c r="A141" s="536" t="s">
        <v>1065</v>
      </c>
      <c r="B141" s="536"/>
      <c r="C141" s="451" t="s">
        <v>1066</v>
      </c>
      <c r="D141" s="465">
        <v>1</v>
      </c>
      <c r="E141" s="575"/>
      <c r="F141" s="575"/>
      <c r="G141" s="575"/>
      <c r="H141" s="462">
        <v>150</v>
      </c>
      <c r="I141" s="461">
        <f>H141*D141</f>
        <v>150</v>
      </c>
    </row>
    <row r="142" spans="1:9">
      <c r="A142" s="478" t="s">
        <v>1064</v>
      </c>
      <c r="B142" s="478"/>
      <c r="C142" s="451" t="s">
        <v>1066</v>
      </c>
      <c r="D142" s="465">
        <v>1</v>
      </c>
      <c r="E142" s="575"/>
      <c r="F142" s="575"/>
      <c r="G142" s="575"/>
      <c r="H142" s="462">
        <v>120</v>
      </c>
      <c r="I142" s="461">
        <f>H142*D142</f>
        <v>120</v>
      </c>
    </row>
    <row r="143" spans="1:9">
      <c r="A143" s="477"/>
      <c r="B143" s="477"/>
      <c r="C143" s="451"/>
      <c r="D143" s="465"/>
      <c r="E143" s="575"/>
      <c r="F143" s="575"/>
      <c r="G143" s="575"/>
      <c r="H143" s="462"/>
      <c r="I143" s="461">
        <f t="shared" ref="I143:I145" si="2">H143*D143</f>
        <v>0</v>
      </c>
    </row>
    <row r="144" spans="1:9">
      <c r="A144" s="535"/>
      <c r="B144" s="535"/>
      <c r="C144" s="451"/>
      <c r="D144" s="465"/>
      <c r="E144" s="575"/>
      <c r="F144" s="575"/>
      <c r="G144" s="575"/>
      <c r="H144" s="462"/>
      <c r="I144" s="461">
        <f t="shared" si="2"/>
        <v>0</v>
      </c>
    </row>
    <row r="145" spans="1:9">
      <c r="A145" s="534"/>
      <c r="B145" s="534"/>
      <c r="C145" s="451"/>
      <c r="D145" s="465"/>
      <c r="E145" s="575"/>
      <c r="F145" s="575"/>
      <c r="G145" s="575"/>
      <c r="H145" s="471"/>
      <c r="I145" s="461">
        <f t="shared" si="2"/>
        <v>0</v>
      </c>
    </row>
    <row r="146" spans="1:9">
      <c r="A146" s="762"/>
      <c r="B146" s="762"/>
      <c r="C146" s="762"/>
      <c r="D146" s="762"/>
      <c r="E146" s="762"/>
      <c r="F146" s="762"/>
      <c r="G146" s="762"/>
      <c r="H146" s="762"/>
      <c r="I146" s="461">
        <f>SUM(I141:I145)</f>
        <v>270</v>
      </c>
    </row>
    <row r="147" spans="1:9">
      <c r="A147" s="756" t="s">
        <v>44</v>
      </c>
      <c r="B147" s="757"/>
      <c r="C147" s="757"/>
      <c r="D147" s="757"/>
      <c r="E147" s="757"/>
      <c r="F147" s="757"/>
      <c r="G147" s="757"/>
      <c r="H147" s="757"/>
      <c r="I147" s="758"/>
    </row>
    <row r="148" spans="1:9">
      <c r="A148" s="450" t="s">
        <v>716</v>
      </c>
      <c r="B148" s="450"/>
      <c r="C148" s="451" t="s">
        <v>34</v>
      </c>
      <c r="D148" s="452" t="s">
        <v>814</v>
      </c>
      <c r="E148" s="452"/>
      <c r="F148" s="452"/>
      <c r="G148" s="452"/>
      <c r="H148" s="451" t="s">
        <v>42</v>
      </c>
      <c r="I148" s="451" t="s">
        <v>39</v>
      </c>
    </row>
    <row r="149" spans="1:9">
      <c r="A149" s="446"/>
      <c r="B149" s="446"/>
      <c r="C149" s="451"/>
      <c r="D149" s="452"/>
      <c r="E149" s="452"/>
      <c r="F149" s="452"/>
      <c r="G149" s="452"/>
      <c r="H149" s="462"/>
      <c r="I149" s="587">
        <f>H149*D149</f>
        <v>0</v>
      </c>
    </row>
    <row r="150" spans="1:9">
      <c r="A150" s="446" t="s">
        <v>974</v>
      </c>
      <c r="B150" s="446"/>
      <c r="C150" s="451" t="s">
        <v>926</v>
      </c>
      <c r="D150" s="452">
        <v>5</v>
      </c>
      <c r="E150" s="452"/>
      <c r="F150" s="452"/>
      <c r="G150" s="452"/>
      <c r="H150" s="462">
        <v>21.65</v>
      </c>
      <c r="I150" s="587">
        <f>H150*D150</f>
        <v>108.25</v>
      </c>
    </row>
    <row r="151" spans="1:9">
      <c r="A151" s="479" t="s">
        <v>976</v>
      </c>
      <c r="B151" s="479"/>
      <c r="C151" s="454" t="s">
        <v>926</v>
      </c>
      <c r="D151" s="480">
        <v>5</v>
      </c>
      <c r="E151" s="452"/>
      <c r="F151" s="452"/>
      <c r="G151" s="452"/>
      <c r="H151" s="471">
        <v>11.67</v>
      </c>
      <c r="I151" s="442">
        <f>H151*D151</f>
        <v>58.35</v>
      </c>
    </row>
    <row r="152" spans="1:9">
      <c r="A152" s="763" t="s">
        <v>40</v>
      </c>
      <c r="B152" s="764"/>
      <c r="C152" s="764"/>
      <c r="D152" s="764"/>
      <c r="E152" s="764"/>
      <c r="F152" s="764"/>
      <c r="G152" s="764"/>
      <c r="H152" s="765"/>
      <c r="I152" s="458">
        <f>SUM(I149:I151)</f>
        <v>166.6</v>
      </c>
    </row>
    <row r="153" spans="1:9">
      <c r="A153" s="577" t="s">
        <v>45</v>
      </c>
      <c r="B153" s="602"/>
      <c r="C153" s="463">
        <v>1</v>
      </c>
      <c r="D153" s="763" t="s">
        <v>46</v>
      </c>
      <c r="E153" s="764"/>
      <c r="F153" s="764"/>
      <c r="G153" s="764"/>
      <c r="H153" s="765"/>
      <c r="I153" s="458">
        <f>I152+I146+I138+I130</f>
        <v>457.17</v>
      </c>
    </row>
    <row r="154" spans="1:9">
      <c r="A154" s="745" t="s">
        <v>924</v>
      </c>
      <c r="B154" s="746"/>
      <c r="C154" s="747"/>
      <c r="D154" s="747"/>
      <c r="E154" s="747"/>
      <c r="F154" s="747"/>
      <c r="G154" s="748"/>
      <c r="H154" s="749"/>
      <c r="I154" s="481">
        <f>I153/C153</f>
        <v>457.17</v>
      </c>
    </row>
    <row r="155" spans="1:9">
      <c r="A155" s="750" t="s">
        <v>952</v>
      </c>
      <c r="B155" s="751"/>
      <c r="C155" s="751"/>
      <c r="D155" s="751"/>
      <c r="E155" s="751"/>
      <c r="F155" s="751"/>
      <c r="G155" s="751"/>
      <c r="H155" s="752"/>
      <c r="I155" s="461">
        <v>1</v>
      </c>
    </row>
    <row r="156" spans="1:9">
      <c r="A156" s="753" t="s">
        <v>48</v>
      </c>
      <c r="B156" s="754"/>
      <c r="C156" s="754"/>
      <c r="D156" s="754"/>
      <c r="E156" s="754"/>
      <c r="F156" s="754"/>
      <c r="G156" s="754"/>
      <c r="H156" s="755"/>
      <c r="I156" s="461">
        <f>I155*I154</f>
        <v>457.17</v>
      </c>
    </row>
    <row r="157" spans="1:9" ht="15.75">
      <c r="A157" s="466" t="s">
        <v>29</v>
      </c>
      <c r="B157" s="612"/>
      <c r="C157" s="766" t="s">
        <v>30</v>
      </c>
      <c r="D157" s="767"/>
      <c r="E157" s="767"/>
      <c r="F157" s="767"/>
      <c r="G157" s="767"/>
      <c r="H157" s="767"/>
      <c r="I157" s="768"/>
    </row>
    <row r="158" spans="1:9">
      <c r="A158" s="474" t="s">
        <v>52</v>
      </c>
      <c r="B158" s="613"/>
      <c r="C158" s="443"/>
      <c r="D158" s="578"/>
      <c r="E158" s="443"/>
      <c r="F158" s="445"/>
      <c r="G158" s="445"/>
      <c r="H158" s="446" t="s">
        <v>31</v>
      </c>
      <c r="I158" s="482">
        <v>43365</v>
      </c>
    </row>
    <row r="159" spans="1:9">
      <c r="A159" s="769" t="s">
        <v>1067</v>
      </c>
      <c r="B159" s="770"/>
      <c r="C159" s="770"/>
      <c r="D159" s="770"/>
      <c r="E159" s="770"/>
      <c r="F159" s="770"/>
      <c r="G159" s="771"/>
      <c r="H159" s="448" t="s">
        <v>32</v>
      </c>
      <c r="I159" s="449" t="s">
        <v>860</v>
      </c>
    </row>
    <row r="160" spans="1:9">
      <c r="A160" s="756" t="s">
        <v>33</v>
      </c>
      <c r="B160" s="757"/>
      <c r="C160" s="757"/>
      <c r="D160" s="757"/>
      <c r="E160" s="757"/>
      <c r="F160" s="757"/>
      <c r="G160" s="757"/>
      <c r="H160" s="757"/>
      <c r="I160" s="758"/>
    </row>
    <row r="161" spans="1:9">
      <c r="A161" s="450" t="s">
        <v>716</v>
      </c>
      <c r="B161" s="450"/>
      <c r="C161" s="451" t="s">
        <v>34</v>
      </c>
      <c r="D161" s="452" t="s">
        <v>814</v>
      </c>
      <c r="E161" s="453" t="s">
        <v>35</v>
      </c>
      <c r="F161" s="453" t="s">
        <v>36</v>
      </c>
      <c r="G161" s="467" t="s">
        <v>37</v>
      </c>
      <c r="H161" s="467" t="s">
        <v>38</v>
      </c>
      <c r="I161" s="451" t="s">
        <v>39</v>
      </c>
    </row>
    <row r="162" spans="1:9">
      <c r="A162" s="576"/>
      <c r="B162" s="601"/>
      <c r="C162" s="451" t="s">
        <v>926</v>
      </c>
      <c r="D162" s="452"/>
      <c r="E162" s="469"/>
      <c r="F162" s="469"/>
      <c r="G162" s="467"/>
      <c r="H162" s="467"/>
      <c r="I162" s="442">
        <f>D162*H162</f>
        <v>0</v>
      </c>
    </row>
    <row r="163" spans="1:9">
      <c r="A163" s="759" t="s">
        <v>40</v>
      </c>
      <c r="B163" s="760"/>
      <c r="C163" s="760"/>
      <c r="D163" s="760"/>
      <c r="E163" s="760"/>
      <c r="F163" s="760"/>
      <c r="G163" s="760"/>
      <c r="H163" s="761"/>
      <c r="I163" s="458">
        <f>SUM(I162)</f>
        <v>0</v>
      </c>
    </row>
    <row r="164" spans="1:9">
      <c r="A164" s="756" t="s">
        <v>41</v>
      </c>
      <c r="B164" s="757"/>
      <c r="C164" s="757"/>
      <c r="D164" s="757"/>
      <c r="E164" s="757"/>
      <c r="F164" s="757"/>
      <c r="G164" s="757"/>
      <c r="H164" s="757"/>
      <c r="I164" s="758"/>
    </row>
    <row r="165" spans="1:9">
      <c r="A165" s="450" t="s">
        <v>716</v>
      </c>
      <c r="B165" s="450"/>
      <c r="C165" s="451" t="s">
        <v>34</v>
      </c>
      <c r="D165" s="452" t="s">
        <v>814</v>
      </c>
      <c r="E165" s="452"/>
      <c r="F165" s="452"/>
      <c r="G165" s="452"/>
      <c r="H165" s="451" t="s">
        <v>42</v>
      </c>
      <c r="I165" s="451" t="s">
        <v>39</v>
      </c>
    </row>
    <row r="166" spans="1:9">
      <c r="A166" s="446" t="s">
        <v>1068</v>
      </c>
      <c r="B166" s="446"/>
      <c r="C166" s="451" t="s">
        <v>1066</v>
      </c>
      <c r="D166" s="452">
        <v>1</v>
      </c>
      <c r="E166" s="452"/>
      <c r="F166" s="452"/>
      <c r="G166" s="452"/>
      <c r="H166" s="462">
        <v>250</v>
      </c>
      <c r="I166" s="462">
        <f>H166*D166</f>
        <v>250</v>
      </c>
    </row>
    <row r="167" spans="1:9">
      <c r="A167" s="446" t="s">
        <v>1069</v>
      </c>
      <c r="B167" s="446"/>
      <c r="C167" s="451" t="s">
        <v>1066</v>
      </c>
      <c r="D167" s="452">
        <v>1</v>
      </c>
      <c r="E167" s="452"/>
      <c r="F167" s="452"/>
      <c r="G167" s="452"/>
      <c r="H167" s="462">
        <v>1800</v>
      </c>
      <c r="I167" s="462">
        <f>H167*D167</f>
        <v>1800</v>
      </c>
    </row>
    <row r="168" spans="1:9">
      <c r="A168" s="446" t="s">
        <v>1070</v>
      </c>
      <c r="B168" s="446"/>
      <c r="C168" s="451" t="s">
        <v>1066</v>
      </c>
      <c r="D168" s="452">
        <v>1</v>
      </c>
      <c r="E168" s="452"/>
      <c r="F168" s="452"/>
      <c r="G168" s="452"/>
      <c r="H168" s="589">
        <v>300</v>
      </c>
      <c r="I168" s="462">
        <f t="shared" ref="I168:I170" si="3">H168*D168</f>
        <v>300</v>
      </c>
    </row>
    <row r="169" spans="1:9">
      <c r="A169" s="446" t="s">
        <v>1071</v>
      </c>
      <c r="B169" s="446"/>
      <c r="C169" s="451" t="s">
        <v>1066</v>
      </c>
      <c r="D169" s="452">
        <v>1</v>
      </c>
      <c r="E169" s="452"/>
      <c r="F169" s="452"/>
      <c r="G169" s="452"/>
      <c r="H169" s="451">
        <v>30</v>
      </c>
      <c r="I169" s="462">
        <f t="shared" si="3"/>
        <v>30</v>
      </c>
    </row>
    <row r="170" spans="1:9">
      <c r="A170" s="476" t="s">
        <v>1072</v>
      </c>
      <c r="B170" s="476"/>
      <c r="C170" s="451" t="s">
        <v>984</v>
      </c>
      <c r="D170" s="465">
        <v>0.5</v>
      </c>
      <c r="E170" s="452"/>
      <c r="F170" s="452"/>
      <c r="G170" s="452"/>
      <c r="H170" s="462">
        <v>40</v>
      </c>
      <c r="I170" s="462">
        <f t="shared" si="3"/>
        <v>20</v>
      </c>
    </row>
    <row r="171" spans="1:9">
      <c r="A171" s="762" t="s">
        <v>40</v>
      </c>
      <c r="B171" s="762"/>
      <c r="C171" s="762"/>
      <c r="D171" s="762"/>
      <c r="E171" s="762"/>
      <c r="F171" s="762"/>
      <c r="G171" s="762"/>
      <c r="H171" s="762"/>
      <c r="I171" s="461">
        <f>SUM(I166:I170)</f>
        <v>2400</v>
      </c>
    </row>
    <row r="172" spans="1:9">
      <c r="A172" s="756" t="s">
        <v>43</v>
      </c>
      <c r="B172" s="757"/>
      <c r="C172" s="757"/>
      <c r="D172" s="757"/>
      <c r="E172" s="757"/>
      <c r="F172" s="757"/>
      <c r="G172" s="757"/>
      <c r="H172" s="757"/>
      <c r="I172" s="758"/>
    </row>
    <row r="173" spans="1:9">
      <c r="A173" s="451" t="s">
        <v>716</v>
      </c>
      <c r="B173" s="451"/>
      <c r="C173" s="575" t="s">
        <v>34</v>
      </c>
      <c r="D173" s="575" t="s">
        <v>814</v>
      </c>
      <c r="E173" s="575"/>
      <c r="F173" s="575"/>
      <c r="G173" s="575"/>
      <c r="H173" s="451" t="s">
        <v>42</v>
      </c>
      <c r="I173" s="462" t="s">
        <v>39</v>
      </c>
    </row>
    <row r="174" spans="1:9">
      <c r="A174" s="536" t="s">
        <v>1065</v>
      </c>
      <c r="B174" s="536"/>
      <c r="C174" s="451" t="s">
        <v>1066</v>
      </c>
      <c r="D174" s="465">
        <v>1</v>
      </c>
      <c r="E174" s="575"/>
      <c r="F174" s="575"/>
      <c r="G174" s="575"/>
      <c r="H174" s="462">
        <v>150</v>
      </c>
      <c r="I174" s="461">
        <f>H174*D174</f>
        <v>150</v>
      </c>
    </row>
    <row r="175" spans="1:9">
      <c r="A175" s="478" t="s">
        <v>1064</v>
      </c>
      <c r="B175" s="478"/>
      <c r="C175" s="451" t="s">
        <v>1066</v>
      </c>
      <c r="D175" s="465">
        <v>1</v>
      </c>
      <c r="E175" s="575"/>
      <c r="F175" s="575"/>
      <c r="G175" s="575"/>
      <c r="H175" s="462">
        <v>120</v>
      </c>
      <c r="I175" s="461">
        <f>H175*D175</f>
        <v>120</v>
      </c>
    </row>
    <row r="176" spans="1:9">
      <c r="A176" s="477"/>
      <c r="B176" s="477"/>
      <c r="C176" s="451"/>
      <c r="D176" s="465"/>
      <c r="E176" s="575"/>
      <c r="F176" s="575"/>
      <c r="G176" s="575"/>
      <c r="H176" s="462"/>
      <c r="I176" s="461">
        <f t="shared" ref="I176:I178" si="4">H176*D176</f>
        <v>0</v>
      </c>
    </row>
    <row r="177" spans="1:9">
      <c r="A177" s="535"/>
      <c r="B177" s="535"/>
      <c r="C177" s="451"/>
      <c r="D177" s="465"/>
      <c r="E177" s="575"/>
      <c r="F177" s="575"/>
      <c r="G177" s="575"/>
      <c r="H177" s="462"/>
      <c r="I177" s="461">
        <f t="shared" si="4"/>
        <v>0</v>
      </c>
    </row>
    <row r="178" spans="1:9">
      <c r="A178" s="534"/>
      <c r="B178" s="534"/>
      <c r="C178" s="451"/>
      <c r="D178" s="465"/>
      <c r="E178" s="575"/>
      <c r="F178" s="575"/>
      <c r="G178" s="575"/>
      <c r="H178" s="471"/>
      <c r="I178" s="461">
        <f t="shared" si="4"/>
        <v>0</v>
      </c>
    </row>
    <row r="179" spans="1:9">
      <c r="A179" s="762"/>
      <c r="B179" s="762"/>
      <c r="C179" s="762"/>
      <c r="D179" s="762"/>
      <c r="E179" s="762"/>
      <c r="F179" s="762"/>
      <c r="G179" s="762"/>
      <c r="H179" s="762"/>
      <c r="I179" s="461">
        <f>SUM(I174:I178)</f>
        <v>270</v>
      </c>
    </row>
    <row r="180" spans="1:9">
      <c r="A180" s="756" t="s">
        <v>44</v>
      </c>
      <c r="B180" s="757"/>
      <c r="C180" s="757"/>
      <c r="D180" s="757"/>
      <c r="E180" s="757"/>
      <c r="F180" s="757"/>
      <c r="G180" s="757"/>
      <c r="H180" s="757"/>
      <c r="I180" s="758"/>
    </row>
    <row r="181" spans="1:9">
      <c r="A181" s="450" t="s">
        <v>716</v>
      </c>
      <c r="B181" s="450"/>
      <c r="C181" s="451" t="s">
        <v>34</v>
      </c>
      <c r="D181" s="452" t="s">
        <v>814</v>
      </c>
      <c r="E181" s="452"/>
      <c r="F181" s="452"/>
      <c r="G181" s="452"/>
      <c r="H181" s="451" t="s">
        <v>42</v>
      </c>
      <c r="I181" s="451" t="s">
        <v>39</v>
      </c>
    </row>
    <row r="182" spans="1:9">
      <c r="A182" s="446"/>
      <c r="B182" s="446"/>
      <c r="C182" s="451"/>
      <c r="D182" s="452"/>
      <c r="E182" s="452"/>
      <c r="F182" s="452"/>
      <c r="G182" s="452"/>
      <c r="H182" s="462"/>
      <c r="I182" s="587">
        <f>H182*D182</f>
        <v>0</v>
      </c>
    </row>
    <row r="183" spans="1:9">
      <c r="A183" s="446" t="s">
        <v>974</v>
      </c>
      <c r="B183" s="446"/>
      <c r="C183" s="451" t="s">
        <v>926</v>
      </c>
      <c r="D183" s="452">
        <v>5</v>
      </c>
      <c r="E183" s="452"/>
      <c r="F183" s="452"/>
      <c r="G183" s="452"/>
      <c r="H183" s="462">
        <v>21.65</v>
      </c>
      <c r="I183" s="587">
        <f>H183*D183</f>
        <v>108.25</v>
      </c>
    </row>
    <row r="184" spans="1:9">
      <c r="A184" s="479" t="s">
        <v>976</v>
      </c>
      <c r="B184" s="479"/>
      <c r="C184" s="454" t="s">
        <v>926</v>
      </c>
      <c r="D184" s="480">
        <v>5</v>
      </c>
      <c r="E184" s="452"/>
      <c r="F184" s="452"/>
      <c r="G184" s="452"/>
      <c r="H184" s="471">
        <v>11.67</v>
      </c>
      <c r="I184" s="442">
        <f>H184*D184</f>
        <v>58.35</v>
      </c>
    </row>
    <row r="185" spans="1:9">
      <c r="A185" s="763" t="s">
        <v>40</v>
      </c>
      <c r="B185" s="764"/>
      <c r="C185" s="764"/>
      <c r="D185" s="764"/>
      <c r="E185" s="764"/>
      <c r="F185" s="764"/>
      <c r="G185" s="764"/>
      <c r="H185" s="765"/>
      <c r="I185" s="458">
        <f>SUM(I182:I184)</f>
        <v>166.6</v>
      </c>
    </row>
    <row r="186" spans="1:9">
      <c r="A186" s="577" t="s">
        <v>45</v>
      </c>
      <c r="B186" s="602"/>
      <c r="C186" s="463">
        <v>1</v>
      </c>
      <c r="D186" s="763" t="s">
        <v>46</v>
      </c>
      <c r="E186" s="764"/>
      <c r="F186" s="764"/>
      <c r="G186" s="764"/>
      <c r="H186" s="765"/>
      <c r="I186" s="458">
        <f>I185+I179+I171+I163</f>
        <v>2836.6</v>
      </c>
    </row>
    <row r="187" spans="1:9">
      <c r="A187" s="745" t="s">
        <v>924</v>
      </c>
      <c r="B187" s="746"/>
      <c r="C187" s="747"/>
      <c r="D187" s="747"/>
      <c r="E187" s="747"/>
      <c r="F187" s="747"/>
      <c r="G187" s="748"/>
      <c r="H187" s="749"/>
      <c r="I187" s="481">
        <f>I186/C186</f>
        <v>2836.6</v>
      </c>
    </row>
    <row r="188" spans="1:9">
      <c r="A188" s="750" t="s">
        <v>952</v>
      </c>
      <c r="B188" s="751"/>
      <c r="C188" s="751"/>
      <c r="D188" s="751"/>
      <c r="E188" s="751"/>
      <c r="F188" s="751"/>
      <c r="G188" s="751"/>
      <c r="H188" s="752"/>
      <c r="I188" s="461">
        <v>1</v>
      </c>
    </row>
    <row r="189" spans="1:9">
      <c r="A189" s="753" t="s">
        <v>48</v>
      </c>
      <c r="B189" s="754"/>
      <c r="C189" s="754"/>
      <c r="D189" s="754"/>
      <c r="E189" s="754"/>
      <c r="F189" s="754"/>
      <c r="G189" s="754"/>
      <c r="H189" s="755"/>
      <c r="I189" s="461">
        <f>I188*I187</f>
        <v>2836.6</v>
      </c>
    </row>
    <row r="190" spans="1:9" ht="15.75">
      <c r="A190" s="466" t="s">
        <v>29</v>
      </c>
      <c r="B190" s="612"/>
      <c r="C190" s="766" t="s">
        <v>30</v>
      </c>
      <c r="D190" s="767"/>
      <c r="E190" s="767"/>
      <c r="F190" s="767"/>
      <c r="G190" s="767"/>
      <c r="H190" s="767"/>
      <c r="I190" s="768"/>
    </row>
    <row r="191" spans="1:9">
      <c r="A191" s="474" t="s">
        <v>52</v>
      </c>
      <c r="B191" s="613"/>
      <c r="C191" s="443"/>
      <c r="D191" s="578"/>
      <c r="E191" s="443"/>
      <c r="F191" s="445"/>
      <c r="G191" s="445"/>
      <c r="H191" s="446" t="s">
        <v>31</v>
      </c>
      <c r="I191" s="482">
        <v>43365</v>
      </c>
    </row>
    <row r="192" spans="1:9">
      <c r="A192" s="769" t="s">
        <v>1083</v>
      </c>
      <c r="B192" s="770"/>
      <c r="C192" s="770"/>
      <c r="D192" s="770"/>
      <c r="E192" s="770"/>
      <c r="F192" s="770"/>
      <c r="G192" s="771"/>
      <c r="H192" s="448" t="s">
        <v>32</v>
      </c>
      <c r="I192" s="449" t="s">
        <v>860</v>
      </c>
    </row>
    <row r="193" spans="1:9">
      <c r="A193" s="756" t="s">
        <v>33</v>
      </c>
      <c r="B193" s="757"/>
      <c r="C193" s="757"/>
      <c r="D193" s="757"/>
      <c r="E193" s="757"/>
      <c r="F193" s="757"/>
      <c r="G193" s="757"/>
      <c r="H193" s="757"/>
      <c r="I193" s="758"/>
    </row>
    <row r="194" spans="1:9">
      <c r="A194" s="450" t="s">
        <v>716</v>
      </c>
      <c r="B194" s="450"/>
      <c r="C194" s="451" t="s">
        <v>34</v>
      </c>
      <c r="D194" s="452" t="s">
        <v>814</v>
      </c>
      <c r="E194" s="453" t="s">
        <v>35</v>
      </c>
      <c r="F194" s="453" t="s">
        <v>36</v>
      </c>
      <c r="G194" s="467" t="s">
        <v>37</v>
      </c>
      <c r="H194" s="467" t="s">
        <v>38</v>
      </c>
      <c r="I194" s="451" t="s">
        <v>39</v>
      </c>
    </row>
    <row r="195" spans="1:9">
      <c r="A195" s="576"/>
      <c r="B195" s="601"/>
      <c r="C195" s="451" t="s">
        <v>926</v>
      </c>
      <c r="D195" s="452"/>
      <c r="E195" s="469"/>
      <c r="F195" s="469"/>
      <c r="G195" s="467"/>
      <c r="H195" s="467"/>
      <c r="I195" s="442">
        <f>D195*H195</f>
        <v>0</v>
      </c>
    </row>
    <row r="196" spans="1:9">
      <c r="A196" s="759" t="s">
        <v>40</v>
      </c>
      <c r="B196" s="760"/>
      <c r="C196" s="760"/>
      <c r="D196" s="760"/>
      <c r="E196" s="760"/>
      <c r="F196" s="760"/>
      <c r="G196" s="760"/>
      <c r="H196" s="761"/>
      <c r="I196" s="458">
        <f>SUM(I195)</f>
        <v>0</v>
      </c>
    </row>
    <row r="197" spans="1:9">
      <c r="A197" s="756" t="s">
        <v>41</v>
      </c>
      <c r="B197" s="757"/>
      <c r="C197" s="757"/>
      <c r="D197" s="757"/>
      <c r="E197" s="757"/>
      <c r="F197" s="757"/>
      <c r="G197" s="757"/>
      <c r="H197" s="757"/>
      <c r="I197" s="758"/>
    </row>
    <row r="198" spans="1:9">
      <c r="A198" s="450" t="s">
        <v>716</v>
      </c>
      <c r="B198" s="450"/>
      <c r="C198" s="451" t="s">
        <v>34</v>
      </c>
      <c r="D198" s="452" t="s">
        <v>814</v>
      </c>
      <c r="E198" s="452"/>
      <c r="F198" s="452"/>
      <c r="G198" s="452"/>
      <c r="H198" s="451" t="s">
        <v>42</v>
      </c>
      <c r="I198" s="451" t="s">
        <v>39</v>
      </c>
    </row>
    <row r="199" spans="1:9">
      <c r="A199" s="446" t="s">
        <v>1073</v>
      </c>
      <c r="B199" s="446"/>
      <c r="C199" s="451" t="s">
        <v>1066</v>
      </c>
      <c r="D199" s="452">
        <v>1</v>
      </c>
      <c r="E199" s="452"/>
      <c r="F199" s="452"/>
      <c r="G199" s="452"/>
      <c r="H199" s="462">
        <v>1200</v>
      </c>
      <c r="I199" s="462">
        <f>H199*D199</f>
        <v>1200</v>
      </c>
    </row>
    <row r="200" spans="1:9">
      <c r="A200" s="446" t="s">
        <v>1069</v>
      </c>
      <c r="B200" s="446"/>
      <c r="C200" s="451" t="s">
        <v>1066</v>
      </c>
      <c r="D200" s="452">
        <v>1</v>
      </c>
      <c r="E200" s="452"/>
      <c r="F200" s="452"/>
      <c r="G200" s="452"/>
      <c r="H200" s="462">
        <v>3200</v>
      </c>
      <c r="I200" s="462">
        <f>H200*D200</f>
        <v>3200</v>
      </c>
    </row>
    <row r="201" spans="1:9">
      <c r="A201" s="446" t="s">
        <v>1070</v>
      </c>
      <c r="B201" s="446"/>
      <c r="C201" s="451" t="s">
        <v>1066</v>
      </c>
      <c r="D201" s="452">
        <v>1</v>
      </c>
      <c r="E201" s="452"/>
      <c r="F201" s="452"/>
      <c r="G201" s="452"/>
      <c r="H201" s="462">
        <v>1800</v>
      </c>
      <c r="I201" s="462">
        <f t="shared" ref="I201:I203" si="5">H201*D201</f>
        <v>1800</v>
      </c>
    </row>
    <row r="202" spans="1:9">
      <c r="A202" s="446" t="s">
        <v>1071</v>
      </c>
      <c r="B202" s="446"/>
      <c r="C202" s="451" t="s">
        <v>1066</v>
      </c>
      <c r="D202" s="452">
        <v>1</v>
      </c>
      <c r="E202" s="452"/>
      <c r="F202" s="452"/>
      <c r="G202" s="452"/>
      <c r="H202" s="462">
        <v>30</v>
      </c>
      <c r="I202" s="462">
        <f t="shared" si="5"/>
        <v>30</v>
      </c>
    </row>
    <row r="203" spans="1:9">
      <c r="A203" s="476" t="s">
        <v>1072</v>
      </c>
      <c r="B203" s="476"/>
      <c r="C203" s="451" t="s">
        <v>984</v>
      </c>
      <c r="D203" s="465">
        <v>1</v>
      </c>
      <c r="E203" s="452"/>
      <c r="F203" s="452"/>
      <c r="G203" s="452"/>
      <c r="H203" s="462">
        <v>40</v>
      </c>
      <c r="I203" s="462">
        <f t="shared" si="5"/>
        <v>40</v>
      </c>
    </row>
    <row r="204" spans="1:9">
      <c r="A204" s="762" t="s">
        <v>40</v>
      </c>
      <c r="B204" s="762"/>
      <c r="C204" s="762"/>
      <c r="D204" s="762"/>
      <c r="E204" s="762"/>
      <c r="F204" s="762"/>
      <c r="G204" s="762"/>
      <c r="H204" s="762"/>
      <c r="I204" s="461">
        <f>SUM(I199:I203)</f>
        <v>6270</v>
      </c>
    </row>
    <row r="205" spans="1:9">
      <c r="A205" s="756" t="s">
        <v>43</v>
      </c>
      <c r="B205" s="757"/>
      <c r="C205" s="757"/>
      <c r="D205" s="757"/>
      <c r="E205" s="757"/>
      <c r="F205" s="757"/>
      <c r="G205" s="757"/>
      <c r="H205" s="757"/>
      <c r="I205" s="758"/>
    </row>
    <row r="206" spans="1:9">
      <c r="A206" s="451" t="s">
        <v>716</v>
      </c>
      <c r="B206" s="451"/>
      <c r="C206" s="575" t="s">
        <v>34</v>
      </c>
      <c r="D206" s="575" t="s">
        <v>814</v>
      </c>
      <c r="E206" s="575"/>
      <c r="F206" s="575"/>
      <c r="G206" s="575"/>
      <c r="H206" s="451" t="s">
        <v>42</v>
      </c>
      <c r="I206" s="462" t="s">
        <v>39</v>
      </c>
    </row>
    <row r="207" spans="1:9">
      <c r="A207" s="536" t="s">
        <v>1065</v>
      </c>
      <c r="B207" s="536"/>
      <c r="C207" s="451" t="s">
        <v>1066</v>
      </c>
      <c r="D207" s="465">
        <v>1</v>
      </c>
      <c r="E207" s="575"/>
      <c r="F207" s="575"/>
      <c r="G207" s="575"/>
      <c r="H207" s="462">
        <v>300</v>
      </c>
      <c r="I207" s="461">
        <f>H207*D207</f>
        <v>300</v>
      </c>
    </row>
    <row r="208" spans="1:9">
      <c r="A208" s="478" t="s">
        <v>1064</v>
      </c>
      <c r="B208" s="478"/>
      <c r="C208" s="451" t="s">
        <v>1066</v>
      </c>
      <c r="D208" s="465">
        <v>1</v>
      </c>
      <c r="E208" s="575"/>
      <c r="F208" s="575"/>
      <c r="G208" s="575"/>
      <c r="H208" s="462">
        <v>250</v>
      </c>
      <c r="I208" s="461">
        <f>H208*D208</f>
        <v>250</v>
      </c>
    </row>
    <row r="209" spans="1:9">
      <c r="A209" s="576" t="s">
        <v>1074</v>
      </c>
      <c r="B209" s="601"/>
      <c r="C209" s="451" t="s">
        <v>926</v>
      </c>
      <c r="D209" s="452">
        <v>6</v>
      </c>
      <c r="E209" s="469"/>
      <c r="F209" s="469"/>
      <c r="G209" s="467"/>
      <c r="H209" s="467">
        <v>32.840000000000003</v>
      </c>
      <c r="I209" s="461">
        <f t="shared" ref="I209:I211" si="6">H209*D209</f>
        <v>197.04000000000002</v>
      </c>
    </row>
    <row r="210" spans="1:9">
      <c r="A210" s="535" t="s">
        <v>1084</v>
      </c>
      <c r="B210" s="535"/>
      <c r="C210" s="451" t="s">
        <v>926</v>
      </c>
      <c r="D210" s="465">
        <v>4</v>
      </c>
      <c r="E210" s="575"/>
      <c r="F210" s="575"/>
      <c r="G210" s="575"/>
      <c r="H210" s="462">
        <v>108.48</v>
      </c>
      <c r="I210" s="461">
        <f t="shared" si="6"/>
        <v>433.92</v>
      </c>
    </row>
    <row r="211" spans="1:9">
      <c r="A211" s="534"/>
      <c r="B211" s="534"/>
      <c r="C211" s="451"/>
      <c r="D211" s="465"/>
      <c r="E211" s="575"/>
      <c r="F211" s="575"/>
      <c r="G211" s="575"/>
      <c r="H211" s="471"/>
      <c r="I211" s="461">
        <f t="shared" si="6"/>
        <v>0</v>
      </c>
    </row>
    <row r="212" spans="1:9">
      <c r="A212" s="762"/>
      <c r="B212" s="762"/>
      <c r="C212" s="762"/>
      <c r="D212" s="762"/>
      <c r="E212" s="762"/>
      <c r="F212" s="762"/>
      <c r="G212" s="762"/>
      <c r="H212" s="762"/>
      <c r="I212" s="461">
        <f>SUM(I207:I211)</f>
        <v>1180.96</v>
      </c>
    </row>
    <row r="213" spans="1:9">
      <c r="A213" s="756" t="s">
        <v>44</v>
      </c>
      <c r="B213" s="757"/>
      <c r="C213" s="757"/>
      <c r="D213" s="757"/>
      <c r="E213" s="757"/>
      <c r="F213" s="757"/>
      <c r="G213" s="757"/>
      <c r="H213" s="757"/>
      <c r="I213" s="758"/>
    </row>
    <row r="214" spans="1:9">
      <c r="A214" s="450" t="s">
        <v>716</v>
      </c>
      <c r="B214" s="450"/>
      <c r="C214" s="451" t="s">
        <v>34</v>
      </c>
      <c r="D214" s="452" t="s">
        <v>814</v>
      </c>
      <c r="E214" s="452"/>
      <c r="F214" s="452"/>
      <c r="G214" s="452"/>
      <c r="H214" s="451" t="s">
        <v>42</v>
      </c>
      <c r="I214" s="451" t="s">
        <v>39</v>
      </c>
    </row>
    <row r="215" spans="1:9">
      <c r="A215" s="446"/>
      <c r="B215" s="446"/>
      <c r="C215" s="451"/>
      <c r="D215" s="452"/>
      <c r="E215" s="452"/>
      <c r="F215" s="452"/>
      <c r="G215" s="452"/>
      <c r="H215" s="462"/>
      <c r="I215" s="587">
        <f>H215*D215</f>
        <v>0</v>
      </c>
    </row>
    <row r="216" spans="1:9">
      <c r="A216" s="446" t="s">
        <v>974</v>
      </c>
      <c r="B216" s="446"/>
      <c r="C216" s="451" t="s">
        <v>926</v>
      </c>
      <c r="D216" s="452">
        <v>5</v>
      </c>
      <c r="E216" s="452"/>
      <c r="F216" s="452"/>
      <c r="G216" s="452"/>
      <c r="H216" s="462">
        <v>21.65</v>
      </c>
      <c r="I216" s="587">
        <f>H216*D216</f>
        <v>108.25</v>
      </c>
    </row>
    <row r="217" spans="1:9">
      <c r="A217" s="479" t="s">
        <v>976</v>
      </c>
      <c r="B217" s="479"/>
      <c r="C217" s="454" t="s">
        <v>926</v>
      </c>
      <c r="D217" s="480">
        <v>5</v>
      </c>
      <c r="E217" s="452"/>
      <c r="F217" s="452"/>
      <c r="G217" s="452"/>
      <c r="H217" s="471">
        <v>11.67</v>
      </c>
      <c r="I217" s="442">
        <f>H217*D217</f>
        <v>58.35</v>
      </c>
    </row>
    <row r="218" spans="1:9">
      <c r="A218" s="763" t="s">
        <v>40</v>
      </c>
      <c r="B218" s="764"/>
      <c r="C218" s="764"/>
      <c r="D218" s="764"/>
      <c r="E218" s="764"/>
      <c r="F218" s="764"/>
      <c r="G218" s="764"/>
      <c r="H218" s="765"/>
      <c r="I218" s="458">
        <f>SUM(I215:I217)</f>
        <v>166.6</v>
      </c>
    </row>
    <row r="219" spans="1:9">
      <c r="A219" s="577" t="s">
        <v>45</v>
      </c>
      <c r="B219" s="602"/>
      <c r="C219" s="463">
        <v>1</v>
      </c>
      <c r="D219" s="763" t="s">
        <v>46</v>
      </c>
      <c r="E219" s="764"/>
      <c r="F219" s="764"/>
      <c r="G219" s="764"/>
      <c r="H219" s="765"/>
      <c r="I219" s="458">
        <f>I218+I212+I204+I196</f>
        <v>7617.5599999999995</v>
      </c>
    </row>
    <row r="220" spans="1:9">
      <c r="A220" s="745" t="s">
        <v>924</v>
      </c>
      <c r="B220" s="746"/>
      <c r="C220" s="747"/>
      <c r="D220" s="747"/>
      <c r="E220" s="747"/>
      <c r="F220" s="747"/>
      <c r="G220" s="748"/>
      <c r="H220" s="749"/>
      <c r="I220" s="481">
        <f>I219/C219</f>
        <v>7617.5599999999995</v>
      </c>
    </row>
    <row r="221" spans="1:9">
      <c r="A221" s="750" t="s">
        <v>952</v>
      </c>
      <c r="B221" s="751"/>
      <c r="C221" s="751"/>
      <c r="D221" s="751"/>
      <c r="E221" s="751"/>
      <c r="F221" s="751"/>
      <c r="G221" s="751"/>
      <c r="H221" s="752"/>
      <c r="I221" s="461">
        <v>1</v>
      </c>
    </row>
    <row r="222" spans="1:9">
      <c r="A222" s="753" t="s">
        <v>48</v>
      </c>
      <c r="B222" s="754"/>
      <c r="C222" s="754"/>
      <c r="D222" s="754"/>
      <c r="E222" s="754"/>
      <c r="F222" s="754"/>
      <c r="G222" s="754"/>
      <c r="H222" s="755"/>
      <c r="I222" s="461">
        <f>I221*I220</f>
        <v>7617.5599999999995</v>
      </c>
    </row>
    <row r="223" spans="1:9" ht="15.75">
      <c r="A223" s="466" t="s">
        <v>29</v>
      </c>
      <c r="B223" s="612"/>
      <c r="C223" s="766" t="s">
        <v>30</v>
      </c>
      <c r="D223" s="767"/>
      <c r="E223" s="767"/>
      <c r="F223" s="767"/>
      <c r="G223" s="767"/>
      <c r="H223" s="767"/>
      <c r="I223" s="768"/>
    </row>
    <row r="224" spans="1:9">
      <c r="A224" s="474" t="s">
        <v>52</v>
      </c>
      <c r="B224" s="613"/>
      <c r="C224" s="443"/>
      <c r="D224" s="578"/>
      <c r="E224" s="443"/>
      <c r="F224" s="445"/>
      <c r="G224" s="445"/>
      <c r="H224" s="446" t="s">
        <v>31</v>
      </c>
      <c r="I224" s="482">
        <v>43365</v>
      </c>
    </row>
    <row r="225" spans="1:9">
      <c r="A225" s="769" t="s">
        <v>1075</v>
      </c>
      <c r="B225" s="770"/>
      <c r="C225" s="770"/>
      <c r="D225" s="770"/>
      <c r="E225" s="770"/>
      <c r="F225" s="770"/>
      <c r="G225" s="771"/>
      <c r="H225" s="448" t="s">
        <v>32</v>
      </c>
      <c r="I225" s="449" t="s">
        <v>860</v>
      </c>
    </row>
    <row r="226" spans="1:9">
      <c r="A226" s="756" t="s">
        <v>33</v>
      </c>
      <c r="B226" s="757"/>
      <c r="C226" s="757"/>
      <c r="D226" s="757"/>
      <c r="E226" s="757"/>
      <c r="F226" s="757"/>
      <c r="G226" s="757"/>
      <c r="H226" s="757"/>
      <c r="I226" s="758"/>
    </row>
    <row r="227" spans="1:9">
      <c r="A227" s="450" t="s">
        <v>716</v>
      </c>
      <c r="B227" s="450"/>
      <c r="C227" s="451" t="s">
        <v>34</v>
      </c>
      <c r="D227" s="452" t="s">
        <v>814</v>
      </c>
      <c r="E227" s="453" t="s">
        <v>35</v>
      </c>
      <c r="F227" s="453" t="s">
        <v>36</v>
      </c>
      <c r="G227" s="467" t="s">
        <v>37</v>
      </c>
      <c r="H227" s="467" t="s">
        <v>38</v>
      </c>
      <c r="I227" s="451" t="s">
        <v>39</v>
      </c>
    </row>
    <row r="228" spans="1:9">
      <c r="A228" s="576"/>
      <c r="B228" s="601"/>
      <c r="C228" s="451" t="s">
        <v>926</v>
      </c>
      <c r="D228" s="452"/>
      <c r="E228" s="469"/>
      <c r="F228" s="469"/>
      <c r="G228" s="467"/>
      <c r="H228" s="467"/>
      <c r="I228" s="442">
        <f>D228*H228</f>
        <v>0</v>
      </c>
    </row>
    <row r="229" spans="1:9">
      <c r="A229" s="759" t="s">
        <v>40</v>
      </c>
      <c r="B229" s="760"/>
      <c r="C229" s="760"/>
      <c r="D229" s="760"/>
      <c r="E229" s="760"/>
      <c r="F229" s="760"/>
      <c r="G229" s="760"/>
      <c r="H229" s="761"/>
      <c r="I229" s="458">
        <f>SUM(I228)</f>
        <v>0</v>
      </c>
    </row>
    <row r="230" spans="1:9">
      <c r="A230" s="756" t="s">
        <v>41</v>
      </c>
      <c r="B230" s="757"/>
      <c r="C230" s="757"/>
      <c r="D230" s="757"/>
      <c r="E230" s="757"/>
      <c r="F230" s="757"/>
      <c r="G230" s="757"/>
      <c r="H230" s="757"/>
      <c r="I230" s="758"/>
    </row>
    <row r="231" spans="1:9">
      <c r="A231" s="450" t="s">
        <v>716</v>
      </c>
      <c r="B231" s="450"/>
      <c r="C231" s="451" t="s">
        <v>34</v>
      </c>
      <c r="D231" s="452" t="s">
        <v>814</v>
      </c>
      <c r="E231" s="452"/>
      <c r="F231" s="452"/>
      <c r="G231" s="452"/>
      <c r="H231" s="451" t="s">
        <v>42</v>
      </c>
      <c r="I231" s="451" t="s">
        <v>39</v>
      </c>
    </row>
    <row r="232" spans="1:9">
      <c r="A232" s="446" t="s">
        <v>1079</v>
      </c>
      <c r="B232" s="446"/>
      <c r="C232" s="451" t="s">
        <v>984</v>
      </c>
      <c r="D232" s="452">
        <v>552.66999999999996</v>
      </c>
      <c r="E232" s="452"/>
      <c r="F232" s="452"/>
      <c r="G232" s="452"/>
      <c r="H232" s="462">
        <v>4.38</v>
      </c>
      <c r="I232" s="462">
        <f>H232*D232</f>
        <v>2420.6945999999998</v>
      </c>
    </row>
    <row r="233" spans="1:9">
      <c r="A233" s="446"/>
      <c r="B233" s="446"/>
      <c r="C233" s="451"/>
      <c r="D233" s="452"/>
      <c r="E233" s="452"/>
      <c r="F233" s="452"/>
      <c r="G233" s="452"/>
      <c r="H233" s="462"/>
      <c r="I233" s="462">
        <f>H233*D233</f>
        <v>0</v>
      </c>
    </row>
    <row r="234" spans="1:9">
      <c r="A234" s="446"/>
      <c r="B234" s="446"/>
      <c r="C234" s="451"/>
      <c r="D234" s="452"/>
      <c r="E234" s="452"/>
      <c r="F234" s="452"/>
      <c r="G234" s="452"/>
      <c r="H234" s="589"/>
      <c r="I234" s="462">
        <f t="shared" ref="I234:I236" si="7">H234*D234</f>
        <v>0</v>
      </c>
    </row>
    <row r="235" spans="1:9">
      <c r="A235" s="446"/>
      <c r="B235" s="446"/>
      <c r="C235" s="451"/>
      <c r="D235" s="452"/>
      <c r="E235" s="452"/>
      <c r="F235" s="452"/>
      <c r="G235" s="452"/>
      <c r="H235" s="451"/>
      <c r="I235" s="462">
        <f t="shared" si="7"/>
        <v>0</v>
      </c>
    </row>
    <row r="236" spans="1:9">
      <c r="A236" s="476"/>
      <c r="B236" s="476"/>
      <c r="C236" s="451"/>
      <c r="D236" s="465"/>
      <c r="E236" s="452"/>
      <c r="F236" s="452"/>
      <c r="G236" s="452"/>
      <c r="H236" s="462"/>
      <c r="I236" s="462">
        <f t="shared" si="7"/>
        <v>0</v>
      </c>
    </row>
    <row r="237" spans="1:9">
      <c r="A237" s="762" t="s">
        <v>40</v>
      </c>
      <c r="B237" s="762"/>
      <c r="C237" s="762"/>
      <c r="D237" s="762"/>
      <c r="E237" s="762"/>
      <c r="F237" s="762"/>
      <c r="G237" s="762"/>
      <c r="H237" s="762"/>
      <c r="I237" s="461">
        <f>SUM(I232:I236)</f>
        <v>2420.6945999999998</v>
      </c>
    </row>
    <row r="238" spans="1:9">
      <c r="A238" s="756" t="s">
        <v>43</v>
      </c>
      <c r="B238" s="757"/>
      <c r="C238" s="757"/>
      <c r="D238" s="757"/>
      <c r="E238" s="757"/>
      <c r="F238" s="757"/>
      <c r="G238" s="757"/>
      <c r="H238" s="757"/>
      <c r="I238" s="758"/>
    </row>
    <row r="239" spans="1:9">
      <c r="A239" s="451" t="s">
        <v>716</v>
      </c>
      <c r="B239" s="451"/>
      <c r="C239" s="575" t="s">
        <v>34</v>
      </c>
      <c r="D239" s="575" t="s">
        <v>814</v>
      </c>
      <c r="E239" s="575"/>
      <c r="F239" s="575"/>
      <c r="G239" s="575"/>
      <c r="H239" s="451" t="s">
        <v>42</v>
      </c>
      <c r="I239" s="462" t="s">
        <v>39</v>
      </c>
    </row>
    <row r="240" spans="1:9">
      <c r="A240" s="536" t="s">
        <v>1080</v>
      </c>
      <c r="B240" s="536"/>
      <c r="C240" s="451" t="s">
        <v>1077</v>
      </c>
      <c r="D240" s="465">
        <v>2</v>
      </c>
      <c r="E240" s="575"/>
      <c r="F240" s="575"/>
      <c r="G240" s="575"/>
      <c r="H240" s="462"/>
      <c r="I240" s="461">
        <f>H240*D240</f>
        <v>0</v>
      </c>
    </row>
    <row r="241" spans="1:14">
      <c r="A241" s="478" t="s">
        <v>1081</v>
      </c>
      <c r="B241" s="478"/>
      <c r="C241" s="451" t="s">
        <v>713</v>
      </c>
      <c r="D241" s="465">
        <v>19.68</v>
      </c>
      <c r="E241" s="575"/>
      <c r="F241" s="575"/>
      <c r="G241" s="575"/>
      <c r="H241" s="462">
        <v>205.24</v>
      </c>
      <c r="I241" s="461">
        <f>H241*D241</f>
        <v>4039.1232</v>
      </c>
      <c r="N241" s="588"/>
    </row>
    <row r="242" spans="1:14">
      <c r="A242" s="576" t="s">
        <v>1078</v>
      </c>
      <c r="B242" s="601"/>
      <c r="C242" s="451" t="s">
        <v>968</v>
      </c>
      <c r="D242" s="452">
        <v>22.2</v>
      </c>
      <c r="E242" s="469"/>
      <c r="F242" s="469"/>
      <c r="G242" s="467"/>
      <c r="H242" s="467">
        <v>13.16</v>
      </c>
      <c r="I242" s="461">
        <f t="shared" ref="I242:I244" si="8">H242*D242</f>
        <v>292.15199999999999</v>
      </c>
    </row>
    <row r="243" spans="1:14">
      <c r="A243" s="535" t="s">
        <v>1076</v>
      </c>
      <c r="B243" s="535"/>
      <c r="C243" s="451" t="s">
        <v>968</v>
      </c>
      <c r="D243" s="465">
        <v>22.2</v>
      </c>
      <c r="E243" s="575"/>
      <c r="F243" s="575"/>
      <c r="G243" s="575"/>
      <c r="H243" s="462">
        <v>8.1199999999999992</v>
      </c>
      <c r="I243" s="461">
        <f t="shared" si="8"/>
        <v>180.26399999999998</v>
      </c>
    </row>
    <row r="244" spans="1:14">
      <c r="A244" s="534"/>
      <c r="B244" s="534"/>
      <c r="C244" s="451"/>
      <c r="D244" s="465"/>
      <c r="E244" s="575"/>
      <c r="F244" s="575"/>
      <c r="G244" s="575"/>
      <c r="H244" s="471"/>
      <c r="I244" s="461">
        <f t="shared" si="8"/>
        <v>0</v>
      </c>
    </row>
    <row r="245" spans="1:14">
      <c r="A245" s="762"/>
      <c r="B245" s="762"/>
      <c r="C245" s="762"/>
      <c r="D245" s="762"/>
      <c r="E245" s="762"/>
      <c r="F245" s="762"/>
      <c r="G245" s="762"/>
      <c r="H245" s="762"/>
      <c r="I245" s="461">
        <f>SUM(I240:I244)</f>
        <v>4511.5392000000002</v>
      </c>
    </row>
    <row r="246" spans="1:14">
      <c r="A246" s="756" t="s">
        <v>44</v>
      </c>
      <c r="B246" s="757"/>
      <c r="C246" s="757"/>
      <c r="D246" s="757"/>
      <c r="E246" s="757"/>
      <c r="F246" s="757"/>
      <c r="G246" s="757"/>
      <c r="H246" s="757"/>
      <c r="I246" s="758"/>
    </row>
    <row r="247" spans="1:14">
      <c r="A247" s="450" t="s">
        <v>716</v>
      </c>
      <c r="B247" s="450"/>
      <c r="C247" s="451" t="s">
        <v>34</v>
      </c>
      <c r="D247" s="452" t="s">
        <v>814</v>
      </c>
      <c r="E247" s="452"/>
      <c r="F247" s="452"/>
      <c r="G247" s="452"/>
      <c r="H247" s="451" t="s">
        <v>42</v>
      </c>
      <c r="I247" s="451" t="s">
        <v>39</v>
      </c>
    </row>
    <row r="248" spans="1:14">
      <c r="A248" s="446"/>
      <c r="B248" s="446"/>
      <c r="C248" s="451"/>
      <c r="D248" s="452"/>
      <c r="E248" s="452"/>
      <c r="F248" s="452"/>
      <c r="G248" s="452"/>
      <c r="H248" s="462"/>
      <c r="I248" s="587">
        <f>H248*D248</f>
        <v>0</v>
      </c>
    </row>
    <row r="249" spans="1:14">
      <c r="A249" s="446" t="s">
        <v>974</v>
      </c>
      <c r="B249" s="446"/>
      <c r="C249" s="451" t="s">
        <v>926</v>
      </c>
      <c r="D249" s="452">
        <v>5</v>
      </c>
      <c r="E249" s="452"/>
      <c r="F249" s="452"/>
      <c r="G249" s="452"/>
      <c r="H249" s="462">
        <v>21.65</v>
      </c>
      <c r="I249" s="587">
        <f>H249*D249</f>
        <v>108.25</v>
      </c>
    </row>
    <row r="250" spans="1:14">
      <c r="A250" s="479" t="s">
        <v>976</v>
      </c>
      <c r="B250" s="479"/>
      <c r="C250" s="454" t="s">
        <v>926</v>
      </c>
      <c r="D250" s="480">
        <v>5</v>
      </c>
      <c r="E250" s="452"/>
      <c r="F250" s="452"/>
      <c r="G250" s="452"/>
      <c r="H250" s="471">
        <v>11.67</v>
      </c>
      <c r="I250" s="442">
        <f>H250*D250</f>
        <v>58.35</v>
      </c>
    </row>
    <row r="251" spans="1:14">
      <c r="A251" s="763" t="s">
        <v>40</v>
      </c>
      <c r="B251" s="764"/>
      <c r="C251" s="764"/>
      <c r="D251" s="764"/>
      <c r="E251" s="764"/>
      <c r="F251" s="764"/>
      <c r="G251" s="764"/>
      <c r="H251" s="765"/>
      <c r="I251" s="458">
        <f>SUM(I248:I250)</f>
        <v>166.6</v>
      </c>
      <c r="N251" s="588"/>
    </row>
    <row r="252" spans="1:14">
      <c r="A252" s="577" t="s">
        <v>45</v>
      </c>
      <c r="B252" s="602"/>
      <c r="C252" s="463">
        <v>1</v>
      </c>
      <c r="D252" s="763" t="s">
        <v>46</v>
      </c>
      <c r="E252" s="764"/>
      <c r="F252" s="764"/>
      <c r="G252" s="764"/>
      <c r="H252" s="765"/>
      <c r="I252" s="458">
        <f>I251+I245+I237+I229</f>
        <v>7098.8338000000003</v>
      </c>
    </row>
    <row r="253" spans="1:14">
      <c r="A253" s="745" t="s">
        <v>924</v>
      </c>
      <c r="B253" s="746"/>
      <c r="C253" s="747"/>
      <c r="D253" s="747"/>
      <c r="E253" s="747"/>
      <c r="F253" s="747"/>
      <c r="G253" s="748"/>
      <c r="H253" s="749"/>
      <c r="I253" s="481">
        <f>I252/C252</f>
        <v>7098.8338000000003</v>
      </c>
    </row>
    <row r="254" spans="1:14">
      <c r="A254" s="750"/>
      <c r="B254" s="751"/>
      <c r="C254" s="751"/>
      <c r="D254" s="751"/>
      <c r="E254" s="751"/>
      <c r="F254" s="751"/>
      <c r="G254" s="751"/>
      <c r="H254" s="752"/>
      <c r="I254" s="461">
        <v>1</v>
      </c>
    </row>
    <row r="255" spans="1:14">
      <c r="A255" s="753" t="s">
        <v>48</v>
      </c>
      <c r="B255" s="754"/>
      <c r="C255" s="754"/>
      <c r="D255" s="754"/>
      <c r="E255" s="754"/>
      <c r="F255" s="754"/>
      <c r="G255" s="754"/>
      <c r="H255" s="755"/>
      <c r="I255" s="461">
        <f>I254*I253</f>
        <v>7098.8338000000003</v>
      </c>
    </row>
    <row r="256" spans="1:14" ht="15.75">
      <c r="A256" s="466" t="s">
        <v>29</v>
      </c>
      <c r="B256" s="612"/>
      <c r="C256" s="766" t="s">
        <v>30</v>
      </c>
      <c r="D256" s="767"/>
      <c r="E256" s="767"/>
      <c r="F256" s="767"/>
      <c r="G256" s="767"/>
      <c r="H256" s="767"/>
      <c r="I256" s="768"/>
    </row>
    <row r="257" spans="1:9">
      <c r="A257" s="474" t="s">
        <v>52</v>
      </c>
      <c r="B257" s="613"/>
      <c r="C257" s="443"/>
      <c r="D257" s="603"/>
      <c r="E257" s="443"/>
      <c r="F257" s="445"/>
      <c r="G257" s="445"/>
      <c r="H257" s="446" t="s">
        <v>31</v>
      </c>
      <c r="I257" s="482">
        <f>I224</f>
        <v>43365</v>
      </c>
    </row>
    <row r="258" spans="1:9">
      <c r="A258" s="769" t="s">
        <v>1110</v>
      </c>
      <c r="B258" s="770"/>
      <c r="C258" s="770"/>
      <c r="D258" s="770"/>
      <c r="E258" s="770"/>
      <c r="F258" s="770"/>
      <c r="G258" s="771"/>
      <c r="H258" s="448" t="s">
        <v>32</v>
      </c>
      <c r="I258" s="449"/>
    </row>
    <row r="259" spans="1:9">
      <c r="A259" s="756" t="s">
        <v>33</v>
      </c>
      <c r="B259" s="757"/>
      <c r="C259" s="757"/>
      <c r="D259" s="757"/>
      <c r="E259" s="757"/>
      <c r="F259" s="757"/>
      <c r="G259" s="757"/>
      <c r="H259" s="757"/>
      <c r="I259" s="758"/>
    </row>
    <row r="260" spans="1:9">
      <c r="A260" s="450" t="s">
        <v>716</v>
      </c>
      <c r="B260" s="450"/>
      <c r="C260" s="451" t="s">
        <v>34</v>
      </c>
      <c r="D260" s="452" t="s">
        <v>814</v>
      </c>
      <c r="E260" s="453" t="s">
        <v>35</v>
      </c>
      <c r="F260" s="453" t="s">
        <v>36</v>
      </c>
      <c r="G260" s="467" t="s">
        <v>37</v>
      </c>
      <c r="H260" s="467" t="s">
        <v>38</v>
      </c>
      <c r="I260" s="451" t="s">
        <v>39</v>
      </c>
    </row>
    <row r="261" spans="1:9" ht="38.25">
      <c r="A261" s="601" t="s">
        <v>1112</v>
      </c>
      <c r="B261" s="614">
        <v>5795</v>
      </c>
      <c r="C261" s="451" t="s">
        <v>1111</v>
      </c>
      <c r="D261" s="452">
        <v>4</v>
      </c>
      <c r="E261" s="452">
        <v>3</v>
      </c>
      <c r="F261" s="452">
        <v>1</v>
      </c>
      <c r="G261" s="452">
        <v>18.690000000000001</v>
      </c>
      <c r="H261" s="462">
        <v>17.71</v>
      </c>
      <c r="I261" s="462">
        <v>73.78</v>
      </c>
    </row>
    <row r="262" spans="1:9" ht="51">
      <c r="A262" s="601" t="s">
        <v>1114</v>
      </c>
      <c r="B262" s="614">
        <v>83765</v>
      </c>
      <c r="C262" s="451" t="s">
        <v>1111</v>
      </c>
      <c r="D262" s="452">
        <v>18</v>
      </c>
      <c r="E262" s="452">
        <v>16</v>
      </c>
      <c r="F262" s="452">
        <v>2</v>
      </c>
      <c r="G262" s="452">
        <v>63.31</v>
      </c>
      <c r="H262" s="462">
        <v>28.72</v>
      </c>
      <c r="I262" s="462">
        <v>1070.4000000000001</v>
      </c>
    </row>
    <row r="263" spans="1:9">
      <c r="A263" s="759" t="s">
        <v>40</v>
      </c>
      <c r="B263" s="760"/>
      <c r="C263" s="760"/>
      <c r="D263" s="760"/>
      <c r="E263" s="760"/>
      <c r="F263" s="760"/>
      <c r="G263" s="760"/>
      <c r="H263" s="761"/>
      <c r="I263" s="458">
        <f>SUM(I261:I262)</f>
        <v>1144.18</v>
      </c>
    </row>
    <row r="264" spans="1:9">
      <c r="A264" s="756" t="s">
        <v>41</v>
      </c>
      <c r="B264" s="757"/>
      <c r="C264" s="757"/>
      <c r="D264" s="757"/>
      <c r="E264" s="757"/>
      <c r="F264" s="757"/>
      <c r="G264" s="757"/>
      <c r="H264" s="757"/>
      <c r="I264" s="758"/>
    </row>
    <row r="265" spans="1:9">
      <c r="A265" s="450" t="s">
        <v>716</v>
      </c>
      <c r="B265" s="450" t="s">
        <v>1113</v>
      </c>
      <c r="C265" s="451" t="s">
        <v>34</v>
      </c>
      <c r="D265" s="452" t="s">
        <v>814</v>
      </c>
      <c r="E265" s="452"/>
      <c r="F265" s="452"/>
      <c r="G265" s="452"/>
      <c r="H265" s="451" t="s">
        <v>42</v>
      </c>
      <c r="I265" s="451" t="s">
        <v>39</v>
      </c>
    </row>
    <row r="267" spans="1:9">
      <c r="A267" s="446"/>
      <c r="B267" s="446"/>
      <c r="C267" s="451"/>
      <c r="D267" s="452"/>
      <c r="E267" s="452"/>
      <c r="F267" s="452"/>
      <c r="G267" s="452"/>
      <c r="H267" s="462"/>
      <c r="I267" s="462"/>
    </row>
    <row r="268" spans="1:9">
      <c r="A268" s="446"/>
      <c r="B268" s="446"/>
      <c r="C268" s="451"/>
      <c r="D268" s="452"/>
      <c r="E268" s="452"/>
      <c r="F268" s="452"/>
      <c r="G268" s="452"/>
      <c r="H268" s="589"/>
      <c r="I268" s="462"/>
    </row>
    <row r="269" spans="1:9">
      <c r="A269" s="446"/>
      <c r="B269" s="446"/>
      <c r="C269" s="451"/>
      <c r="D269" s="452"/>
      <c r="E269" s="452"/>
      <c r="F269" s="452"/>
      <c r="G269" s="452"/>
      <c r="H269" s="451"/>
      <c r="I269" s="462"/>
    </row>
    <row r="270" spans="1:9">
      <c r="A270" s="476"/>
      <c r="B270" s="476"/>
      <c r="C270" s="451"/>
      <c r="D270" s="465"/>
      <c r="E270" s="452"/>
      <c r="F270" s="452"/>
      <c r="G270" s="452"/>
      <c r="H270" s="462"/>
      <c r="I270" s="462"/>
    </row>
    <row r="271" spans="1:9">
      <c r="A271" s="762" t="s">
        <v>40</v>
      </c>
      <c r="B271" s="762"/>
      <c r="C271" s="762"/>
      <c r="D271" s="762"/>
      <c r="E271" s="762"/>
      <c r="F271" s="762"/>
      <c r="G271" s="762"/>
      <c r="H271" s="762"/>
      <c r="I271" s="461"/>
    </row>
    <row r="272" spans="1:9">
      <c r="A272" s="756" t="s">
        <v>43</v>
      </c>
      <c r="B272" s="757"/>
      <c r="C272" s="757"/>
      <c r="D272" s="757"/>
      <c r="E272" s="757"/>
      <c r="F272" s="757"/>
      <c r="G272" s="757"/>
      <c r="H272" s="757"/>
      <c r="I272" s="758"/>
    </row>
    <row r="273" spans="1:9">
      <c r="A273" s="451" t="s">
        <v>716</v>
      </c>
      <c r="B273" s="451"/>
      <c r="C273" s="600" t="s">
        <v>34</v>
      </c>
      <c r="D273" s="600" t="s">
        <v>814</v>
      </c>
      <c r="E273" s="600"/>
      <c r="F273" s="600"/>
      <c r="G273" s="600"/>
      <c r="H273" s="451" t="s">
        <v>42</v>
      </c>
      <c r="I273" s="462" t="s">
        <v>39</v>
      </c>
    </row>
    <row r="274" spans="1:9">
      <c r="A274" s="536"/>
      <c r="B274" s="536"/>
      <c r="C274" s="451"/>
      <c r="D274" s="465"/>
      <c r="E274" s="600"/>
      <c r="F274" s="600"/>
      <c r="G274" s="600"/>
      <c r="H274" s="462"/>
      <c r="I274" s="461">
        <f>H274*D274</f>
        <v>0</v>
      </c>
    </row>
    <row r="275" spans="1:9">
      <c r="A275" s="478"/>
      <c r="B275" s="478"/>
      <c r="C275" s="451"/>
      <c r="D275" s="465"/>
      <c r="E275" s="600"/>
      <c r="F275" s="600"/>
      <c r="G275" s="600"/>
      <c r="H275" s="462"/>
      <c r="I275" s="461">
        <f>H275*D275</f>
        <v>0</v>
      </c>
    </row>
    <row r="276" spans="1:9">
      <c r="A276" s="601"/>
      <c r="B276" s="601"/>
      <c r="C276" s="451"/>
      <c r="D276" s="452"/>
      <c r="E276" s="469"/>
      <c r="F276" s="469"/>
      <c r="G276" s="467"/>
      <c r="H276" s="467"/>
      <c r="I276" s="461">
        <f t="shared" ref="I276:I278" si="9">H276*D276</f>
        <v>0</v>
      </c>
    </row>
    <row r="277" spans="1:9">
      <c r="A277" s="535"/>
      <c r="B277" s="535"/>
      <c r="C277" s="451"/>
      <c r="D277" s="465"/>
      <c r="E277" s="600"/>
      <c r="F277" s="600"/>
      <c r="G277" s="600"/>
      <c r="H277" s="462"/>
      <c r="I277" s="461">
        <f t="shared" si="9"/>
        <v>0</v>
      </c>
    </row>
    <row r="278" spans="1:9">
      <c r="A278" s="534"/>
      <c r="B278" s="534"/>
      <c r="C278" s="451"/>
      <c r="D278" s="465"/>
      <c r="E278" s="600"/>
      <c r="F278" s="600"/>
      <c r="G278" s="600"/>
      <c r="H278" s="471"/>
      <c r="I278" s="461">
        <f t="shared" si="9"/>
        <v>0</v>
      </c>
    </row>
    <row r="279" spans="1:9">
      <c r="A279" s="762"/>
      <c r="B279" s="762"/>
      <c r="C279" s="762"/>
      <c r="D279" s="762"/>
      <c r="E279" s="762"/>
      <c r="F279" s="762"/>
      <c r="G279" s="762"/>
      <c r="H279" s="762"/>
      <c r="I279" s="461">
        <f>SUM(I274:I278)</f>
        <v>0</v>
      </c>
    </row>
    <row r="280" spans="1:9">
      <c r="A280" s="756" t="s">
        <v>44</v>
      </c>
      <c r="B280" s="757"/>
      <c r="C280" s="757"/>
      <c r="D280" s="757"/>
      <c r="E280" s="757"/>
      <c r="F280" s="757"/>
      <c r="G280" s="757"/>
      <c r="H280" s="757"/>
      <c r="I280" s="758"/>
    </row>
    <row r="281" spans="1:9">
      <c r="A281" s="450" t="s">
        <v>716</v>
      </c>
      <c r="B281" s="450" t="s">
        <v>1113</v>
      </c>
      <c r="C281" s="451" t="s">
        <v>34</v>
      </c>
      <c r="D281" s="452" t="s">
        <v>814</v>
      </c>
      <c r="E281" s="452"/>
      <c r="F281" s="452"/>
      <c r="G281" s="452"/>
      <c r="H281" s="451" t="s">
        <v>42</v>
      </c>
      <c r="I281" s="451" t="s">
        <v>39</v>
      </c>
    </row>
    <row r="282" spans="1:9" ht="25.5">
      <c r="A282" s="601" t="s">
        <v>1116</v>
      </c>
      <c r="B282" s="614">
        <v>88278</v>
      </c>
      <c r="C282" s="451" t="s">
        <v>926</v>
      </c>
      <c r="D282" s="452">
        <v>32</v>
      </c>
      <c r="E282" s="452"/>
      <c r="F282" s="452"/>
      <c r="G282" s="452"/>
      <c r="H282" s="462">
        <v>19.18</v>
      </c>
      <c r="I282" s="587">
        <f>H282*D282</f>
        <v>613.76</v>
      </c>
    </row>
    <row r="283" spans="1:9" ht="25.5">
      <c r="A283" s="615" t="s">
        <v>1115</v>
      </c>
      <c r="B283" s="616">
        <v>88238</v>
      </c>
      <c r="C283" s="454" t="s">
        <v>926</v>
      </c>
      <c r="D283" s="480">
        <v>32</v>
      </c>
      <c r="E283" s="452"/>
      <c r="F283" s="452"/>
      <c r="G283" s="452"/>
      <c r="H283" s="471">
        <v>14.36</v>
      </c>
      <c r="I283" s="442">
        <f>H283*D283</f>
        <v>459.52</v>
      </c>
    </row>
    <row r="284" spans="1:9">
      <c r="A284" s="763"/>
      <c r="B284" s="764"/>
      <c r="C284" s="764"/>
      <c r="D284" s="764"/>
      <c r="E284" s="764"/>
      <c r="F284" s="764"/>
      <c r="G284" s="764"/>
      <c r="H284" s="765"/>
      <c r="I284" s="458">
        <f>SUM(I282:I283)</f>
        <v>1073.28</v>
      </c>
    </row>
    <row r="285" spans="1:9">
      <c r="A285" s="602" t="s">
        <v>45</v>
      </c>
      <c r="B285" s="602"/>
      <c r="C285" s="463">
        <v>1</v>
      </c>
      <c r="D285" s="763" t="s">
        <v>46</v>
      </c>
      <c r="E285" s="764"/>
      <c r="F285" s="764"/>
      <c r="G285" s="764"/>
      <c r="H285" s="765"/>
      <c r="I285" s="458">
        <f>I263+I284</f>
        <v>2217.46</v>
      </c>
    </row>
    <row r="286" spans="1:9">
      <c r="A286" s="745" t="s">
        <v>924</v>
      </c>
      <c r="B286" s="746"/>
      <c r="C286" s="747"/>
      <c r="D286" s="747"/>
      <c r="E286" s="747"/>
      <c r="F286" s="747"/>
      <c r="G286" s="748"/>
      <c r="H286" s="749"/>
      <c r="I286" s="481">
        <f>I285/C285</f>
        <v>2217.46</v>
      </c>
    </row>
    <row r="287" spans="1:9">
      <c r="A287" s="750" t="s">
        <v>1233</v>
      </c>
      <c r="B287" s="751"/>
      <c r="C287" s="751"/>
      <c r="D287" s="751"/>
      <c r="E287" s="751"/>
      <c r="F287" s="751"/>
      <c r="G287" s="751"/>
      <c r="H287" s="752"/>
      <c r="I287" s="461">
        <v>1</v>
      </c>
    </row>
    <row r="288" spans="1:9">
      <c r="A288" s="753" t="s">
        <v>48</v>
      </c>
      <c r="B288" s="754"/>
      <c r="C288" s="754"/>
      <c r="D288" s="754"/>
      <c r="E288" s="754"/>
      <c r="F288" s="754"/>
      <c r="G288" s="754"/>
      <c r="H288" s="755"/>
      <c r="I288" s="461">
        <f>I287*I286</f>
        <v>2217.46</v>
      </c>
    </row>
    <row r="289" spans="1:9">
      <c r="A289" s="474" t="s">
        <v>52</v>
      </c>
      <c r="B289" s="613"/>
      <c r="C289" s="443"/>
      <c r="D289" s="603"/>
      <c r="E289" s="443"/>
      <c r="F289" s="445"/>
      <c r="G289" s="445"/>
      <c r="H289" s="446" t="s">
        <v>31</v>
      </c>
      <c r="I289" s="482"/>
    </row>
    <row r="290" spans="1:9">
      <c r="A290" s="769" t="s">
        <v>1117</v>
      </c>
      <c r="B290" s="770"/>
      <c r="C290" s="770"/>
      <c r="D290" s="770"/>
      <c r="E290" s="770"/>
      <c r="F290" s="770"/>
      <c r="G290" s="771"/>
      <c r="H290" s="448" t="s">
        <v>32</v>
      </c>
      <c r="I290" s="449"/>
    </row>
    <row r="291" spans="1:9">
      <c r="A291" s="756" t="s">
        <v>33</v>
      </c>
      <c r="B291" s="757"/>
      <c r="C291" s="757"/>
      <c r="D291" s="757"/>
      <c r="E291" s="757"/>
      <c r="F291" s="757"/>
      <c r="G291" s="757"/>
      <c r="H291" s="757"/>
      <c r="I291" s="758"/>
    </row>
    <row r="292" spans="1:9">
      <c r="A292" s="450" t="s">
        <v>716</v>
      </c>
      <c r="B292" s="450" t="s">
        <v>1113</v>
      </c>
      <c r="C292" s="451" t="s">
        <v>34</v>
      </c>
      <c r="D292" s="452" t="s">
        <v>814</v>
      </c>
      <c r="E292" s="453" t="s">
        <v>35</v>
      </c>
      <c r="F292" s="453" t="s">
        <v>36</v>
      </c>
      <c r="G292" s="467" t="s">
        <v>37</v>
      </c>
      <c r="H292" s="467" t="s">
        <v>38</v>
      </c>
      <c r="I292" s="451" t="s">
        <v>39</v>
      </c>
    </row>
    <row r="293" spans="1:9" ht="38.25">
      <c r="A293" s="601" t="s">
        <v>1112</v>
      </c>
      <c r="B293" s="614">
        <v>5795</v>
      </c>
      <c r="C293" s="451" t="s">
        <v>1111</v>
      </c>
      <c r="D293" s="452">
        <v>12</v>
      </c>
      <c r="E293" s="452"/>
      <c r="F293" s="452"/>
      <c r="G293" s="452"/>
      <c r="H293" s="462">
        <v>18.690000000000001</v>
      </c>
      <c r="I293" s="462">
        <f>H293*D293</f>
        <v>224.28000000000003</v>
      </c>
    </row>
    <row r="294" spans="1:9" ht="51">
      <c r="A294" s="601" t="s">
        <v>1114</v>
      </c>
      <c r="B294" s="614">
        <v>83765</v>
      </c>
      <c r="C294" s="451" t="s">
        <v>1111</v>
      </c>
      <c r="D294" s="452">
        <v>15</v>
      </c>
      <c r="E294" s="452"/>
      <c r="F294" s="452"/>
      <c r="G294" s="452"/>
      <c r="H294" s="462">
        <v>63.31</v>
      </c>
      <c r="I294" s="462">
        <f t="shared" ref="I294" si="10">H294*D294</f>
        <v>949.65000000000009</v>
      </c>
    </row>
    <row r="295" spans="1:9">
      <c r="A295" s="759" t="s">
        <v>40</v>
      </c>
      <c r="B295" s="760"/>
      <c r="C295" s="760"/>
      <c r="D295" s="760"/>
      <c r="E295" s="760"/>
      <c r="F295" s="760"/>
      <c r="G295" s="760"/>
      <c r="H295" s="761"/>
      <c r="I295" s="458">
        <f>SUM(I293:I294)</f>
        <v>1173.93</v>
      </c>
    </row>
    <row r="296" spans="1:9">
      <c r="A296" s="756" t="s">
        <v>41</v>
      </c>
      <c r="B296" s="757"/>
      <c r="C296" s="757"/>
      <c r="D296" s="757"/>
      <c r="E296" s="757"/>
      <c r="F296" s="757"/>
      <c r="G296" s="757"/>
      <c r="H296" s="757"/>
      <c r="I296" s="758"/>
    </row>
    <row r="297" spans="1:9">
      <c r="A297" s="450" t="s">
        <v>716</v>
      </c>
      <c r="B297" s="450" t="s">
        <v>1113</v>
      </c>
      <c r="C297" s="451" t="s">
        <v>34</v>
      </c>
      <c r="D297" s="452" t="s">
        <v>814</v>
      </c>
      <c r="E297" s="452"/>
      <c r="F297" s="452"/>
      <c r="G297" s="452"/>
      <c r="H297" s="451" t="s">
        <v>42</v>
      </c>
      <c r="I297" s="451" t="s">
        <v>39</v>
      </c>
    </row>
    <row r="299" spans="1:9">
      <c r="A299" s="446"/>
      <c r="B299" s="446"/>
      <c r="C299" s="451"/>
      <c r="D299" s="452"/>
      <c r="E299" s="452"/>
      <c r="F299" s="452"/>
      <c r="G299" s="452"/>
      <c r="H299" s="462"/>
      <c r="I299" s="462"/>
    </row>
    <row r="300" spans="1:9">
      <c r="A300" s="446"/>
      <c r="B300" s="446"/>
      <c r="C300" s="451"/>
      <c r="D300" s="452"/>
      <c r="E300" s="452"/>
      <c r="F300" s="452"/>
      <c r="G300" s="452"/>
      <c r="H300" s="589"/>
      <c r="I300" s="462"/>
    </row>
    <row r="301" spans="1:9">
      <c r="A301" s="446"/>
      <c r="B301" s="446"/>
      <c r="C301" s="451"/>
      <c r="D301" s="452"/>
      <c r="E301" s="452"/>
      <c r="F301" s="452"/>
      <c r="G301" s="452"/>
      <c r="H301" s="451"/>
      <c r="I301" s="462"/>
    </row>
    <row r="302" spans="1:9">
      <c r="A302" s="476"/>
      <c r="B302" s="476"/>
      <c r="C302" s="451"/>
      <c r="D302" s="465"/>
      <c r="E302" s="452"/>
      <c r="F302" s="452"/>
      <c r="G302" s="452"/>
      <c r="H302" s="462"/>
      <c r="I302" s="462"/>
    </row>
    <row r="303" spans="1:9">
      <c r="A303" s="762" t="s">
        <v>40</v>
      </c>
      <c r="B303" s="762"/>
      <c r="C303" s="762"/>
      <c r="D303" s="762"/>
      <c r="E303" s="762"/>
      <c r="F303" s="762"/>
      <c r="G303" s="762"/>
      <c r="H303" s="762"/>
      <c r="I303" s="461"/>
    </row>
    <row r="304" spans="1:9">
      <c r="A304" s="756" t="s">
        <v>43</v>
      </c>
      <c r="B304" s="757"/>
      <c r="C304" s="757"/>
      <c r="D304" s="757"/>
      <c r="E304" s="757"/>
      <c r="F304" s="757"/>
      <c r="G304" s="757"/>
      <c r="H304" s="757"/>
      <c r="I304" s="758"/>
    </row>
    <row r="305" spans="1:9">
      <c r="A305" s="451" t="s">
        <v>716</v>
      </c>
      <c r="B305" s="451"/>
      <c r="C305" s="600" t="s">
        <v>34</v>
      </c>
      <c r="D305" s="600" t="s">
        <v>814</v>
      </c>
      <c r="E305" s="600"/>
      <c r="F305" s="600"/>
      <c r="G305" s="600"/>
      <c r="H305" s="451" t="s">
        <v>42</v>
      </c>
      <c r="I305" s="462" t="s">
        <v>39</v>
      </c>
    </row>
    <row r="306" spans="1:9">
      <c r="A306" s="536"/>
      <c r="B306" s="536"/>
      <c r="C306" s="451"/>
      <c r="D306" s="465"/>
      <c r="E306" s="600"/>
      <c r="F306" s="600"/>
      <c r="G306" s="600"/>
      <c r="H306" s="462"/>
      <c r="I306" s="461">
        <f>H306*D306</f>
        <v>0</v>
      </c>
    </row>
    <row r="307" spans="1:9">
      <c r="A307" s="478"/>
      <c r="B307" s="478"/>
      <c r="C307" s="451"/>
      <c r="D307" s="465"/>
      <c r="E307" s="600"/>
      <c r="F307" s="600"/>
      <c r="G307" s="600"/>
      <c r="H307" s="462"/>
      <c r="I307" s="461">
        <f>H307*D307</f>
        <v>0</v>
      </c>
    </row>
    <row r="308" spans="1:9">
      <c r="A308" s="601"/>
      <c r="B308" s="601"/>
      <c r="C308" s="451"/>
      <c r="D308" s="452"/>
      <c r="E308" s="469"/>
      <c r="F308" s="469"/>
      <c r="G308" s="467"/>
      <c r="H308" s="467"/>
      <c r="I308" s="461">
        <f t="shared" ref="I308:I310" si="11">H308*D308</f>
        <v>0</v>
      </c>
    </row>
    <row r="309" spans="1:9">
      <c r="A309" s="535"/>
      <c r="B309" s="535"/>
      <c r="C309" s="451"/>
      <c r="D309" s="465"/>
      <c r="E309" s="600"/>
      <c r="F309" s="600"/>
      <c r="G309" s="600"/>
      <c r="H309" s="462"/>
      <c r="I309" s="461">
        <f t="shared" si="11"/>
        <v>0</v>
      </c>
    </row>
    <row r="310" spans="1:9">
      <c r="A310" s="534"/>
      <c r="B310" s="534"/>
      <c r="C310" s="451"/>
      <c r="D310" s="465"/>
      <c r="E310" s="600"/>
      <c r="F310" s="600"/>
      <c r="G310" s="600"/>
      <c r="H310" s="471"/>
      <c r="I310" s="461">
        <f t="shared" si="11"/>
        <v>0</v>
      </c>
    </row>
    <row r="311" spans="1:9">
      <c r="A311" s="762"/>
      <c r="B311" s="762"/>
      <c r="C311" s="762"/>
      <c r="D311" s="762"/>
      <c r="E311" s="762"/>
      <c r="F311" s="762"/>
      <c r="G311" s="762"/>
      <c r="H311" s="762"/>
      <c r="I311" s="461">
        <f>SUM(I306:I310)</f>
        <v>0</v>
      </c>
    </row>
    <row r="312" spans="1:9">
      <c r="A312" s="756" t="s">
        <v>44</v>
      </c>
      <c r="B312" s="757"/>
      <c r="C312" s="757"/>
      <c r="D312" s="757"/>
      <c r="E312" s="757"/>
      <c r="F312" s="757"/>
      <c r="G312" s="757"/>
      <c r="H312" s="757"/>
      <c r="I312" s="758"/>
    </row>
    <row r="313" spans="1:9">
      <c r="A313" s="450" t="s">
        <v>716</v>
      </c>
      <c r="B313" s="450" t="s">
        <v>1113</v>
      </c>
      <c r="C313" s="451" t="s">
        <v>34</v>
      </c>
      <c r="D313" s="452" t="s">
        <v>814</v>
      </c>
      <c r="E313" s="452"/>
      <c r="F313" s="452"/>
      <c r="G313" s="452"/>
      <c r="H313" s="451" t="s">
        <v>42</v>
      </c>
      <c r="I313" s="451" t="s">
        <v>39</v>
      </c>
    </row>
    <row r="314" spans="1:9" ht="25.5">
      <c r="A314" s="601" t="s">
        <v>1116</v>
      </c>
      <c r="B314" s="614">
        <v>88278</v>
      </c>
      <c r="C314" s="451" t="s">
        <v>926</v>
      </c>
      <c r="D314" s="452">
        <v>24</v>
      </c>
      <c r="E314" s="452"/>
      <c r="F314" s="452"/>
      <c r="G314" s="452"/>
      <c r="H314" s="462">
        <v>19.18</v>
      </c>
      <c r="I314" s="587">
        <f>H314*D314</f>
        <v>460.32</v>
      </c>
    </row>
    <row r="315" spans="1:9" ht="25.5">
      <c r="A315" s="615" t="s">
        <v>1115</v>
      </c>
      <c r="B315" s="616">
        <v>88238</v>
      </c>
      <c r="C315" s="454" t="s">
        <v>926</v>
      </c>
      <c r="D315" s="480">
        <v>24</v>
      </c>
      <c r="E315" s="452"/>
      <c r="F315" s="452"/>
      <c r="G315" s="452"/>
      <c r="H315" s="471">
        <v>14.36</v>
      </c>
      <c r="I315" s="442">
        <f>H315*D315</f>
        <v>344.64</v>
      </c>
    </row>
    <row r="316" spans="1:9">
      <c r="A316" s="763"/>
      <c r="B316" s="764"/>
      <c r="C316" s="764"/>
      <c r="D316" s="764"/>
      <c r="E316" s="764"/>
      <c r="F316" s="764"/>
      <c r="G316" s="764"/>
      <c r="H316" s="765"/>
      <c r="I316" s="458">
        <f>SUM(I314:I315)</f>
        <v>804.96</v>
      </c>
    </row>
    <row r="317" spans="1:9">
      <c r="A317" s="602" t="s">
        <v>45</v>
      </c>
      <c r="B317" s="602"/>
      <c r="C317" s="463">
        <v>1</v>
      </c>
      <c r="D317" s="763" t="s">
        <v>46</v>
      </c>
      <c r="E317" s="764"/>
      <c r="F317" s="764"/>
      <c r="G317" s="764"/>
      <c r="H317" s="765"/>
      <c r="I317" s="458">
        <f>I316+I311+I303+I295</f>
        <v>1978.89</v>
      </c>
    </row>
    <row r="318" spans="1:9">
      <c r="A318" s="745" t="s">
        <v>924</v>
      </c>
      <c r="B318" s="746"/>
      <c r="C318" s="747"/>
      <c r="D318" s="747"/>
      <c r="E318" s="747"/>
      <c r="F318" s="747"/>
      <c r="G318" s="748"/>
      <c r="H318" s="749"/>
      <c r="I318" s="481">
        <f>I317/C317</f>
        <v>1978.89</v>
      </c>
    </row>
    <row r="319" spans="1:9">
      <c r="A319" s="750"/>
      <c r="B319" s="751"/>
      <c r="C319" s="751"/>
      <c r="D319" s="751"/>
      <c r="E319" s="751"/>
      <c r="F319" s="751"/>
      <c r="G319" s="751"/>
      <c r="H319" s="752"/>
      <c r="I319" s="461">
        <v>1</v>
      </c>
    </row>
    <row r="320" spans="1:9">
      <c r="A320" s="753" t="s">
        <v>48</v>
      </c>
      <c r="B320" s="754"/>
      <c r="C320" s="754"/>
      <c r="D320" s="754"/>
      <c r="E320" s="754"/>
      <c r="F320" s="754"/>
      <c r="G320" s="754"/>
      <c r="H320" s="755"/>
      <c r="I320" s="461">
        <f>I319*I318</f>
        <v>1978.89</v>
      </c>
    </row>
    <row r="321" spans="1:9" ht="15.75">
      <c r="A321" s="466" t="s">
        <v>29</v>
      </c>
      <c r="B321" s="612"/>
      <c r="C321" s="766" t="s">
        <v>30</v>
      </c>
      <c r="D321" s="767"/>
      <c r="E321" s="767"/>
      <c r="F321" s="767"/>
      <c r="G321" s="767"/>
      <c r="H321" s="767"/>
      <c r="I321" s="768"/>
    </row>
    <row r="322" spans="1:9">
      <c r="A322" s="474" t="s">
        <v>52</v>
      </c>
      <c r="B322" s="613"/>
      <c r="C322" s="443"/>
      <c r="D322" s="607"/>
      <c r="E322" s="443"/>
      <c r="F322" s="445"/>
      <c r="G322" s="445"/>
      <c r="H322" s="446" t="s">
        <v>31</v>
      </c>
      <c r="I322" s="482">
        <v>43372</v>
      </c>
    </row>
    <row r="323" spans="1:9">
      <c r="A323" s="769" t="s">
        <v>1037</v>
      </c>
      <c r="B323" s="770"/>
      <c r="C323" s="770"/>
      <c r="D323" s="770"/>
      <c r="E323" s="770"/>
      <c r="F323" s="770"/>
      <c r="G323" s="771"/>
      <c r="H323" s="448" t="s">
        <v>32</v>
      </c>
      <c r="I323" s="449" t="s">
        <v>925</v>
      </c>
    </row>
    <row r="324" spans="1:9">
      <c r="A324" s="756" t="s">
        <v>33</v>
      </c>
      <c r="B324" s="757"/>
      <c r="C324" s="757"/>
      <c r="D324" s="757"/>
      <c r="E324" s="757"/>
      <c r="F324" s="757"/>
      <c r="G324" s="757"/>
      <c r="H324" s="757"/>
      <c r="I324" s="758"/>
    </row>
    <row r="325" spans="1:9">
      <c r="A325" s="450" t="s">
        <v>716</v>
      </c>
      <c r="B325" s="450"/>
      <c r="C325" s="451" t="s">
        <v>34</v>
      </c>
      <c r="D325" s="452" t="s">
        <v>814</v>
      </c>
      <c r="E325" s="453" t="s">
        <v>35</v>
      </c>
      <c r="F325" s="453" t="s">
        <v>36</v>
      </c>
      <c r="G325" s="467" t="s">
        <v>37</v>
      </c>
      <c r="H325" s="467" t="s">
        <v>38</v>
      </c>
      <c r="I325" s="451" t="s">
        <v>39</v>
      </c>
    </row>
    <row r="326" spans="1:9">
      <c r="A326" s="609"/>
      <c r="B326" s="609"/>
      <c r="C326" s="451"/>
      <c r="D326" s="452"/>
      <c r="E326" s="469"/>
      <c r="F326" s="469"/>
      <c r="G326" s="467"/>
      <c r="H326" s="467"/>
      <c r="I326" s="442"/>
    </row>
    <row r="327" spans="1:9">
      <c r="A327" s="759" t="s">
        <v>40</v>
      </c>
      <c r="B327" s="760"/>
      <c r="C327" s="760"/>
      <c r="D327" s="760"/>
      <c r="E327" s="760"/>
      <c r="F327" s="760"/>
      <c r="G327" s="760"/>
      <c r="H327" s="761"/>
      <c r="I327" s="458">
        <f>SUM(I326)</f>
        <v>0</v>
      </c>
    </row>
    <row r="328" spans="1:9">
      <c r="A328" s="756" t="s">
        <v>41</v>
      </c>
      <c r="B328" s="757"/>
      <c r="C328" s="757"/>
      <c r="D328" s="757"/>
      <c r="E328" s="757"/>
      <c r="F328" s="757"/>
      <c r="G328" s="757"/>
      <c r="H328" s="757"/>
      <c r="I328" s="758"/>
    </row>
    <row r="329" spans="1:9">
      <c r="A329" s="450" t="s">
        <v>716</v>
      </c>
      <c r="B329" s="450"/>
      <c r="C329" s="451" t="s">
        <v>34</v>
      </c>
      <c r="D329" s="452" t="s">
        <v>814</v>
      </c>
      <c r="E329" s="452"/>
      <c r="F329" s="452"/>
      <c r="G329" s="452"/>
      <c r="H329" s="451" t="s">
        <v>42</v>
      </c>
      <c r="I329" s="451" t="s">
        <v>39</v>
      </c>
    </row>
    <row r="330" spans="1:9">
      <c r="A330" s="476"/>
      <c r="B330" s="476"/>
      <c r="C330" s="451"/>
      <c r="D330" s="465"/>
      <c r="E330" s="452"/>
      <c r="F330" s="452"/>
      <c r="G330" s="452"/>
      <c r="H330" s="462"/>
      <c r="I330" s="442"/>
    </row>
    <row r="331" spans="1:9">
      <c r="A331" s="762" t="s">
        <v>40</v>
      </c>
      <c r="B331" s="762"/>
      <c r="C331" s="762"/>
      <c r="D331" s="762"/>
      <c r="E331" s="762"/>
      <c r="F331" s="762"/>
      <c r="G331" s="762"/>
      <c r="H331" s="762"/>
      <c r="I331" s="461">
        <f>SUM(I330)</f>
        <v>0</v>
      </c>
    </row>
    <row r="332" spans="1:9">
      <c r="A332" s="756" t="s">
        <v>43</v>
      </c>
      <c r="B332" s="757"/>
      <c r="C332" s="757"/>
      <c r="D332" s="757"/>
      <c r="E332" s="757"/>
      <c r="F332" s="757"/>
      <c r="G332" s="757"/>
      <c r="H332" s="757"/>
      <c r="I332" s="758"/>
    </row>
    <row r="333" spans="1:9">
      <c r="A333" s="451" t="s">
        <v>716</v>
      </c>
      <c r="B333" s="451"/>
      <c r="C333" s="608" t="s">
        <v>34</v>
      </c>
      <c r="D333" s="608" t="s">
        <v>814</v>
      </c>
      <c r="E333" s="608"/>
      <c r="F333" s="608"/>
      <c r="G333" s="608"/>
      <c r="H333" s="451" t="s">
        <v>42</v>
      </c>
      <c r="I333" s="462" t="s">
        <v>39</v>
      </c>
    </row>
    <row r="334" spans="1:9">
      <c r="A334" s="476"/>
      <c r="B334" s="476"/>
      <c r="C334" s="451"/>
      <c r="D334" s="465"/>
      <c r="E334" s="608"/>
      <c r="F334" s="608"/>
      <c r="G334" s="608"/>
      <c r="H334" s="462"/>
      <c r="I334" s="461"/>
    </row>
    <row r="335" spans="1:9">
      <c r="A335" s="477"/>
      <c r="B335" s="477"/>
      <c r="C335" s="451"/>
      <c r="D335" s="465"/>
      <c r="E335" s="608"/>
      <c r="F335" s="608"/>
      <c r="G335" s="608"/>
      <c r="H335" s="462"/>
      <c r="I335" s="461"/>
    </row>
    <row r="336" spans="1:9">
      <c r="A336" s="478"/>
      <c r="B336" s="478"/>
      <c r="C336" s="451"/>
      <c r="D336" s="465"/>
      <c r="E336" s="608"/>
      <c r="F336" s="608"/>
      <c r="G336" s="608"/>
      <c r="H336" s="462"/>
      <c r="I336" s="461"/>
    </row>
    <row r="337" spans="1:9">
      <c r="A337" s="478"/>
      <c r="B337" s="478"/>
      <c r="C337" s="451"/>
      <c r="D337" s="465"/>
      <c r="E337" s="608"/>
      <c r="F337" s="608"/>
      <c r="G337" s="608"/>
      <c r="H337" s="462"/>
      <c r="I337" s="461"/>
    </row>
    <row r="338" spans="1:9">
      <c r="A338" s="478"/>
      <c r="B338" s="478"/>
      <c r="C338" s="451"/>
      <c r="D338" s="465"/>
      <c r="E338" s="608"/>
      <c r="F338" s="608"/>
      <c r="G338" s="608"/>
      <c r="H338" s="471"/>
      <c r="I338" s="461"/>
    </row>
    <row r="339" spans="1:9">
      <c r="A339" s="762" t="s">
        <v>40</v>
      </c>
      <c r="B339" s="762"/>
      <c r="C339" s="762"/>
      <c r="D339" s="762"/>
      <c r="E339" s="762"/>
      <c r="F339" s="762"/>
      <c r="G339" s="762"/>
      <c r="H339" s="762"/>
      <c r="I339" s="461">
        <f>SUM(I334:I338)</f>
        <v>0</v>
      </c>
    </row>
    <row r="340" spans="1:9">
      <c r="A340" s="756" t="s">
        <v>44</v>
      </c>
      <c r="B340" s="757"/>
      <c r="C340" s="757"/>
      <c r="D340" s="757"/>
      <c r="E340" s="757"/>
      <c r="F340" s="757"/>
      <c r="G340" s="757"/>
      <c r="H340" s="757"/>
      <c r="I340" s="758"/>
    </row>
    <row r="341" spans="1:9">
      <c r="A341" s="450" t="s">
        <v>716</v>
      </c>
      <c r="B341" s="450"/>
      <c r="C341" s="451" t="s">
        <v>34</v>
      </c>
      <c r="D341" s="452" t="s">
        <v>814</v>
      </c>
      <c r="E341" s="452"/>
      <c r="F341" s="452"/>
      <c r="G341" s="452"/>
      <c r="H341" s="451" t="s">
        <v>42</v>
      </c>
      <c r="I341" s="451" t="s">
        <v>39</v>
      </c>
    </row>
    <row r="342" spans="1:9">
      <c r="A342" s="446" t="s">
        <v>1227</v>
      </c>
      <c r="B342" s="614">
        <v>90778</v>
      </c>
      <c r="C342" s="451" t="s">
        <v>926</v>
      </c>
      <c r="D342" s="465">
        <v>40</v>
      </c>
      <c r="E342" s="452"/>
      <c r="F342" s="452"/>
      <c r="G342" s="452"/>
      <c r="H342" s="618">
        <v>93.01</v>
      </c>
      <c r="I342" s="442">
        <f>H342*D342</f>
        <v>3720.4</v>
      </c>
    </row>
    <row r="343" spans="1:9" ht="25.5">
      <c r="A343" s="615" t="s">
        <v>1149</v>
      </c>
      <c r="B343" s="616">
        <v>88597</v>
      </c>
      <c r="C343" s="454" t="s">
        <v>926</v>
      </c>
      <c r="D343" s="480">
        <v>80</v>
      </c>
      <c r="E343" s="452"/>
      <c r="F343" s="452"/>
      <c r="G343" s="452"/>
      <c r="H343" s="618">
        <v>46.88</v>
      </c>
      <c r="I343" s="442">
        <f>H343*D343</f>
        <v>3750.4</v>
      </c>
    </row>
    <row r="344" spans="1:9">
      <c r="A344" s="763" t="s">
        <v>40</v>
      </c>
      <c r="B344" s="764"/>
      <c r="C344" s="764"/>
      <c r="D344" s="764"/>
      <c r="E344" s="764"/>
      <c r="F344" s="764"/>
      <c r="G344" s="764"/>
      <c r="H344" s="765"/>
      <c r="I344" s="458">
        <f>SUM(I342:I343)</f>
        <v>7470.8</v>
      </c>
    </row>
    <row r="345" spans="1:9">
      <c r="A345" s="606" t="s">
        <v>45</v>
      </c>
      <c r="B345" s="606"/>
      <c r="C345" s="463">
        <v>1</v>
      </c>
      <c r="D345" s="763" t="s">
        <v>46</v>
      </c>
      <c r="E345" s="764"/>
      <c r="F345" s="764"/>
      <c r="G345" s="764"/>
      <c r="H345" s="765"/>
      <c r="I345" s="458">
        <f>I344+I339+I331+I327</f>
        <v>7470.8</v>
      </c>
    </row>
    <row r="346" spans="1:9">
      <c r="A346" s="745" t="s">
        <v>924</v>
      </c>
      <c r="B346" s="746"/>
      <c r="C346" s="747"/>
      <c r="D346" s="747"/>
      <c r="E346" s="747"/>
      <c r="F346" s="747"/>
      <c r="G346" s="748"/>
      <c r="H346" s="749"/>
      <c r="I346" s="481">
        <f>I345/C345</f>
        <v>7470.8</v>
      </c>
    </row>
    <row r="347" spans="1:9">
      <c r="A347" s="750" t="s">
        <v>47</v>
      </c>
      <c r="B347" s="751"/>
      <c r="C347" s="751"/>
      <c r="D347" s="751"/>
      <c r="E347" s="751"/>
      <c r="F347" s="751"/>
      <c r="G347" s="751"/>
      <c r="H347" s="752"/>
      <c r="I347" s="461">
        <v>1</v>
      </c>
    </row>
    <row r="348" spans="1:9">
      <c r="A348" s="753" t="s">
        <v>48</v>
      </c>
      <c r="B348" s="754"/>
      <c r="C348" s="754"/>
      <c r="D348" s="754"/>
      <c r="E348" s="754"/>
      <c r="F348" s="754"/>
      <c r="G348" s="754"/>
      <c r="H348" s="755"/>
      <c r="I348" s="461">
        <f>I347*I346</f>
        <v>7470.8</v>
      </c>
    </row>
    <row r="350" spans="1:9" ht="15.75">
      <c r="A350" s="466" t="s">
        <v>29</v>
      </c>
      <c r="B350" s="612"/>
      <c r="C350" s="766" t="s">
        <v>30</v>
      </c>
      <c r="D350" s="767"/>
      <c r="E350" s="767"/>
      <c r="F350" s="767"/>
      <c r="G350" s="767"/>
      <c r="H350" s="767"/>
      <c r="I350" s="768"/>
    </row>
    <row r="351" spans="1:9">
      <c r="A351" s="474" t="s">
        <v>52</v>
      </c>
      <c r="B351" s="613"/>
      <c r="C351" s="443"/>
      <c r="D351" s="607"/>
      <c r="E351" s="443"/>
      <c r="F351" s="445"/>
      <c r="G351" s="445"/>
      <c r="H351" s="446" t="s">
        <v>31</v>
      </c>
      <c r="I351" s="482">
        <f>I322</f>
        <v>43372</v>
      </c>
    </row>
    <row r="352" spans="1:9">
      <c r="A352" s="769" t="s">
        <v>1038</v>
      </c>
      <c r="B352" s="770"/>
      <c r="C352" s="770"/>
      <c r="D352" s="770"/>
      <c r="E352" s="770"/>
      <c r="F352" s="770"/>
      <c r="G352" s="771"/>
      <c r="H352" s="448" t="s">
        <v>32</v>
      </c>
      <c r="I352" s="449" t="s">
        <v>183</v>
      </c>
    </row>
    <row r="353" spans="1:9">
      <c r="A353" s="756" t="s">
        <v>33</v>
      </c>
      <c r="B353" s="757"/>
      <c r="C353" s="757"/>
      <c r="D353" s="757"/>
      <c r="E353" s="757"/>
      <c r="F353" s="757"/>
      <c r="G353" s="757"/>
      <c r="H353" s="757"/>
      <c r="I353" s="758"/>
    </row>
    <row r="354" spans="1:9">
      <c r="A354" s="450" t="s">
        <v>716</v>
      </c>
      <c r="B354" s="450" t="s">
        <v>1113</v>
      </c>
      <c r="C354" s="451" t="s">
        <v>34</v>
      </c>
      <c r="D354" s="452" t="s">
        <v>814</v>
      </c>
      <c r="E354" s="453" t="s">
        <v>35</v>
      </c>
      <c r="F354" s="453" t="s">
        <v>36</v>
      </c>
      <c r="G354" s="467" t="s">
        <v>37</v>
      </c>
      <c r="H354" s="467" t="s">
        <v>38</v>
      </c>
      <c r="I354" s="451" t="s">
        <v>39</v>
      </c>
    </row>
    <row r="355" spans="1:9">
      <c r="A355" s="756" t="s">
        <v>41</v>
      </c>
      <c r="B355" s="757"/>
      <c r="C355" s="757"/>
      <c r="D355" s="757"/>
      <c r="E355" s="757"/>
      <c r="F355" s="757"/>
      <c r="G355" s="757"/>
      <c r="H355" s="757"/>
      <c r="I355" s="758"/>
    </row>
    <row r="356" spans="1:9">
      <c r="A356" s="450" t="s">
        <v>716</v>
      </c>
      <c r="B356" s="450"/>
      <c r="C356" s="451" t="s">
        <v>34</v>
      </c>
      <c r="D356" s="452" t="s">
        <v>814</v>
      </c>
      <c r="E356" s="452"/>
      <c r="F356" s="452"/>
      <c r="G356" s="452"/>
      <c r="H356" s="451" t="s">
        <v>42</v>
      </c>
      <c r="I356" s="451" t="s">
        <v>39</v>
      </c>
    </row>
    <row r="357" spans="1:9">
      <c r="A357" s="476"/>
      <c r="B357" s="476"/>
      <c r="C357" s="451"/>
      <c r="D357" s="465"/>
      <c r="E357" s="452"/>
      <c r="F357" s="452"/>
      <c r="G357" s="452"/>
      <c r="H357" s="462"/>
      <c r="I357" s="442"/>
    </row>
    <row r="358" spans="1:9">
      <c r="A358" s="762" t="s">
        <v>40</v>
      </c>
      <c r="B358" s="762"/>
      <c r="C358" s="762"/>
      <c r="D358" s="762"/>
      <c r="E358" s="762"/>
      <c r="F358" s="762"/>
      <c r="G358" s="762"/>
      <c r="H358" s="762"/>
      <c r="I358" s="461">
        <f>SUM(I357)</f>
        <v>0</v>
      </c>
    </row>
    <row r="359" spans="1:9">
      <c r="A359" s="756" t="s">
        <v>43</v>
      </c>
      <c r="B359" s="757"/>
      <c r="C359" s="757"/>
      <c r="D359" s="757"/>
      <c r="E359" s="757"/>
      <c r="F359" s="757"/>
      <c r="G359" s="757"/>
      <c r="H359" s="757"/>
      <c r="I359" s="758"/>
    </row>
    <row r="360" spans="1:9">
      <c r="A360" s="451" t="s">
        <v>716</v>
      </c>
      <c r="B360" s="451" t="s">
        <v>1113</v>
      </c>
      <c r="C360" s="608" t="s">
        <v>34</v>
      </c>
      <c r="D360" s="608" t="s">
        <v>814</v>
      </c>
      <c r="E360" s="608"/>
      <c r="F360" s="608"/>
      <c r="G360" s="608"/>
      <c r="H360" s="451" t="s">
        <v>42</v>
      </c>
      <c r="I360" s="462" t="s">
        <v>39</v>
      </c>
    </row>
    <row r="361" spans="1:9">
      <c r="A361" s="623" t="s">
        <v>1150</v>
      </c>
      <c r="B361" s="624">
        <v>73970</v>
      </c>
      <c r="C361" s="451" t="s">
        <v>183</v>
      </c>
      <c r="D361" s="465">
        <v>1.05</v>
      </c>
      <c r="E361" s="608"/>
      <c r="F361" s="608"/>
      <c r="G361" s="608"/>
      <c r="H361" s="618">
        <v>9.76</v>
      </c>
      <c r="I361" s="461">
        <f>H361*D361</f>
        <v>10.247999999999999</v>
      </c>
    </row>
    <row r="362" spans="1:9">
      <c r="A362" s="477"/>
      <c r="B362" s="477"/>
      <c r="C362" s="451"/>
      <c r="D362" s="465"/>
      <c r="E362" s="608"/>
      <c r="F362" s="608"/>
      <c r="G362" s="608"/>
      <c r="H362" s="462"/>
      <c r="I362" s="461"/>
    </row>
    <row r="363" spans="1:9">
      <c r="A363" s="478"/>
      <c r="B363" s="478"/>
      <c r="C363" s="451"/>
      <c r="D363" s="465"/>
      <c r="E363" s="608"/>
      <c r="F363" s="608"/>
      <c r="G363" s="608"/>
      <c r="H363" s="462"/>
      <c r="I363" s="461"/>
    </row>
    <row r="364" spans="1:9">
      <c r="A364" s="478"/>
      <c r="B364" s="478"/>
      <c r="C364" s="451"/>
      <c r="D364" s="465"/>
      <c r="E364" s="608"/>
      <c r="F364" s="608"/>
      <c r="G364" s="608"/>
      <c r="H364" s="462"/>
      <c r="I364" s="461"/>
    </row>
    <row r="365" spans="1:9">
      <c r="A365" s="478"/>
      <c r="B365" s="478"/>
      <c r="C365" s="451"/>
      <c r="D365" s="465"/>
      <c r="E365" s="608"/>
      <c r="F365" s="608"/>
      <c r="G365" s="608"/>
      <c r="H365" s="471"/>
      <c r="I365" s="461"/>
    </row>
    <row r="366" spans="1:9">
      <c r="A366" s="762" t="s">
        <v>40</v>
      </c>
      <c r="B366" s="762"/>
      <c r="C366" s="762"/>
      <c r="D366" s="762"/>
      <c r="E366" s="762"/>
      <c r="F366" s="762"/>
      <c r="G366" s="762"/>
      <c r="H366" s="762"/>
      <c r="I366" s="461">
        <f>SUM(I361:I365)</f>
        <v>10.247999999999999</v>
      </c>
    </row>
    <row r="367" spans="1:9">
      <c r="A367" s="756" t="s">
        <v>44</v>
      </c>
      <c r="B367" s="757"/>
      <c r="C367" s="757"/>
      <c r="D367" s="757"/>
      <c r="E367" s="757"/>
      <c r="F367" s="757"/>
      <c r="G367" s="757"/>
      <c r="H367" s="757"/>
      <c r="I367" s="758"/>
    </row>
    <row r="368" spans="1:9">
      <c r="A368" s="450" t="s">
        <v>716</v>
      </c>
      <c r="B368" s="450"/>
      <c r="C368" s="451" t="s">
        <v>34</v>
      </c>
      <c r="D368" s="452" t="s">
        <v>814</v>
      </c>
      <c r="E368" s="452"/>
      <c r="F368" s="452"/>
      <c r="G368" s="452"/>
      <c r="H368" s="451" t="s">
        <v>42</v>
      </c>
      <c r="I368" s="451" t="s">
        <v>39</v>
      </c>
    </row>
    <row r="369" spans="1:9">
      <c r="A369" s="450" t="s">
        <v>1228</v>
      </c>
      <c r="B369" s="450">
        <v>88317</v>
      </c>
      <c r="C369" s="451" t="s">
        <v>926</v>
      </c>
      <c r="D369" s="465">
        <v>1</v>
      </c>
      <c r="E369" s="452"/>
      <c r="F369" s="452"/>
      <c r="G369" s="452"/>
      <c r="H369" s="462">
        <v>21.7</v>
      </c>
      <c r="I369" s="451">
        <f>D369*H369</f>
        <v>21.7</v>
      </c>
    </row>
    <row r="370" spans="1:9">
      <c r="A370" s="446" t="s">
        <v>1116</v>
      </c>
      <c r="B370" s="450">
        <v>88278</v>
      </c>
      <c r="C370" s="451" t="s">
        <v>926</v>
      </c>
      <c r="D370" s="465">
        <v>1</v>
      </c>
      <c r="E370" s="452"/>
      <c r="F370" s="452"/>
      <c r="G370" s="452"/>
      <c r="H370" s="462">
        <v>19.18</v>
      </c>
      <c r="I370" s="451">
        <f>D370*H370</f>
        <v>19.18</v>
      </c>
    </row>
    <row r="371" spans="1:9">
      <c r="A371" s="479" t="s">
        <v>1229</v>
      </c>
      <c r="B371" s="454">
        <v>88243</v>
      </c>
      <c r="C371" s="454" t="s">
        <v>926</v>
      </c>
      <c r="D371" s="480">
        <v>1</v>
      </c>
      <c r="E371" s="452"/>
      <c r="F371" s="452"/>
      <c r="G371" s="452"/>
      <c r="H371" s="462">
        <v>16.829999999999998</v>
      </c>
      <c r="I371" s="442">
        <f>H371*D371</f>
        <v>16.829999999999998</v>
      </c>
    </row>
    <row r="372" spans="1:9">
      <c r="A372" s="763" t="s">
        <v>40</v>
      </c>
      <c r="B372" s="764"/>
      <c r="C372" s="764"/>
      <c r="D372" s="764"/>
      <c r="E372" s="764"/>
      <c r="F372" s="764"/>
      <c r="G372" s="764"/>
      <c r="H372" s="765"/>
      <c r="I372" s="458">
        <f>SUM(I370:I371)</f>
        <v>36.01</v>
      </c>
    </row>
    <row r="373" spans="1:9">
      <c r="A373" s="606" t="s">
        <v>45</v>
      </c>
      <c r="B373" s="606"/>
      <c r="C373" s="463">
        <v>1.2</v>
      </c>
      <c r="D373" s="763" t="s">
        <v>46</v>
      </c>
      <c r="E373" s="764"/>
      <c r="F373" s="764"/>
      <c r="G373" s="764"/>
      <c r="H373" s="765"/>
      <c r="I373" s="458">
        <f>I361+I372</f>
        <v>46.257999999999996</v>
      </c>
    </row>
    <row r="374" spans="1:9">
      <c r="A374" s="745" t="s">
        <v>924</v>
      </c>
      <c r="B374" s="746"/>
      <c r="C374" s="747"/>
      <c r="D374" s="747"/>
      <c r="E374" s="747"/>
      <c r="F374" s="747"/>
      <c r="G374" s="748"/>
      <c r="H374" s="749"/>
      <c r="I374" s="481">
        <f>I373/C373</f>
        <v>38.548333333333332</v>
      </c>
    </row>
    <row r="375" spans="1:9">
      <c r="A375" s="750"/>
      <c r="B375" s="751"/>
      <c r="C375" s="751"/>
      <c r="D375" s="751"/>
      <c r="E375" s="751"/>
      <c r="F375" s="751"/>
      <c r="G375" s="751"/>
      <c r="H375" s="752"/>
      <c r="I375" s="461">
        <v>1</v>
      </c>
    </row>
    <row r="376" spans="1:9">
      <c r="A376" s="753" t="s">
        <v>48</v>
      </c>
      <c r="B376" s="754"/>
      <c r="C376" s="754"/>
      <c r="D376" s="754"/>
      <c r="E376" s="754"/>
      <c r="F376" s="754"/>
      <c r="G376" s="754"/>
      <c r="H376" s="755"/>
      <c r="I376" s="461">
        <f>I375*I374</f>
        <v>38.548333333333332</v>
      </c>
    </row>
  </sheetData>
  <mergeCells count="165">
    <mergeCell ref="A375:H375"/>
    <mergeCell ref="A376:H376"/>
    <mergeCell ref="A355:I355"/>
    <mergeCell ref="A358:H358"/>
    <mergeCell ref="A359:I359"/>
    <mergeCell ref="A366:H366"/>
    <mergeCell ref="A367:I367"/>
    <mergeCell ref="A372:H372"/>
    <mergeCell ref="D373:H373"/>
    <mergeCell ref="A374:H374"/>
    <mergeCell ref="A340:I340"/>
    <mergeCell ref="A344:H344"/>
    <mergeCell ref="D345:H345"/>
    <mergeCell ref="A346:H346"/>
    <mergeCell ref="A347:H347"/>
    <mergeCell ref="A348:H348"/>
    <mergeCell ref="C350:I350"/>
    <mergeCell ref="A352:G352"/>
    <mergeCell ref="A353:I353"/>
    <mergeCell ref="C321:I321"/>
    <mergeCell ref="A323:G323"/>
    <mergeCell ref="A324:I324"/>
    <mergeCell ref="A327:H327"/>
    <mergeCell ref="A328:I328"/>
    <mergeCell ref="A331:H331"/>
    <mergeCell ref="A332:I332"/>
    <mergeCell ref="A339:H339"/>
    <mergeCell ref="A255:H255"/>
    <mergeCell ref="C256:I256"/>
    <mergeCell ref="A258:G258"/>
    <mergeCell ref="A259:I259"/>
    <mergeCell ref="A263:H263"/>
    <mergeCell ref="A264:I264"/>
    <mergeCell ref="A271:H271"/>
    <mergeCell ref="A272:I272"/>
    <mergeCell ref="A279:H279"/>
    <mergeCell ref="A280:I280"/>
    <mergeCell ref="A284:H284"/>
    <mergeCell ref="D285:H285"/>
    <mergeCell ref="A286:H286"/>
    <mergeCell ref="A287:H287"/>
    <mergeCell ref="A288:H288"/>
    <mergeCell ref="A290:G290"/>
    <mergeCell ref="A246:I246"/>
    <mergeCell ref="A251:H251"/>
    <mergeCell ref="D252:H252"/>
    <mergeCell ref="A253:H253"/>
    <mergeCell ref="A254:H254"/>
    <mergeCell ref="A229:H229"/>
    <mergeCell ref="A230:I230"/>
    <mergeCell ref="A237:H237"/>
    <mergeCell ref="A238:I238"/>
    <mergeCell ref="A245:H245"/>
    <mergeCell ref="A221:H221"/>
    <mergeCell ref="A222:H222"/>
    <mergeCell ref="C223:I223"/>
    <mergeCell ref="A225:G225"/>
    <mergeCell ref="A226:I226"/>
    <mergeCell ref="A212:H212"/>
    <mergeCell ref="A213:I213"/>
    <mergeCell ref="A218:H218"/>
    <mergeCell ref="D219:H219"/>
    <mergeCell ref="A220:H220"/>
    <mergeCell ref="A193:I193"/>
    <mergeCell ref="A196:H196"/>
    <mergeCell ref="A197:I197"/>
    <mergeCell ref="A204:H204"/>
    <mergeCell ref="A205:I205"/>
    <mergeCell ref="A187:H187"/>
    <mergeCell ref="A188:H188"/>
    <mergeCell ref="A189:H189"/>
    <mergeCell ref="C190:I190"/>
    <mergeCell ref="A192:G192"/>
    <mergeCell ref="A172:I172"/>
    <mergeCell ref="A179:H179"/>
    <mergeCell ref="A180:I180"/>
    <mergeCell ref="A185:H185"/>
    <mergeCell ref="D186:H186"/>
    <mergeCell ref="A159:G159"/>
    <mergeCell ref="A160:I160"/>
    <mergeCell ref="A163:H163"/>
    <mergeCell ref="A164:I164"/>
    <mergeCell ref="A171:H171"/>
    <mergeCell ref="D153:H153"/>
    <mergeCell ref="A154:H154"/>
    <mergeCell ref="A155:H155"/>
    <mergeCell ref="A156:H156"/>
    <mergeCell ref="C157:I157"/>
    <mergeCell ref="A138:H138"/>
    <mergeCell ref="A139:I139"/>
    <mergeCell ref="A146:H146"/>
    <mergeCell ref="A147:I147"/>
    <mergeCell ref="A152:H152"/>
    <mergeCell ref="C124:I124"/>
    <mergeCell ref="A126:G126"/>
    <mergeCell ref="A127:I127"/>
    <mergeCell ref="A130:H130"/>
    <mergeCell ref="A131:I131"/>
    <mergeCell ref="A35:H35"/>
    <mergeCell ref="C2:I2"/>
    <mergeCell ref="A4:G4"/>
    <mergeCell ref="A5:I5"/>
    <mergeCell ref="A12:H12"/>
    <mergeCell ref="A13:I13"/>
    <mergeCell ref="A23:H23"/>
    <mergeCell ref="A24:I24"/>
    <mergeCell ref="A27:H27"/>
    <mergeCell ref="A28:I28"/>
    <mergeCell ref="A33:H33"/>
    <mergeCell ref="D34:H34"/>
    <mergeCell ref="A59:H59"/>
    <mergeCell ref="A36:H36"/>
    <mergeCell ref="A37:H37"/>
    <mergeCell ref="C38:I38"/>
    <mergeCell ref="A40:G40"/>
    <mergeCell ref="A41:I41"/>
    <mergeCell ref="A45:H45"/>
    <mergeCell ref="A46:I46"/>
    <mergeCell ref="A50:H50"/>
    <mergeCell ref="A51:I51"/>
    <mergeCell ref="A54:H54"/>
    <mergeCell ref="A55:I55"/>
    <mergeCell ref="D60:H60"/>
    <mergeCell ref="A61:H61"/>
    <mergeCell ref="A62:H62"/>
    <mergeCell ref="A63:H63"/>
    <mergeCell ref="C92:I92"/>
    <mergeCell ref="A94:G94"/>
    <mergeCell ref="A95:I95"/>
    <mergeCell ref="A74:H74"/>
    <mergeCell ref="C64:I64"/>
    <mergeCell ref="A66:G66"/>
    <mergeCell ref="A67:I67"/>
    <mergeCell ref="A70:H70"/>
    <mergeCell ref="A71:I71"/>
    <mergeCell ref="A75:I75"/>
    <mergeCell ref="A82:H82"/>
    <mergeCell ref="A83:I83"/>
    <mergeCell ref="A87:H87"/>
    <mergeCell ref="D88:H88"/>
    <mergeCell ref="A89:H89"/>
    <mergeCell ref="A90:H90"/>
    <mergeCell ref="A91:H91"/>
    <mergeCell ref="A97:I97"/>
    <mergeCell ref="A104:H104"/>
    <mergeCell ref="A121:H121"/>
    <mergeCell ref="A122:H122"/>
    <mergeCell ref="A123:H123"/>
    <mergeCell ref="A105:I105"/>
    <mergeCell ref="A112:H112"/>
    <mergeCell ref="A113:I113"/>
    <mergeCell ref="A119:H119"/>
    <mergeCell ref="D120:H120"/>
    <mergeCell ref="A318:H318"/>
    <mergeCell ref="A319:H319"/>
    <mergeCell ref="A320:H320"/>
    <mergeCell ref="A291:I291"/>
    <mergeCell ref="A295:H295"/>
    <mergeCell ref="A296:I296"/>
    <mergeCell ref="A303:H303"/>
    <mergeCell ref="A304:I304"/>
    <mergeCell ref="A311:H311"/>
    <mergeCell ref="A312:I312"/>
    <mergeCell ref="A316:H316"/>
    <mergeCell ref="D317:H317"/>
  </mergeCells>
  <printOptions horizontalCentered="1"/>
  <pageMargins left="0.31496062992125984" right="0.11811023622047245" top="0.59055118110236227" bottom="0.59055118110236227" header="0.11811023622047245" footer="0.11811023622047245"/>
  <pageSetup paperSize="9" scale="70" fitToWidth="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1"/>
  <sheetViews>
    <sheetView view="pageBreakPreview" topLeftCell="A4" zoomScale="115" zoomScaleNormal="70" zoomScaleSheetLayoutView="115" workbookViewId="0">
      <selection activeCell="F26" sqref="F26"/>
    </sheetView>
  </sheetViews>
  <sheetFormatPr defaultRowHeight="12.75"/>
  <cols>
    <col min="1" max="1" width="62.5703125" customWidth="1"/>
    <col min="3" max="3" width="12.7109375" customWidth="1"/>
    <col min="6" max="6" width="13.5703125" customWidth="1"/>
    <col min="7" max="7" width="13.140625" customWidth="1"/>
    <col min="8" max="8" width="10.5703125" customWidth="1"/>
  </cols>
  <sheetData>
    <row r="2" spans="1:8" ht="15.75">
      <c r="A2" s="466" t="s">
        <v>29</v>
      </c>
      <c r="B2" s="766" t="s">
        <v>30</v>
      </c>
      <c r="C2" s="767"/>
      <c r="D2" s="767"/>
      <c r="E2" s="767"/>
      <c r="F2" s="767"/>
      <c r="G2" s="767"/>
      <c r="H2" s="768"/>
    </row>
    <row r="3" spans="1:8">
      <c r="A3" s="474" t="s">
        <v>958</v>
      </c>
      <c r="B3" s="443"/>
      <c r="C3" s="444"/>
      <c r="D3" s="443"/>
      <c r="E3" s="445"/>
      <c r="F3" s="445"/>
      <c r="G3" s="446" t="s">
        <v>31</v>
      </c>
      <c r="H3" s="482">
        <v>43372</v>
      </c>
    </row>
    <row r="4" spans="1:8">
      <c r="A4" s="769"/>
      <c r="B4" s="770"/>
      <c r="C4" s="770"/>
      <c r="D4" s="770"/>
      <c r="E4" s="770"/>
      <c r="F4" s="771"/>
      <c r="G4" s="448" t="s">
        <v>32</v>
      </c>
      <c r="H4" s="449" t="s">
        <v>925</v>
      </c>
    </row>
    <row r="5" spans="1:8">
      <c r="A5" s="756" t="s">
        <v>33</v>
      </c>
      <c r="B5" s="757"/>
      <c r="C5" s="757"/>
      <c r="D5" s="757"/>
      <c r="E5" s="757"/>
      <c r="F5" s="757"/>
      <c r="G5" s="757"/>
      <c r="H5" s="758"/>
    </row>
    <row r="6" spans="1:8">
      <c r="A6" s="450" t="s">
        <v>716</v>
      </c>
      <c r="B6" s="451" t="s">
        <v>34</v>
      </c>
      <c r="C6" s="452" t="s">
        <v>814</v>
      </c>
      <c r="D6" s="453" t="s">
        <v>35</v>
      </c>
      <c r="E6" s="453" t="s">
        <v>36</v>
      </c>
      <c r="F6" s="467" t="s">
        <v>37</v>
      </c>
      <c r="G6" s="467" t="s">
        <v>38</v>
      </c>
      <c r="H6" s="451" t="s">
        <v>39</v>
      </c>
    </row>
    <row r="7" spans="1:8">
      <c r="A7" s="450"/>
      <c r="B7" s="451"/>
      <c r="C7" s="452"/>
      <c r="D7" s="453"/>
      <c r="E7" s="453"/>
      <c r="F7" s="467"/>
      <c r="G7" s="467"/>
      <c r="H7" s="451"/>
    </row>
    <row r="8" spans="1:8">
      <c r="A8" s="447"/>
      <c r="B8" s="451"/>
      <c r="C8" s="452"/>
      <c r="D8" s="469"/>
      <c r="E8" s="469"/>
      <c r="F8" s="467"/>
      <c r="G8" s="467"/>
      <c r="H8" s="442"/>
    </row>
    <row r="9" spans="1:8">
      <c r="A9" s="759" t="s">
        <v>40</v>
      </c>
      <c r="B9" s="760"/>
      <c r="C9" s="760"/>
      <c r="D9" s="760"/>
      <c r="E9" s="760"/>
      <c r="F9" s="760"/>
      <c r="G9" s="761"/>
      <c r="H9" s="458">
        <f>SUM(H8)</f>
        <v>0</v>
      </c>
    </row>
    <row r="10" spans="1:8">
      <c r="A10" s="756" t="s">
        <v>41</v>
      </c>
      <c r="B10" s="757"/>
      <c r="C10" s="757"/>
      <c r="D10" s="757"/>
      <c r="E10" s="757"/>
      <c r="F10" s="757"/>
      <c r="G10" s="757"/>
      <c r="H10" s="758"/>
    </row>
    <row r="11" spans="1:8">
      <c r="A11" s="450" t="s">
        <v>716</v>
      </c>
      <c r="B11" s="451" t="s">
        <v>34</v>
      </c>
      <c r="C11" s="452" t="s">
        <v>814</v>
      </c>
      <c r="D11" s="452"/>
      <c r="E11" s="452"/>
      <c r="F11" s="452"/>
      <c r="G11" s="451" t="s">
        <v>42</v>
      </c>
      <c r="H11" s="451" t="s">
        <v>39</v>
      </c>
    </row>
    <row r="12" spans="1:8">
      <c r="A12" s="450"/>
      <c r="B12" s="451"/>
      <c r="C12" s="452"/>
      <c r="D12" s="452"/>
      <c r="E12" s="452"/>
      <c r="F12" s="452"/>
      <c r="G12" s="451"/>
      <c r="H12" s="451"/>
    </row>
    <row r="13" spans="1:8">
      <c r="A13" s="476"/>
      <c r="B13" s="451"/>
      <c r="C13" s="465"/>
      <c r="D13" s="452"/>
      <c r="E13" s="452"/>
      <c r="F13" s="452"/>
      <c r="G13" s="462"/>
      <c r="H13" s="442"/>
    </row>
    <row r="14" spans="1:8">
      <c r="A14" s="762" t="s">
        <v>40</v>
      </c>
      <c r="B14" s="762"/>
      <c r="C14" s="762"/>
      <c r="D14" s="762"/>
      <c r="E14" s="762"/>
      <c r="F14" s="762"/>
      <c r="G14" s="762"/>
      <c r="H14" s="461">
        <f>SUM(H13)</f>
        <v>0</v>
      </c>
    </row>
    <row r="15" spans="1:8">
      <c r="A15" s="756" t="s">
        <v>43</v>
      </c>
      <c r="B15" s="757"/>
      <c r="C15" s="757"/>
      <c r="D15" s="757"/>
      <c r="E15" s="757"/>
      <c r="F15" s="757"/>
      <c r="G15" s="757"/>
      <c r="H15" s="758"/>
    </row>
    <row r="16" spans="1:8">
      <c r="A16" s="451" t="s">
        <v>716</v>
      </c>
      <c r="B16" s="460" t="s">
        <v>34</v>
      </c>
      <c r="C16" s="460" t="s">
        <v>814</v>
      </c>
      <c r="D16" s="460"/>
      <c r="E16" s="460"/>
      <c r="F16" s="460"/>
      <c r="G16" s="451" t="s">
        <v>42</v>
      </c>
      <c r="H16" s="462" t="s">
        <v>39</v>
      </c>
    </row>
    <row r="17" spans="1:8">
      <c r="A17" s="476" t="s">
        <v>960</v>
      </c>
      <c r="B17" s="451"/>
      <c r="C17" s="465">
        <v>1</v>
      </c>
      <c r="D17" s="460"/>
      <c r="E17" s="460"/>
      <c r="F17" s="460"/>
      <c r="G17" s="462">
        <v>4000</v>
      </c>
      <c r="H17" s="461">
        <f>C17*G17</f>
        <v>4000</v>
      </c>
    </row>
    <row r="18" spans="1:8">
      <c r="A18" s="477" t="s">
        <v>959</v>
      </c>
      <c r="B18" s="451"/>
      <c r="C18" s="465">
        <v>1</v>
      </c>
      <c r="D18" s="460"/>
      <c r="E18" s="460"/>
      <c r="F18" s="460"/>
      <c r="G18" s="462">
        <v>2000</v>
      </c>
      <c r="H18" s="461">
        <f>C18*G18</f>
        <v>2000</v>
      </c>
    </row>
    <row r="19" spans="1:8">
      <c r="A19" s="478"/>
      <c r="B19" s="451"/>
      <c r="C19" s="465"/>
      <c r="D19" s="460"/>
      <c r="E19" s="460"/>
      <c r="F19" s="460"/>
      <c r="G19" s="462"/>
      <c r="H19" s="461"/>
    </row>
    <row r="20" spans="1:8">
      <c r="A20" s="478"/>
      <c r="B20" s="451"/>
      <c r="C20" s="465"/>
      <c r="D20" s="460"/>
      <c r="E20" s="460"/>
      <c r="F20" s="460"/>
      <c r="G20" s="462"/>
      <c r="H20" s="461"/>
    </row>
    <row r="21" spans="1:8">
      <c r="A21" s="478"/>
      <c r="B21" s="451"/>
      <c r="C21" s="465"/>
      <c r="D21" s="460"/>
      <c r="E21" s="460"/>
      <c r="F21" s="460"/>
      <c r="G21" s="471"/>
      <c r="H21" s="461"/>
    </row>
    <row r="22" spans="1:8">
      <c r="A22" s="762" t="s">
        <v>40</v>
      </c>
      <c r="B22" s="762"/>
      <c r="C22" s="762"/>
      <c r="D22" s="762"/>
      <c r="E22" s="762"/>
      <c r="F22" s="762"/>
      <c r="G22" s="762"/>
      <c r="H22" s="461">
        <f>SUM(H17:H21)</f>
        <v>6000</v>
      </c>
    </row>
    <row r="23" spans="1:8">
      <c r="A23" s="756" t="s">
        <v>44</v>
      </c>
      <c r="B23" s="757"/>
      <c r="C23" s="757"/>
      <c r="D23" s="757"/>
      <c r="E23" s="757"/>
      <c r="F23" s="757"/>
      <c r="G23" s="757"/>
      <c r="H23" s="758"/>
    </row>
    <row r="24" spans="1:8">
      <c r="A24" s="450" t="s">
        <v>716</v>
      </c>
      <c r="B24" s="451" t="s">
        <v>34</v>
      </c>
      <c r="C24" s="452" t="s">
        <v>814</v>
      </c>
      <c r="D24" s="452"/>
      <c r="E24" s="452"/>
      <c r="F24" s="452"/>
      <c r="G24" s="451" t="s">
        <v>42</v>
      </c>
      <c r="H24" s="451" t="s">
        <v>39</v>
      </c>
    </row>
    <row r="25" spans="1:8">
      <c r="A25" s="446" t="s">
        <v>957</v>
      </c>
      <c r="B25" s="451" t="s">
        <v>926</v>
      </c>
      <c r="C25" s="465">
        <v>10</v>
      </c>
      <c r="D25" s="452"/>
      <c r="E25" s="452"/>
      <c r="F25" s="452"/>
      <c r="G25" s="462">
        <v>21.65</v>
      </c>
      <c r="H25" s="442">
        <f>G25*C25</f>
        <v>216.5</v>
      </c>
    </row>
    <row r="26" spans="1:8">
      <c r="A26" s="479" t="s">
        <v>953</v>
      </c>
      <c r="B26" s="454" t="s">
        <v>926</v>
      </c>
      <c r="C26" s="480">
        <v>10</v>
      </c>
      <c r="D26" s="452"/>
      <c r="E26" s="452"/>
      <c r="F26" s="452"/>
      <c r="G26" s="462">
        <v>11.9</v>
      </c>
      <c r="H26" s="442">
        <f>G26*C26</f>
        <v>119</v>
      </c>
    </row>
    <row r="27" spans="1:8">
      <c r="A27" s="763" t="s">
        <v>40</v>
      </c>
      <c r="B27" s="764"/>
      <c r="C27" s="764"/>
      <c r="D27" s="764"/>
      <c r="E27" s="764"/>
      <c r="F27" s="764"/>
      <c r="G27" s="765"/>
      <c r="H27" s="458">
        <f>SUM(H25:H26)</f>
        <v>335.5</v>
      </c>
    </row>
    <row r="28" spans="1:8">
      <c r="A28" s="457" t="s">
        <v>45</v>
      </c>
      <c r="B28" s="463">
        <v>1</v>
      </c>
      <c r="C28" s="763" t="s">
        <v>46</v>
      </c>
      <c r="D28" s="764"/>
      <c r="E28" s="764"/>
      <c r="F28" s="764"/>
      <c r="G28" s="765"/>
      <c r="H28" s="458">
        <f>H27+H22+H14+H9</f>
        <v>6335.5</v>
      </c>
    </row>
    <row r="29" spans="1:8">
      <c r="A29" s="745" t="s">
        <v>924</v>
      </c>
      <c r="B29" s="747"/>
      <c r="C29" s="747"/>
      <c r="D29" s="747"/>
      <c r="E29" s="747"/>
      <c r="F29" s="748"/>
      <c r="G29" s="749"/>
      <c r="H29" s="481">
        <f>H28/B28</f>
        <v>6335.5</v>
      </c>
    </row>
    <row r="30" spans="1:8">
      <c r="A30" s="750" t="s">
        <v>47</v>
      </c>
      <c r="B30" s="751"/>
      <c r="C30" s="751"/>
      <c r="D30" s="751"/>
      <c r="E30" s="751"/>
      <c r="F30" s="751"/>
      <c r="G30" s="752"/>
      <c r="H30" s="461">
        <v>1</v>
      </c>
    </row>
    <row r="31" spans="1:8">
      <c r="A31" s="753" t="s">
        <v>48</v>
      </c>
      <c r="B31" s="754"/>
      <c r="C31" s="754"/>
      <c r="D31" s="754"/>
      <c r="E31" s="754"/>
      <c r="F31" s="754"/>
      <c r="G31" s="755"/>
      <c r="H31" s="461">
        <f>H30*H29</f>
        <v>6335.5</v>
      </c>
    </row>
  </sheetData>
  <mergeCells count="14">
    <mergeCell ref="A30:G30"/>
    <mergeCell ref="A31:G31"/>
    <mergeCell ref="A29:G29"/>
    <mergeCell ref="A15:H15"/>
    <mergeCell ref="A22:G22"/>
    <mergeCell ref="A23:H23"/>
    <mergeCell ref="A27:G27"/>
    <mergeCell ref="C28:G28"/>
    <mergeCell ref="A14:G14"/>
    <mergeCell ref="B2:H2"/>
    <mergeCell ref="A4:F4"/>
    <mergeCell ref="A5:H5"/>
    <mergeCell ref="A9:G9"/>
    <mergeCell ref="A10:H10"/>
  </mergeCells>
  <phoneticPr fontId="31" type="noConversion"/>
  <printOptions horizontalCentered="1"/>
  <pageMargins left="0.39370078740157483" right="0.39370078740157483" top="0.59055118110236227" bottom="0.39370078740157483" header="0.31496062992125984" footer="0.11811023622047245"/>
  <pageSetup paperSize="9" scale="69" fitToWidth="0" fitToHeight="0" orientation="portrait" r:id="rId1"/>
  <headerFooter alignWithMargins="0">
    <oddFooter>Página &amp;P de &amp;N</oddFooter>
  </headerFooter>
  <rowBreaks count="1" manualBreakCount="1">
    <brk id="1" max="7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38"/>
  <sheetViews>
    <sheetView workbookViewId="0">
      <selection activeCell="F29" sqref="F29"/>
    </sheetView>
  </sheetViews>
  <sheetFormatPr defaultRowHeight="12.75"/>
  <cols>
    <col min="3" max="3" width="13.28515625" customWidth="1"/>
    <col min="4" max="4" width="34" customWidth="1"/>
    <col min="5" max="5" width="10.140625" customWidth="1"/>
    <col min="6" max="6" width="17.42578125" customWidth="1"/>
  </cols>
  <sheetData>
    <row r="3" spans="3:6" ht="38.25" customHeight="1">
      <c r="C3" s="797" t="s">
        <v>1039</v>
      </c>
      <c r="D3" s="797"/>
      <c r="E3" s="797"/>
      <c r="F3" s="797"/>
    </row>
    <row r="4" spans="3:6">
      <c r="C4" s="497"/>
      <c r="D4" s="498"/>
      <c r="E4" s="499"/>
      <c r="F4" s="499"/>
    </row>
    <row r="5" spans="3:6" ht="13.5" thickBot="1">
      <c r="C5" s="499"/>
      <c r="D5" s="499"/>
      <c r="E5" s="499"/>
      <c r="F5" s="499"/>
    </row>
    <row r="6" spans="3:6">
      <c r="C6" s="798" t="s">
        <v>213</v>
      </c>
      <c r="D6" s="800" t="s">
        <v>214</v>
      </c>
      <c r="E6" s="500" t="s">
        <v>67</v>
      </c>
      <c r="F6" s="526" t="s">
        <v>67</v>
      </c>
    </row>
    <row r="7" spans="3:6" ht="13.5" thickBot="1">
      <c r="C7" s="799"/>
      <c r="D7" s="801"/>
      <c r="E7" s="501" t="s">
        <v>216</v>
      </c>
      <c r="F7" s="527" t="s">
        <v>217</v>
      </c>
    </row>
    <row r="8" spans="3:6">
      <c r="C8" s="502"/>
      <c r="D8" s="503"/>
      <c r="E8" s="504"/>
      <c r="F8" s="528"/>
    </row>
    <row r="9" spans="3:6">
      <c r="C9" s="502">
        <v>1</v>
      </c>
      <c r="D9" s="505" t="s">
        <v>219</v>
      </c>
      <c r="E9" s="506" t="s">
        <v>211</v>
      </c>
      <c r="F9" s="529">
        <v>5</v>
      </c>
    </row>
    <row r="10" spans="3:6">
      <c r="C10" s="507" t="s">
        <v>246</v>
      </c>
      <c r="D10" s="508" t="s">
        <v>941</v>
      </c>
      <c r="E10" s="509" t="s">
        <v>211</v>
      </c>
      <c r="F10" s="530" t="s">
        <v>211</v>
      </c>
    </row>
    <row r="11" spans="3:6">
      <c r="C11" s="507" t="s">
        <v>855</v>
      </c>
      <c r="D11" s="508" t="s">
        <v>942</v>
      </c>
      <c r="E11" s="509" t="s">
        <v>211</v>
      </c>
      <c r="F11" s="530" t="s">
        <v>211</v>
      </c>
    </row>
    <row r="12" spans="3:6">
      <c r="C12" s="507" t="s">
        <v>913</v>
      </c>
      <c r="D12" s="508" t="s">
        <v>943</v>
      </c>
      <c r="E12" s="509" t="s">
        <v>211</v>
      </c>
      <c r="F12" s="530" t="s">
        <v>211</v>
      </c>
    </row>
    <row r="13" spans="3:6">
      <c r="C13" s="510" t="s">
        <v>211</v>
      </c>
      <c r="D13" s="508" t="s">
        <v>211</v>
      </c>
      <c r="E13" s="509" t="s">
        <v>211</v>
      </c>
      <c r="F13" s="530" t="s">
        <v>211</v>
      </c>
    </row>
    <row r="14" spans="3:6">
      <c r="C14" s="502">
        <v>2</v>
      </c>
      <c r="D14" s="505" t="s">
        <v>222</v>
      </c>
      <c r="E14" s="511">
        <f>SUM(E15:E18)</f>
        <v>3.65</v>
      </c>
      <c r="F14" s="531">
        <f>SUM(F15:F18)</f>
        <v>3.65</v>
      </c>
    </row>
    <row r="15" spans="3:6">
      <c r="C15" s="512" t="s">
        <v>764</v>
      </c>
      <c r="D15" s="513" t="s">
        <v>226</v>
      </c>
      <c r="E15" s="525"/>
      <c r="F15" s="530">
        <f>ROUND(E15*($D$33/100+1),2)</f>
        <v>0</v>
      </c>
    </row>
    <row r="16" spans="3:6">
      <c r="C16" s="512" t="s">
        <v>765</v>
      </c>
      <c r="D16" s="508" t="s">
        <v>228</v>
      </c>
      <c r="E16" s="525">
        <v>0.65</v>
      </c>
      <c r="F16" s="530">
        <f>ROUND(E16*($D$33/100+1),2)</f>
        <v>0.65</v>
      </c>
    </row>
    <row r="17" spans="3:6">
      <c r="C17" s="512" t="s">
        <v>766</v>
      </c>
      <c r="D17" s="508" t="s">
        <v>230</v>
      </c>
      <c r="E17" s="525">
        <v>3</v>
      </c>
      <c r="F17" s="530">
        <f>ROUND(E17*($D$33/100+1),2)</f>
        <v>3</v>
      </c>
    </row>
    <row r="18" spans="3:6">
      <c r="C18" s="512" t="s">
        <v>767</v>
      </c>
      <c r="D18" s="514"/>
      <c r="E18" s="525"/>
      <c r="F18" s="530">
        <f>ROUND(E18*($D$33/100+1),2)</f>
        <v>0</v>
      </c>
    </row>
    <row r="19" spans="3:6">
      <c r="C19" s="510"/>
      <c r="D19" s="508"/>
      <c r="E19" s="509"/>
      <c r="F19" s="530"/>
    </row>
    <row r="20" spans="3:6">
      <c r="C20" s="502">
        <v>3</v>
      </c>
      <c r="D20" s="505" t="s">
        <v>233</v>
      </c>
      <c r="E20" s="509" t="s">
        <v>211</v>
      </c>
      <c r="F20" s="531">
        <v>0.67</v>
      </c>
    </row>
    <row r="21" spans="3:6">
      <c r="C21" s="512" t="s">
        <v>225</v>
      </c>
      <c r="D21" s="508" t="s">
        <v>944</v>
      </c>
      <c r="E21" s="509"/>
      <c r="F21" s="530">
        <v>0.2</v>
      </c>
    </row>
    <row r="22" spans="3:6">
      <c r="C22" s="512" t="s">
        <v>227</v>
      </c>
      <c r="D22" s="508" t="s">
        <v>945</v>
      </c>
      <c r="E22" s="509"/>
      <c r="F22" s="530">
        <v>0.21</v>
      </c>
    </row>
    <row r="23" spans="3:6">
      <c r="C23" s="512" t="s">
        <v>229</v>
      </c>
      <c r="D23" s="508" t="s">
        <v>946</v>
      </c>
      <c r="E23" s="509"/>
      <c r="F23" s="530">
        <v>0.26</v>
      </c>
    </row>
    <row r="24" spans="3:6">
      <c r="C24" s="510"/>
      <c r="D24" s="515"/>
      <c r="E24" s="509"/>
      <c r="F24" s="530"/>
    </row>
    <row r="25" spans="3:6">
      <c r="C25" s="502">
        <v>4</v>
      </c>
      <c r="D25" s="505" t="s">
        <v>636</v>
      </c>
      <c r="E25" s="509" t="s">
        <v>211</v>
      </c>
      <c r="F25" s="531">
        <v>0.55000000000000004</v>
      </c>
    </row>
    <row r="26" spans="3:6">
      <c r="C26" s="510"/>
      <c r="D26" s="508"/>
      <c r="E26" s="509"/>
      <c r="F26" s="530"/>
    </row>
    <row r="27" spans="3:6">
      <c r="C27" s="502">
        <v>5</v>
      </c>
      <c r="D27" s="505" t="s">
        <v>639</v>
      </c>
      <c r="E27" s="516"/>
      <c r="F27" s="531">
        <v>6</v>
      </c>
    </row>
    <row r="28" spans="3:6" ht="13.5" thickBot="1">
      <c r="C28" s="510"/>
      <c r="D28" s="508"/>
      <c r="E28" s="517"/>
      <c r="F28" s="532"/>
    </row>
    <row r="29" spans="3:6" ht="13.5" thickBot="1">
      <c r="C29" s="518" t="s">
        <v>211</v>
      </c>
      <c r="D29" s="519" t="s">
        <v>947</v>
      </c>
      <c r="E29" s="520" t="s">
        <v>211</v>
      </c>
      <c r="F29" s="533">
        <f>ROUND((((1+(F9+F20)/100)*(1+F25/100)*(1+F27/100)/(1-E14/100)-1)*100),2)</f>
        <v>16.89</v>
      </c>
    </row>
    <row r="30" spans="3:6">
      <c r="C30" s="499"/>
      <c r="D30" s="499"/>
      <c r="E30" s="499"/>
      <c r="F30" s="499"/>
    </row>
    <row r="31" spans="3:6">
      <c r="C31" s="499"/>
      <c r="D31" s="499"/>
      <c r="E31" s="499"/>
      <c r="F31" s="499"/>
    </row>
    <row r="32" spans="3:6">
      <c r="C32" s="521" t="s">
        <v>948</v>
      </c>
      <c r="D32" s="521"/>
      <c r="E32" s="521"/>
      <c r="F32" s="521"/>
    </row>
    <row r="33" spans="3:6">
      <c r="C33" s="521"/>
      <c r="D33" s="521"/>
      <c r="E33" s="521"/>
      <c r="F33" s="521"/>
    </row>
    <row r="34" spans="3:6">
      <c r="C34" s="802" t="s">
        <v>949</v>
      </c>
      <c r="D34" s="802"/>
      <c r="E34" s="522">
        <f>(ROUND((((1+((F9+F20)/100))*(1+F25/100)*(1+F27/100))/(1-E14/100)-1)*100,2))</f>
        <v>16.89</v>
      </c>
      <c r="F34" s="523"/>
    </row>
    <row r="35" spans="3:6">
      <c r="C35" s="803" t="s">
        <v>211</v>
      </c>
      <c r="D35" s="803"/>
      <c r="E35" s="523"/>
      <c r="F35" s="523"/>
    </row>
    <row r="36" spans="3:6">
      <c r="C36" s="796"/>
      <c r="D36" s="796"/>
      <c r="E36" s="796"/>
      <c r="F36" s="796"/>
    </row>
    <row r="37" spans="3:6">
      <c r="C37" s="523"/>
      <c r="D37" s="523"/>
      <c r="E37" s="523"/>
      <c r="F37" s="523"/>
    </row>
    <row r="38" spans="3:6">
      <c r="C38" s="524" t="s">
        <v>951</v>
      </c>
      <c r="D38" s="523"/>
      <c r="E38" s="523"/>
      <c r="F38" s="523"/>
    </row>
  </sheetData>
  <mergeCells count="6">
    <mergeCell ref="C36:F36"/>
    <mergeCell ref="C3:F3"/>
    <mergeCell ref="C6:C7"/>
    <mergeCell ref="D6:D7"/>
    <mergeCell ref="C34:D34"/>
    <mergeCell ref="C35:D35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19</vt:i4>
      </vt:variant>
      <vt:variant>
        <vt:lpstr>Intervalos nomeados</vt:lpstr>
      </vt:variant>
      <vt:variant>
        <vt:i4>18</vt:i4>
      </vt:variant>
    </vt:vector>
  </HeadingPairs>
  <TitlesOfParts>
    <vt:vector size="37" baseType="lpstr">
      <vt:lpstr>For Reaj</vt:lpstr>
      <vt:lpstr>PRELIMINARES</vt:lpstr>
      <vt:lpstr>Planilha Boa Vista</vt:lpstr>
      <vt:lpstr>BDI SERVIÇO</vt:lpstr>
      <vt:lpstr>BDI FORNECIMENTO</vt:lpstr>
      <vt:lpstr>PLANILHA RESUMO</vt:lpstr>
      <vt:lpstr>CPU </vt:lpstr>
      <vt:lpstr>CPU TOMADA</vt:lpstr>
      <vt:lpstr>BDI FORNECIMENTOS</vt:lpstr>
      <vt:lpstr>BDI SERVIÇOS</vt:lpstr>
      <vt:lpstr>CRONOGRAMA 1</vt:lpstr>
      <vt:lpstr>Cronograma fis+fin</vt:lpstr>
      <vt:lpstr>Cronograma</vt:lpstr>
      <vt:lpstr>Para word 1</vt:lpstr>
      <vt:lpstr>Para word 2</vt:lpstr>
      <vt:lpstr>Cron barras</vt:lpstr>
      <vt:lpstr>Resumo interceptor</vt:lpstr>
      <vt:lpstr>Interceptor(mão-de-obra)</vt:lpstr>
      <vt:lpstr>Interceptor (materiais)</vt:lpstr>
      <vt:lpstr>'BDI FORNECIMENTOS'!Area_de_impressao</vt:lpstr>
      <vt:lpstr>'BDI SERVIÇOS'!Area_de_impressao</vt:lpstr>
      <vt:lpstr>'CPU '!Area_de_impressao</vt:lpstr>
      <vt:lpstr>'CPU TOMADA'!Area_de_impressao</vt:lpstr>
      <vt:lpstr>'Cron barras'!Area_de_impressao</vt:lpstr>
      <vt:lpstr>Cronograma!Area_de_impressao</vt:lpstr>
      <vt:lpstr>'CRONOGRAMA 1'!Area_de_impressao</vt:lpstr>
      <vt:lpstr>'Planilha Boa Vista'!Area_de_impressao</vt:lpstr>
      <vt:lpstr>'PLANILHA RESUMO'!Area_de_impressao</vt:lpstr>
      <vt:lpstr>PRELIMINARES!Area_de_impressao</vt:lpstr>
      <vt:lpstr>'Resumo interceptor'!Area_de_impressao</vt:lpstr>
      <vt:lpstr>Cronograma!Titulos_de_impressao</vt:lpstr>
      <vt:lpstr>'Interceptor (materiais)'!Titulos_de_impressao</vt:lpstr>
      <vt:lpstr>'Interceptor(mão-de-obra)'!Titulos_de_impressao</vt:lpstr>
      <vt:lpstr>'Planilha Boa Vista'!Titulos_de_impressao</vt:lpstr>
      <vt:lpstr>'PLANILHA RESUMO'!Titulos_de_impressao</vt:lpstr>
      <vt:lpstr>PRELIMINARES!Titulos_de_impressao</vt:lpstr>
      <vt:lpstr>'Resumo interceptor'!Titulos_de_impressao</vt:lpstr>
    </vt:vector>
  </TitlesOfParts>
  <Company>ESSE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Jeronimo</dc:creator>
  <cp:lastModifiedBy>Alysson Bastos Cerqueira</cp:lastModifiedBy>
  <cp:lastPrinted>2018-10-17T13:50:50Z</cp:lastPrinted>
  <dcterms:created xsi:type="dcterms:W3CDTF">2006-01-20T12:49:43Z</dcterms:created>
  <dcterms:modified xsi:type="dcterms:W3CDTF">2019-01-21T18:06:30Z</dcterms:modified>
</cp:coreProperties>
</file>