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F:\Gouveia\"/>
    </mc:Choice>
  </mc:AlternateContent>
  <bookViews>
    <workbookView xWindow="-300" yWindow="-450" windowWidth="15600" windowHeight="10665"/>
  </bookViews>
  <sheets>
    <sheet name="Planilha" sheetId="5" r:id="rId1"/>
    <sheet name="Memorial de Cálculo" sheetId="25" r:id="rId2"/>
    <sheet name="Cronograma" sheetId="21" r:id="rId3"/>
    <sheet name="Para word 1" sheetId="13" state="hidden" r:id="rId4"/>
    <sheet name="Para word 2" sheetId="12" state="hidden" r:id="rId5"/>
    <sheet name="Cron barras" sheetId="11" state="hidden" r:id="rId6"/>
    <sheet name="Resumo interceptor" sheetId="8" state="hidden" r:id="rId7"/>
    <sheet name="Interceptor(mão-de-obra)" sheetId="9" state="hidden" r:id="rId8"/>
    <sheet name="Interceptor (materiais)" sheetId="10" state="hidden" r:id="rId9"/>
    <sheet name="CPU" sheetId="14" r:id="rId10"/>
    <sheet name="BDI-SERVIÇOS" sheetId="26" r:id="rId11"/>
    <sheet name="ENCARGOS SOCIAIS" sheetId="27" r:id="rId12"/>
  </sheets>
  <definedNames>
    <definedName name="__esc15">#REF!</definedName>
    <definedName name="__esc4">#REF!</definedName>
    <definedName name="__esc6">#REF!</definedName>
    <definedName name="_esc15">#REF!</definedName>
    <definedName name="_esc4">#REF!</definedName>
    <definedName name="_esc6">#REF!</definedName>
    <definedName name="_xlnm._FilterDatabase" localSheetId="0" hidden="1">Planilha!$B$8:$K$25</definedName>
    <definedName name="_xlnm.Print_Area" localSheetId="10">'BDI-SERVIÇOS'!$A$1:$G$39</definedName>
    <definedName name="_xlnm.Print_Area" localSheetId="9">CPU!$A$1:$I$104</definedName>
    <definedName name="_xlnm.Print_Area" localSheetId="5">'Cron barras'!$A$2:$T$52</definedName>
    <definedName name="_xlnm.Print_Area" localSheetId="2">Cronograma!$A$1:$G$22</definedName>
    <definedName name="_xlnm.Print_Area" localSheetId="1">'Memorial de Cálculo'!$A$1:$K$95</definedName>
    <definedName name="_xlnm.Print_Area" localSheetId="0">Planilha!$B$1:$K$27</definedName>
    <definedName name="_xlnm.Print_Area" localSheetId="6">'Resumo interceptor'!$A$1:$M$39</definedName>
    <definedName name="Asf">#REF!</definedName>
    <definedName name="_xlnm.Database">#REF!</definedName>
    <definedName name="Cim">#REF!</definedName>
    <definedName name="FoFo">#REF!</definedName>
    <definedName name="_xlnm.Recorder" localSheetId="11">#REF!</definedName>
    <definedName name="_xlnm.Recorder">#REF!</definedName>
    <definedName name="MBV">#REF!</definedName>
    <definedName name="Par">#REF!</definedName>
    <definedName name="PVC">#REF!</definedName>
    <definedName name="_xlnm.Print_Titles" localSheetId="8">'Interceptor (materiais)'!$1:$6</definedName>
    <definedName name="_xlnm.Print_Titles" localSheetId="7">'Interceptor(mão-de-obra)'!$1:$6</definedName>
    <definedName name="_xlnm.Print_Titles" localSheetId="0">Planilha!$1:$8</definedName>
    <definedName name="_xlnm.Print_Titles" localSheetId="6">'Resumo interceptor'!$1:$7</definedName>
    <definedName name="VTE">#REF!</definedName>
  </definedNames>
  <calcPr calcId="152511"/>
</workbook>
</file>

<file path=xl/calcChain.xml><?xml version="1.0" encoding="utf-8"?>
<calcChain xmlns="http://schemas.openxmlformats.org/spreadsheetml/2006/main">
  <c r="J14" i="21" l="1"/>
  <c r="B9" i="25"/>
  <c r="I89" i="14"/>
  <c r="I90" i="14"/>
  <c r="I88" i="14"/>
  <c r="K4" i="5"/>
  <c r="E19" i="26"/>
  <c r="D33" i="26" s="1"/>
  <c r="E17" i="26"/>
  <c r="E16" i="26"/>
  <c r="E15" i="26"/>
  <c r="E14" i="26"/>
  <c r="E13" i="26" s="1"/>
  <c r="D13" i="26"/>
  <c r="E28" i="26" l="1"/>
  <c r="O27" i="26" s="1"/>
  <c r="O24" i="26" s="1"/>
  <c r="C7" i="25"/>
  <c r="N83" i="14" l="1"/>
  <c r="R86" i="25" l="1"/>
  <c r="R85" i="25"/>
  <c r="I99" i="14" l="1"/>
  <c r="I98" i="14"/>
  <c r="I100" i="14" l="1"/>
  <c r="I81" i="14"/>
  <c r="I82" i="14"/>
  <c r="I83" i="14"/>
  <c r="I94" i="14" l="1"/>
  <c r="I95" i="14" s="1"/>
  <c r="I91" i="14"/>
  <c r="I84" i="14"/>
  <c r="I85" i="14" s="1"/>
  <c r="I101" i="14" l="1"/>
  <c r="I102" i="14" s="1"/>
  <c r="I104" i="14" s="1"/>
  <c r="H20" i="5" s="1"/>
  <c r="I68" i="25"/>
  <c r="I69" i="25" s="1"/>
  <c r="G19" i="5" s="1"/>
  <c r="J19" i="5" s="1"/>
  <c r="D64" i="25"/>
  <c r="C65" i="25"/>
  <c r="I53" i="25" l="1"/>
  <c r="L8" i="21" l="1"/>
  <c r="L10" i="21"/>
  <c r="L12" i="21"/>
  <c r="L6" i="21"/>
  <c r="I34" i="25"/>
  <c r="I35" i="25" s="1"/>
  <c r="G13" i="5" s="1"/>
  <c r="D30" i="25"/>
  <c r="C31" i="25"/>
  <c r="I70" i="14"/>
  <c r="I71" i="14" s="1"/>
  <c r="I66" i="14"/>
  <c r="I67" i="14" s="1"/>
  <c r="I62" i="14"/>
  <c r="I63" i="14" s="1"/>
  <c r="I58" i="14"/>
  <c r="I59" i="14" s="1"/>
  <c r="I94" i="25"/>
  <c r="I87" i="25"/>
  <c r="I74" i="25"/>
  <c r="I72" i="14" l="1"/>
  <c r="I73" i="14" s="1"/>
  <c r="I75" i="14" s="1"/>
  <c r="H13" i="5" s="1"/>
  <c r="J13" i="5" s="1"/>
  <c r="I62" i="25" l="1"/>
  <c r="I63" i="25" s="1"/>
  <c r="G18" i="5" s="1"/>
  <c r="I47" i="25"/>
  <c r="I48" i="25" s="1"/>
  <c r="G16" i="5" s="1"/>
  <c r="D90" i="25"/>
  <c r="C91" i="25"/>
  <c r="D83" i="25"/>
  <c r="C84" i="25"/>
  <c r="D76" i="25"/>
  <c r="C77" i="25"/>
  <c r="D70" i="25"/>
  <c r="C71" i="25"/>
  <c r="D58" i="25"/>
  <c r="C59" i="25"/>
  <c r="D49" i="25"/>
  <c r="C50" i="25"/>
  <c r="D43" i="25"/>
  <c r="C44" i="25"/>
  <c r="D36" i="25"/>
  <c r="C37" i="25"/>
  <c r="D24" i="25"/>
  <c r="C25" i="25"/>
  <c r="D18" i="25"/>
  <c r="C19" i="25"/>
  <c r="D12" i="25"/>
  <c r="C13" i="25"/>
  <c r="B10" i="25"/>
  <c r="I95" i="25"/>
  <c r="G25" i="5" s="1"/>
  <c r="I88" i="25"/>
  <c r="G23" i="5" s="1"/>
  <c r="I80" i="25"/>
  <c r="I81" i="25" s="1"/>
  <c r="G21" i="5" s="1"/>
  <c r="I40" i="25"/>
  <c r="I41" i="25" s="1"/>
  <c r="G14" i="5" s="1"/>
  <c r="I28" i="25"/>
  <c r="I29" i="25" s="1"/>
  <c r="G12" i="5" s="1"/>
  <c r="I22" i="25"/>
  <c r="I23" i="25" s="1"/>
  <c r="G11" i="5" s="1"/>
  <c r="I16" i="25"/>
  <c r="I17" i="25" s="1"/>
  <c r="G10" i="5" s="1"/>
  <c r="E56" i="25" l="1"/>
  <c r="I56" i="25" s="1"/>
  <c r="I75" i="25"/>
  <c r="E54" i="25" l="1"/>
  <c r="I54" i="25" s="1"/>
  <c r="O71" i="25"/>
  <c r="E55" i="25"/>
  <c r="I55" i="25" s="1"/>
  <c r="G20" i="5"/>
  <c r="I57" i="25" l="1"/>
  <c r="G17" i="5" s="1"/>
  <c r="B12" i="21"/>
  <c r="B10" i="21"/>
  <c r="B8" i="21"/>
  <c r="I7" i="14"/>
  <c r="J16" i="5" l="1"/>
  <c r="L24" i="5" l="1"/>
  <c r="I45" i="14" l="1"/>
  <c r="I46" i="14"/>
  <c r="I47" i="14"/>
  <c r="I6" i="14"/>
  <c r="I48" i="14" l="1"/>
  <c r="I19" i="5" l="1"/>
  <c r="K19" i="5" s="1"/>
  <c r="J14" i="5"/>
  <c r="J20" i="5"/>
  <c r="I13" i="5" l="1"/>
  <c r="K13" i="5" s="1"/>
  <c r="J10" i="25"/>
  <c r="I16" i="5"/>
  <c r="K16" i="5" s="1"/>
  <c r="I21" i="5"/>
  <c r="I20" i="5"/>
  <c r="K20" i="5" s="1"/>
  <c r="I14" i="5"/>
  <c r="K14" i="5" s="1"/>
  <c r="J18" i="5"/>
  <c r="I18" i="5"/>
  <c r="J21" i="5" l="1"/>
  <c r="K18" i="5"/>
  <c r="K21" i="5" l="1"/>
  <c r="I25" i="5"/>
  <c r="K25" i="5" s="1"/>
  <c r="J25" i="5"/>
  <c r="J24" i="5" s="1"/>
  <c r="K24" i="5" l="1"/>
  <c r="D13" i="21" s="1"/>
  <c r="J13" i="21" s="1"/>
  <c r="A3" i="21"/>
  <c r="I13" i="21" l="1"/>
  <c r="F13" i="21"/>
  <c r="E13" i="21"/>
  <c r="G13" i="21"/>
  <c r="H13" i="21"/>
  <c r="J23" i="5"/>
  <c r="J17" i="5"/>
  <c r="J22" i="5" l="1"/>
  <c r="J15" i="5"/>
  <c r="N12" i="5" l="1"/>
  <c r="N23" i="5"/>
  <c r="J12" i="5"/>
  <c r="B6" i="21"/>
  <c r="I35" i="14"/>
  <c r="I41" i="14"/>
  <c r="I42" i="14" s="1"/>
  <c r="I16" i="14"/>
  <c r="I17" i="14" s="1"/>
  <c r="I31" i="14"/>
  <c r="I32" i="14" s="1"/>
  <c r="L8" i="10"/>
  <c r="L9" i="10"/>
  <c r="L10" i="10"/>
  <c r="L11" i="10"/>
  <c r="L12" i="10"/>
  <c r="L14" i="10"/>
  <c r="J16" i="10"/>
  <c r="L16" i="10" s="1"/>
  <c r="J17" i="10"/>
  <c r="L17" i="10" s="1"/>
  <c r="L19" i="10"/>
  <c r="L22" i="10"/>
  <c r="L23" i="10"/>
  <c r="L24" i="10"/>
  <c r="L25" i="10"/>
  <c r="L26" i="10"/>
  <c r="L27" i="10"/>
  <c r="L28" i="10"/>
  <c r="L29" i="10"/>
  <c r="L30" i="10"/>
  <c r="L31" i="10"/>
  <c r="L33" i="10"/>
  <c r="L34" i="10"/>
  <c r="L35" i="10"/>
  <c r="L36" i="10"/>
  <c r="L37" i="10"/>
  <c r="L38" i="10"/>
  <c r="L44" i="10"/>
  <c r="L46" i="10"/>
  <c r="L47" i="10"/>
  <c r="L48" i="10"/>
  <c r="J49" i="10"/>
  <c r="L49" i="10" s="1"/>
  <c r="J50" i="10"/>
  <c r="L50" i="10" s="1"/>
  <c r="J51" i="10"/>
  <c r="L51" i="10" s="1"/>
  <c r="J52" i="10"/>
  <c r="L52" i="10" s="1"/>
  <c r="L58" i="10"/>
  <c r="J59" i="10"/>
  <c r="L59" i="10" s="1"/>
  <c r="J60" i="10"/>
  <c r="L60" i="10" s="1"/>
  <c r="J61" i="10"/>
  <c r="L61" i="10" s="1"/>
  <c r="J62" i="10"/>
  <c r="L62" i="10" s="1"/>
  <c r="J63" i="10"/>
  <c r="L63" i="10" s="1"/>
  <c r="L66" i="10"/>
  <c r="J67" i="10"/>
  <c r="L67" i="10" s="1"/>
  <c r="J68" i="10"/>
  <c r="L68" i="10" s="1"/>
  <c r="J69" i="10"/>
  <c r="L69" i="10" s="1"/>
  <c r="J70" i="10"/>
  <c r="L70" i="10" s="1"/>
  <c r="J71" i="10"/>
  <c r="L71" i="10" s="1"/>
  <c r="L79" i="10"/>
  <c r="L80" i="10"/>
  <c r="J81" i="10"/>
  <c r="L81" i="10" s="1"/>
  <c r="J82" i="10"/>
  <c r="L82" i="10" s="1"/>
  <c r="J83" i="10"/>
  <c r="L83" i="10" s="1"/>
  <c r="J84" i="10"/>
  <c r="L84" i="10" s="1"/>
  <c r="J85" i="10"/>
  <c r="L85" i="10" s="1"/>
  <c r="J86" i="10"/>
  <c r="L86" i="10" s="1"/>
  <c r="L88" i="10"/>
  <c r="L89" i="10"/>
  <c r="J90" i="10"/>
  <c r="L90" i="10" s="1"/>
  <c r="L92" i="10"/>
  <c r="L95" i="10"/>
  <c r="J96" i="10"/>
  <c r="L96" i="10" s="1"/>
  <c r="J97" i="10"/>
  <c r="L97" i="10" s="1"/>
  <c r="J98" i="10"/>
  <c r="L98" i="10" s="1"/>
  <c r="J99" i="10"/>
  <c r="L99" i="10" s="1"/>
  <c r="L101" i="10"/>
  <c r="J102" i="10"/>
  <c r="L102" i="10" s="1"/>
  <c r="J103" i="10"/>
  <c r="L103" i="10" s="1"/>
  <c r="J104" i="10"/>
  <c r="L104" i="10" s="1"/>
  <c r="J105" i="10"/>
  <c r="L105" i="10" s="1"/>
  <c r="L114" i="10"/>
  <c r="L115" i="10"/>
  <c r="L116" i="10"/>
  <c r="J117" i="10"/>
  <c r="L117" i="10" s="1"/>
  <c r="J118" i="10"/>
  <c r="L118" i="10" s="1"/>
  <c r="J119" i="10"/>
  <c r="L119" i="10" s="1"/>
  <c r="J120" i="10"/>
  <c r="L120" i="10" s="1"/>
  <c r="L123" i="10"/>
  <c r="L125" i="10"/>
  <c r="L126" i="10"/>
  <c r="L127" i="10"/>
  <c r="L128" i="10"/>
  <c r="L129" i="10"/>
  <c r="L130" i="10"/>
  <c r="L133" i="10"/>
  <c r="L134" i="10"/>
  <c r="L136" i="10"/>
  <c r="L137" i="10"/>
  <c r="L138" i="10"/>
  <c r="L139" i="10"/>
  <c r="L140" i="10"/>
  <c r="L149" i="10"/>
  <c r="L150" i="10"/>
  <c r="L151" i="10"/>
  <c r="J152" i="10"/>
  <c r="L152" i="10" s="1"/>
  <c r="J153" i="10"/>
  <c r="L153" i="10" s="1"/>
  <c r="J154" i="10"/>
  <c r="L154" i="10" s="1"/>
  <c r="L156" i="10"/>
  <c r="L9" i="9"/>
  <c r="L10" i="9"/>
  <c r="L11" i="9"/>
  <c r="L12" i="9"/>
  <c r="L13" i="9"/>
  <c r="J14" i="9"/>
  <c r="L14" i="9" s="1"/>
  <c r="J15" i="9"/>
  <c r="L15" i="9" s="1"/>
  <c r="J16" i="9"/>
  <c r="L16" i="9" s="1"/>
  <c r="J17" i="9"/>
  <c r="L17" i="9" s="1"/>
  <c r="L20" i="9"/>
  <c r="J21" i="9"/>
  <c r="L21" i="9" s="1"/>
  <c r="J22" i="9"/>
  <c r="L22" i="9" s="1"/>
  <c r="L26" i="9"/>
  <c r="L27" i="9"/>
  <c r="J28" i="9"/>
  <c r="L28" i="9" s="1"/>
  <c r="L29" i="9"/>
  <c r="L30" i="9"/>
  <c r="L31" i="9"/>
  <c r="J32" i="9"/>
  <c r="L32" i="9" s="1"/>
  <c r="L33" i="9"/>
  <c r="L34" i="9"/>
  <c r="J35" i="9"/>
  <c r="L35" i="9" s="1"/>
  <c r="L42" i="9"/>
  <c r="L43" i="9"/>
  <c r="L44" i="9"/>
  <c r="L45" i="9"/>
  <c r="J46" i="9"/>
  <c r="L46" i="9" s="1"/>
  <c r="J47" i="9"/>
  <c r="L47" i="9" s="1"/>
  <c r="J48" i="9"/>
  <c r="L48" i="9" s="1"/>
  <c r="J49" i="9"/>
  <c r="L49" i="9" s="1"/>
  <c r="L52" i="9"/>
  <c r="L53" i="9"/>
  <c r="L54" i="9"/>
  <c r="J55" i="9"/>
  <c r="L55" i="9" s="1"/>
  <c r="J56" i="9"/>
  <c r="L56" i="9" s="1"/>
  <c r="L58" i="9"/>
  <c r="J59" i="9"/>
  <c r="L59" i="9" s="1"/>
  <c r="J60" i="9"/>
  <c r="L60" i="9" s="1"/>
  <c r="L62" i="9"/>
  <c r="J63" i="9"/>
  <c r="L63" i="9" s="1"/>
  <c r="L65" i="9"/>
  <c r="J66" i="9"/>
  <c r="L66" i="9" s="1"/>
  <c r="L69" i="9"/>
  <c r="J70" i="9"/>
  <c r="L70" i="9" s="1"/>
  <c r="L72" i="9"/>
  <c r="L79" i="9"/>
  <c r="L80" i="9"/>
  <c r="L81" i="9"/>
  <c r="L82" i="9"/>
  <c r="J83" i="9"/>
  <c r="L83" i="9" s="1"/>
  <c r="J84" i="9"/>
  <c r="L84" i="9" s="1"/>
  <c r="L88" i="9"/>
  <c r="L89" i="9"/>
  <c r="J90" i="9"/>
  <c r="L90" i="9" s="1"/>
  <c r="J91" i="9"/>
  <c r="L91" i="9" s="1"/>
  <c r="L93" i="9"/>
  <c r="J94" i="9"/>
  <c r="L94" i="9" s="1"/>
  <c r="J95" i="9"/>
  <c r="L95" i="9" s="1"/>
  <c r="L97" i="9"/>
  <c r="L98" i="9"/>
  <c r="J99" i="9"/>
  <c r="L99" i="9" s="1"/>
  <c r="J100" i="9"/>
  <c r="L100" i="9" s="1"/>
  <c r="L103" i="9"/>
  <c r="J104" i="9"/>
  <c r="L104" i="9" s="1"/>
  <c r="J105" i="9"/>
  <c r="L105" i="9" s="1"/>
  <c r="L115" i="9"/>
  <c r="J116" i="9"/>
  <c r="L116" i="9" s="1"/>
  <c r="J117" i="9"/>
  <c r="L117" i="9" s="1"/>
  <c r="J118" i="9"/>
  <c r="L118" i="9" s="1"/>
  <c r="J119" i="9"/>
  <c r="L119" i="9" s="1"/>
  <c r="L120" i="9"/>
  <c r="L121" i="9"/>
  <c r="J122" i="9"/>
  <c r="L122" i="9" s="1"/>
  <c r="J123" i="9"/>
  <c r="L123" i="9" s="1"/>
  <c r="J124" i="9"/>
  <c r="L124" i="9" s="1"/>
  <c r="J125" i="9"/>
  <c r="L125" i="9" s="1"/>
  <c r="L128" i="9"/>
  <c r="L129" i="9"/>
  <c r="J130" i="9"/>
  <c r="L130" i="9" s="1"/>
  <c r="J131" i="9"/>
  <c r="L131" i="9" s="1"/>
  <c r="J132" i="9"/>
  <c r="L132" i="9" s="1"/>
  <c r="J133" i="9"/>
  <c r="L133" i="9" s="1"/>
  <c r="L136" i="9"/>
  <c r="L137" i="9"/>
  <c r="L138" i="9"/>
  <c r="L139" i="9"/>
  <c r="L140" i="9"/>
  <c r="J141" i="9"/>
  <c r="L141" i="9" s="1"/>
  <c r="J142" i="9"/>
  <c r="L142" i="9" s="1"/>
  <c r="L149" i="9"/>
  <c r="J150" i="9"/>
  <c r="L150" i="9" s="1"/>
  <c r="J151" i="9"/>
  <c r="L151" i="9" s="1"/>
  <c r="L153" i="9"/>
  <c r="L154" i="9"/>
  <c r="J155" i="9"/>
  <c r="L155" i="9" s="1"/>
  <c r="J156" i="9"/>
  <c r="L156" i="9" s="1"/>
  <c r="L159" i="9"/>
  <c r="L160" i="9"/>
  <c r="L161" i="9"/>
  <c r="J162" i="9"/>
  <c r="L162" i="9" s="1"/>
  <c r="J163" i="9"/>
  <c r="L163" i="9" s="1"/>
  <c r="L166" i="9"/>
  <c r="L8" i="8"/>
  <c r="L36" i="8"/>
  <c r="C4" i="11"/>
  <c r="L3" i="12"/>
  <c r="L4" i="12" s="1"/>
  <c r="K4" i="12"/>
  <c r="K5" i="12"/>
  <c r="K6" i="12"/>
  <c r="K7" i="12"/>
  <c r="I10" i="12"/>
  <c r="K10" i="12"/>
  <c r="K13" i="12"/>
  <c r="K14" i="12"/>
  <c r="K15" i="12"/>
  <c r="I18" i="12"/>
  <c r="K18" i="12"/>
  <c r="K19" i="12"/>
  <c r="I22" i="12"/>
  <c r="K22" i="12"/>
  <c r="K23" i="12"/>
  <c r="K24" i="12"/>
  <c r="K25" i="12"/>
  <c r="I26" i="12"/>
  <c r="K26" i="12"/>
  <c r="I29" i="12"/>
  <c r="K29" i="12"/>
  <c r="K30" i="12"/>
  <c r="K31" i="12"/>
  <c r="K32" i="12"/>
  <c r="I35" i="12"/>
  <c r="K35" i="12"/>
  <c r="K36" i="12"/>
  <c r="K37" i="12"/>
  <c r="K38" i="12"/>
  <c r="I39" i="12"/>
  <c r="K39" i="12"/>
  <c r="I42" i="12"/>
  <c r="K42" i="12"/>
  <c r="L42" i="12"/>
  <c r="K43" i="12"/>
  <c r="I44" i="12"/>
  <c r="K44" i="12"/>
  <c r="K47" i="12"/>
  <c r="K48" i="12"/>
  <c r="I51" i="12"/>
  <c r="K51" i="12"/>
  <c r="K52" i="12"/>
  <c r="K53" i="12"/>
  <c r="K54" i="12"/>
  <c r="I57" i="12"/>
  <c r="K57" i="12"/>
  <c r="I58" i="12"/>
  <c r="K58" i="12"/>
  <c r="K59" i="12"/>
  <c r="L59" i="12"/>
  <c r="I60" i="12"/>
  <c r="K60" i="12"/>
  <c r="I63" i="12"/>
  <c r="K63" i="12"/>
  <c r="K64" i="12"/>
  <c r="K65" i="12"/>
  <c r="K66" i="12"/>
  <c r="K68" i="12"/>
  <c r="C6" i="13"/>
  <c r="D6" i="13"/>
  <c r="E6" i="13"/>
  <c r="F6" i="13"/>
  <c r="G6" i="13"/>
  <c r="H6" i="13"/>
  <c r="C11" i="13"/>
  <c r="D11" i="13"/>
  <c r="E11" i="13"/>
  <c r="F11" i="13"/>
  <c r="G11" i="13"/>
  <c r="H11" i="13"/>
  <c r="C16" i="13"/>
  <c r="D16" i="13"/>
  <c r="E16" i="13"/>
  <c r="F16" i="13"/>
  <c r="G16" i="13"/>
  <c r="H16" i="13"/>
  <c r="C21" i="13"/>
  <c r="D21" i="13"/>
  <c r="E21" i="13"/>
  <c r="F21" i="13"/>
  <c r="G21" i="13"/>
  <c r="H21" i="13"/>
  <c r="C27" i="13"/>
  <c r="D27" i="13"/>
  <c r="E27" i="13"/>
  <c r="F27" i="13"/>
  <c r="G27" i="13"/>
  <c r="H27" i="13"/>
  <c r="C32" i="13"/>
  <c r="D32" i="13"/>
  <c r="E32" i="13"/>
  <c r="F32" i="13"/>
  <c r="G32" i="13"/>
  <c r="H32" i="13"/>
  <c r="C37" i="13"/>
  <c r="D37" i="13"/>
  <c r="E37" i="13"/>
  <c r="F37" i="13"/>
  <c r="G37" i="13"/>
  <c r="H37" i="13"/>
  <c r="C42" i="13"/>
  <c r="D42" i="13"/>
  <c r="E42" i="13"/>
  <c r="F42" i="13"/>
  <c r="G42" i="13"/>
  <c r="H42" i="13"/>
  <c r="L24" i="12"/>
  <c r="I12" i="14"/>
  <c r="I37" i="14"/>
  <c r="I36" i="14"/>
  <c r="L51" i="12"/>
  <c r="L53" i="12"/>
  <c r="L43" i="12"/>
  <c r="L36" i="12"/>
  <c r="L63" i="12"/>
  <c r="L19" i="12"/>
  <c r="L30" i="12"/>
  <c r="L18" i="12"/>
  <c r="I8" i="14" l="1"/>
  <c r="I9" i="14" s="1"/>
  <c r="I13" i="14"/>
  <c r="I21" i="14"/>
  <c r="M7" i="5"/>
  <c r="L26" i="12"/>
  <c r="L7" i="12"/>
  <c r="L32" i="12"/>
  <c r="L5" i="12"/>
  <c r="L58" i="12"/>
  <c r="L60" i="12"/>
  <c r="L31" i="12"/>
  <c r="L68" i="12"/>
  <c r="I38" i="14"/>
  <c r="I49" i="14" s="1"/>
  <c r="I50" i="14" s="1"/>
  <c r="L25" i="12"/>
  <c r="L52" i="12"/>
  <c r="L66" i="12"/>
  <c r="L47" i="12"/>
  <c r="L22" i="12"/>
  <c r="L13" i="12"/>
  <c r="L38" i="12"/>
  <c r="L57" i="12"/>
  <c r="L10" i="12"/>
  <c r="L29" i="12"/>
  <c r="L23" i="12"/>
  <c r="L65" i="12"/>
  <c r="M3" i="12"/>
  <c r="M66" i="12" s="1"/>
  <c r="L44" i="12"/>
  <c r="L15" i="12"/>
  <c r="L54" i="12"/>
  <c r="L35" i="12"/>
  <c r="L48" i="12"/>
  <c r="L39" i="12"/>
  <c r="L64" i="12"/>
  <c r="L14" i="12"/>
  <c r="L37" i="12"/>
  <c r="L6" i="12"/>
  <c r="L167" i="9"/>
  <c r="L13" i="8" s="1"/>
  <c r="L157" i="10"/>
  <c r="L15" i="8" s="1"/>
  <c r="M13" i="12"/>
  <c r="I22" i="14" l="1"/>
  <c r="I23" i="14" s="1"/>
  <c r="I25" i="14" s="1"/>
  <c r="H10" i="5" s="1"/>
  <c r="I10" i="5" s="1"/>
  <c r="K10" i="5" s="1"/>
  <c r="M5" i="12"/>
  <c r="M30" i="12"/>
  <c r="M64" i="12"/>
  <c r="I17" i="5"/>
  <c r="K17" i="5" s="1"/>
  <c r="K15" i="5" s="1"/>
  <c r="M19" i="12"/>
  <c r="M26" i="12"/>
  <c r="M23" i="12"/>
  <c r="M59" i="12"/>
  <c r="I52" i="14"/>
  <c r="H11" i="5" s="1"/>
  <c r="J11" i="5" s="1"/>
  <c r="M22" i="12"/>
  <c r="M37" i="12"/>
  <c r="M36" i="12"/>
  <c r="M29" i="12"/>
  <c r="M18" i="12"/>
  <c r="M24" i="12"/>
  <c r="M35" i="12"/>
  <c r="M47" i="12"/>
  <c r="M58" i="12"/>
  <c r="M14" i="12"/>
  <c r="N3" i="12"/>
  <c r="M31" i="12"/>
  <c r="M53" i="12"/>
  <c r="M32" i="12"/>
  <c r="M4" i="12"/>
  <c r="M68" i="12"/>
  <c r="M52" i="12"/>
  <c r="M57" i="12"/>
  <c r="M63" i="12"/>
  <c r="M54" i="12"/>
  <c r="M65" i="12"/>
  <c r="M39" i="12"/>
  <c r="M7" i="12"/>
  <c r="M44" i="12"/>
  <c r="M48" i="12"/>
  <c r="M60" i="12"/>
  <c r="M6" i="12"/>
  <c r="M38" i="12"/>
  <c r="M43" i="12"/>
  <c r="M42" i="12"/>
  <c r="M15" i="12"/>
  <c r="M10" i="12"/>
  <c r="M51" i="12"/>
  <c r="M25" i="12"/>
  <c r="I23" i="5"/>
  <c r="K23" i="5" s="1"/>
  <c r="I12" i="5"/>
  <c r="K12" i="5" s="1"/>
  <c r="L19" i="8"/>
  <c r="J10" i="5" l="1"/>
  <c r="J9" i="5" s="1"/>
  <c r="J26" i="5" s="1"/>
  <c r="I11" i="5"/>
  <c r="K11" i="5" s="1"/>
  <c r="K9" i="5" s="1"/>
  <c r="K22" i="5"/>
  <c r="D11" i="21" s="1"/>
  <c r="D9" i="21"/>
  <c r="N23" i="12"/>
  <c r="N60" i="12"/>
  <c r="N29" i="12"/>
  <c r="N4" i="12"/>
  <c r="N6" i="12"/>
  <c r="N64" i="12"/>
  <c r="N5" i="12"/>
  <c r="N10" i="12"/>
  <c r="N47" i="12"/>
  <c r="N32" i="12"/>
  <c r="N19" i="12"/>
  <c r="N53" i="12"/>
  <c r="N22" i="12"/>
  <c r="N39" i="12"/>
  <c r="N44" i="12"/>
  <c r="N37" i="12"/>
  <c r="N48" i="12"/>
  <c r="N36" i="12"/>
  <c r="N26" i="12"/>
  <c r="O3" i="12"/>
  <c r="N42" i="12"/>
  <c r="N25" i="12"/>
  <c r="N31" i="12"/>
  <c r="N58" i="12"/>
  <c r="N65" i="12"/>
  <c r="N35" i="12"/>
  <c r="N38" i="12"/>
  <c r="N66" i="12"/>
  <c r="N52" i="12"/>
  <c r="N15" i="12"/>
  <c r="N7" i="12"/>
  <c r="N63" i="12"/>
  <c r="N18" i="12"/>
  <c r="N14" i="12"/>
  <c r="N30" i="12"/>
  <c r="N59" i="12"/>
  <c r="N43" i="12"/>
  <c r="N24" i="12"/>
  <c r="N54" i="12"/>
  <c r="N68" i="12"/>
  <c r="N13" i="12"/>
  <c r="N57" i="12"/>
  <c r="N51" i="12"/>
  <c r="H9" i="21" l="1"/>
  <c r="I9" i="21"/>
  <c r="F9" i="21"/>
  <c r="J9" i="21"/>
  <c r="G9" i="21"/>
  <c r="E9" i="21"/>
  <c r="H11" i="21"/>
  <c r="I11" i="21"/>
  <c r="F11" i="21"/>
  <c r="J11" i="21"/>
  <c r="G11" i="21"/>
  <c r="E11" i="21"/>
  <c r="D7" i="21"/>
  <c r="K26" i="5"/>
  <c r="M20" i="5" s="1"/>
  <c r="M19" i="5" s="1"/>
  <c r="O18" i="12"/>
  <c r="J18" i="12" s="1"/>
  <c r="O42" i="12"/>
  <c r="J42" i="12" s="1"/>
  <c r="O38" i="12"/>
  <c r="J38" i="12" s="1"/>
  <c r="O52" i="12"/>
  <c r="J52" i="12" s="1"/>
  <c r="O48" i="12"/>
  <c r="J48" i="12" s="1"/>
  <c r="O43" i="12"/>
  <c r="J43" i="12" s="1"/>
  <c r="O37" i="12"/>
  <c r="J37" i="12" s="1"/>
  <c r="O29" i="12"/>
  <c r="J29" i="12" s="1"/>
  <c r="O32" i="12"/>
  <c r="J32" i="12" s="1"/>
  <c r="O64" i="12"/>
  <c r="J64" i="12" s="1"/>
  <c r="O6" i="12"/>
  <c r="J6" i="12" s="1"/>
  <c r="O57" i="12"/>
  <c r="J57" i="12" s="1"/>
  <c r="O24" i="12"/>
  <c r="J24" i="12" s="1"/>
  <c r="O47" i="12"/>
  <c r="J47" i="12" s="1"/>
  <c r="O7" i="12"/>
  <c r="J7" i="12" s="1"/>
  <c r="O25" i="12"/>
  <c r="J25" i="12" s="1"/>
  <c r="O5" i="12"/>
  <c r="J5" i="12" s="1"/>
  <c r="O44" i="12"/>
  <c r="J44" i="12" s="1"/>
  <c r="O59" i="12"/>
  <c r="J59" i="12" s="1"/>
  <c r="O54" i="12"/>
  <c r="J54" i="12" s="1"/>
  <c r="O36" i="12"/>
  <c r="J36" i="12" s="1"/>
  <c r="O31" i="12"/>
  <c r="J31" i="12" s="1"/>
  <c r="O23" i="12"/>
  <c r="J23" i="12" s="1"/>
  <c r="O4" i="12"/>
  <c r="J4" i="12" s="1"/>
  <c r="O66" i="12"/>
  <c r="J66" i="12" s="1"/>
  <c r="O26" i="12"/>
  <c r="J26" i="12" s="1"/>
  <c r="O65" i="12"/>
  <c r="J65" i="12" s="1"/>
  <c r="O22" i="12"/>
  <c r="J22" i="12" s="1"/>
  <c r="O13" i="12"/>
  <c r="J13" i="12" s="1"/>
  <c r="O68" i="12"/>
  <c r="J68" i="12" s="1"/>
  <c r="O51" i="12"/>
  <c r="J51" i="12" s="1"/>
  <c r="O63" i="12"/>
  <c r="J63" i="12" s="1"/>
  <c r="O15" i="12"/>
  <c r="J15" i="12" s="1"/>
  <c r="O60" i="12"/>
  <c r="J60" i="12" s="1"/>
  <c r="O19" i="12"/>
  <c r="J19" i="12" s="1"/>
  <c r="O30" i="12"/>
  <c r="J30" i="12" s="1"/>
  <c r="O14" i="12"/>
  <c r="J14" i="12" s="1"/>
  <c r="O10" i="12"/>
  <c r="J10" i="12" s="1"/>
  <c r="O39" i="12"/>
  <c r="J39" i="12" s="1"/>
  <c r="O35" i="12"/>
  <c r="J35" i="12" s="1"/>
  <c r="O58" i="12"/>
  <c r="J58" i="12" s="1"/>
  <c r="O53" i="12"/>
  <c r="J53" i="12" s="1"/>
  <c r="F7" i="21" l="1"/>
  <c r="J7" i="21"/>
  <c r="I7" i="21"/>
  <c r="G7" i="21"/>
  <c r="E7" i="21"/>
  <c r="H7" i="21"/>
  <c r="L11" i="21"/>
  <c r="D15" i="21"/>
  <c r="F43" i="12"/>
  <c r="G43" i="12"/>
  <c r="G53" i="12"/>
  <c r="F53" i="12"/>
  <c r="F42" i="12"/>
  <c r="G42" i="12"/>
  <c r="G13" i="12"/>
  <c r="F13" i="12"/>
  <c r="F64" i="12"/>
  <c r="G64" i="12"/>
  <c r="G63" i="12"/>
  <c r="F63" i="12"/>
  <c r="F57" i="12"/>
  <c r="G57" i="12"/>
  <c r="F52" i="12"/>
  <c r="G52" i="12"/>
  <c r="G5" i="12"/>
  <c r="F5" i="12"/>
  <c r="G60" i="12"/>
  <c r="F60" i="12"/>
  <c r="F26" i="12"/>
  <c r="G26" i="12"/>
  <c r="F44" i="12"/>
  <c r="G44" i="12"/>
  <c r="G30" i="12"/>
  <c r="F30" i="12"/>
  <c r="F36" i="12"/>
  <c r="G36" i="12"/>
  <c r="G24" i="12"/>
  <c r="F24" i="12"/>
  <c r="G18" i="12"/>
  <c r="F18" i="12"/>
  <c r="G23" i="12"/>
  <c r="F23" i="12"/>
  <c r="F51" i="12"/>
  <c r="G51" i="12"/>
  <c r="G31" i="12"/>
  <c r="F31" i="12"/>
  <c r="G47" i="12"/>
  <c r="F47" i="12"/>
  <c r="G14" i="12"/>
  <c r="F14" i="12"/>
  <c r="G58" i="12"/>
  <c r="F58" i="12"/>
  <c r="F15" i="12"/>
  <c r="G15" i="12"/>
  <c r="G66" i="12"/>
  <c r="F66" i="12"/>
  <c r="F32" i="12"/>
  <c r="G32" i="12"/>
  <c r="G48" i="12"/>
  <c r="F48" i="12"/>
  <c r="G35" i="12"/>
  <c r="F35" i="12"/>
  <c r="F22" i="12"/>
  <c r="G22" i="12"/>
  <c r="F4" i="12"/>
  <c r="G4" i="12"/>
  <c r="F54" i="12"/>
  <c r="G54" i="12"/>
  <c r="G25" i="12"/>
  <c r="F25" i="12"/>
  <c r="G29" i="12"/>
  <c r="F29" i="12"/>
  <c r="F39" i="12"/>
  <c r="G39" i="12"/>
  <c r="F19" i="12"/>
  <c r="G19" i="12"/>
  <c r="F65" i="12"/>
  <c r="G65" i="12"/>
  <c r="F59" i="12"/>
  <c r="G59" i="12"/>
  <c r="G7" i="12"/>
  <c r="F7" i="12"/>
  <c r="G6" i="12"/>
  <c r="F6" i="12"/>
  <c r="F37" i="12"/>
  <c r="G37" i="12"/>
  <c r="G38" i="12"/>
  <c r="F38" i="12"/>
  <c r="G10" i="12"/>
  <c r="F10" i="12"/>
  <c r="G68" i="12"/>
  <c r="F68" i="12"/>
  <c r="L7" i="21" l="1"/>
  <c r="L13" i="21"/>
  <c r="J15" i="21"/>
  <c r="I15" i="21"/>
  <c r="H15" i="21"/>
  <c r="L9" i="21"/>
  <c r="F15" i="21"/>
  <c r="E15" i="21"/>
  <c r="G15" i="21"/>
  <c r="E2" i="21"/>
  <c r="D6" i="21"/>
  <c r="D10" i="21" l="1"/>
  <c r="F14" i="21"/>
  <c r="L15" i="21"/>
  <c r="I14" i="21"/>
  <c r="H14" i="21"/>
  <c r="E14" i="21"/>
  <c r="L26" i="21"/>
  <c r="G14" i="21"/>
  <c r="D12" i="21"/>
  <c r="D8" i="21"/>
  <c r="F31" i="21" l="1"/>
  <c r="L14" i="21"/>
  <c r="L25" i="21"/>
  <c r="D14" i="21"/>
</calcChain>
</file>

<file path=xl/comments1.xml><?xml version="1.0" encoding="utf-8"?>
<comments xmlns="http://schemas.openxmlformats.org/spreadsheetml/2006/main">
  <authors>
    <author>Profissional</author>
  </authors>
  <commentList>
    <comment ref="D5" authorId="0" shapeId="0">
      <text>
        <r>
          <rPr>
            <b/>
            <sz val="9"/>
            <color indexed="81"/>
            <rFont val="Segoe UI"/>
            <family val="2"/>
          </rPr>
          <t>Profissional: Lançar o Valor total de cada etapa na celula correspondente ao "FINANCEIRO"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5" authorId="0" shapeId="0">
      <text>
        <r>
          <rPr>
            <b/>
            <sz val="9"/>
            <color indexed="81"/>
            <rFont val="Segoe UI"/>
            <family val="2"/>
          </rPr>
          <t>Profissional: Lançar a % de medição do mês em "FISICO" de cada etapa</t>
        </r>
      </text>
    </comment>
    <comment ref="F5" authorId="0" shapeId="0">
      <text>
        <r>
          <rPr>
            <b/>
            <sz val="9"/>
            <color indexed="81"/>
            <rFont val="Segoe UI"/>
            <family val="2"/>
          </rPr>
          <t>Profissional: Lançar a % de medição do mês em "FISICO" de cada etapa"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G5" authorId="0" shapeId="0">
      <text>
        <r>
          <rPr>
            <b/>
            <sz val="9"/>
            <color indexed="81"/>
            <rFont val="Segoe UI"/>
            <family val="2"/>
          </rPr>
          <t>Profissional: Lançar a % de medição do mês em "FISICO" de cada etapa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<sst xmlns="http://schemas.openxmlformats.org/spreadsheetml/2006/main" count="1264" uniqueCount="504">
  <si>
    <t>TOTAL GERAL</t>
  </si>
  <si>
    <t>T</t>
  </si>
  <si>
    <t>Meta</t>
  </si>
  <si>
    <t>Etapa</t>
  </si>
  <si>
    <t>Especificação</t>
  </si>
  <si>
    <t>Indicador Físico</t>
  </si>
  <si>
    <t>Duração</t>
  </si>
  <si>
    <t>Fase</t>
  </si>
  <si>
    <t>Unidade</t>
  </si>
  <si>
    <t>Início após liberação dos recursos</t>
  </si>
  <si>
    <t>Término após liberação dos recursos</t>
  </si>
  <si>
    <t>Construção do interceptor do córrego Caeté</t>
  </si>
  <si>
    <t>Estrutura de concreto e escoramento</t>
  </si>
  <si>
    <t>Materiais e equipamentos hidráulicos e serviços diversos</t>
  </si>
  <si>
    <t>Construção da ETE</t>
  </si>
  <si>
    <t>2.2.1</t>
  </si>
  <si>
    <t>2.2.2</t>
  </si>
  <si>
    <t>2.2.3</t>
  </si>
  <si>
    <t>2.3.1</t>
  </si>
  <si>
    <t>2.3.2</t>
  </si>
  <si>
    <t>Aterros e cortes</t>
  </si>
  <si>
    <t>2.4.1</t>
  </si>
  <si>
    <t>2.4.2</t>
  </si>
  <si>
    <t>2.4.3</t>
  </si>
  <si>
    <t>2.4.4</t>
  </si>
  <si>
    <t>2.4.5</t>
  </si>
  <si>
    <t>2.5.1</t>
  </si>
  <si>
    <t>2.5.2</t>
  </si>
  <si>
    <t>2.5.3</t>
  </si>
  <si>
    <t>2.5.4</t>
  </si>
  <si>
    <t>Materiais, equipamentos e serviços diversos</t>
  </si>
  <si>
    <t>2.6.1</t>
  </si>
  <si>
    <t>2.6.2</t>
  </si>
  <si>
    <t>2.6.3</t>
  </si>
  <si>
    <t>2.6.4</t>
  </si>
  <si>
    <t>2.6.5</t>
  </si>
  <si>
    <t>2.7.1</t>
  </si>
  <si>
    <t>2.7.2</t>
  </si>
  <si>
    <t>2.7.3</t>
  </si>
  <si>
    <t>2.8.1</t>
  </si>
  <si>
    <t>2.8.2</t>
  </si>
  <si>
    <t>2.9.1</t>
  </si>
  <si>
    <t>2.9.2</t>
  </si>
  <si>
    <t>2.9.3</t>
  </si>
  <si>
    <t>2.9.4</t>
  </si>
  <si>
    <t>2.10.1</t>
  </si>
  <si>
    <t>2.10.2</t>
  </si>
  <si>
    <t>2.10.3</t>
  </si>
  <si>
    <t>2.10.4</t>
  </si>
  <si>
    <t>Lançamentos de esgotos</t>
  </si>
  <si>
    <t>2.11.1</t>
  </si>
  <si>
    <t>2.11.2</t>
  </si>
  <si>
    <t>2.11.3</t>
  </si>
  <si>
    <t>2.11.4</t>
  </si>
  <si>
    <t>GL</t>
  </si>
  <si>
    <t>1º mês</t>
  </si>
  <si>
    <t>2º mês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</si>
  <si>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</si>
  <si>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</si>
  <si>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</si>
  <si>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</si>
  <si>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</si>
  <si>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</si>
  <si>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</si>
  <si>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</si>
  <si>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11º mês</t>
  </si>
  <si>
    <t>12º mês</t>
  </si>
  <si>
    <t>13º mês</t>
  </si>
  <si>
    <t>14º mês</t>
  </si>
  <si>
    <t>15º mês</t>
  </si>
  <si>
    <t>16º mês</t>
  </si>
  <si>
    <t>LOCALIDADE</t>
  </si>
  <si>
    <t xml:space="preserve">  FOLHA:</t>
  </si>
  <si>
    <t>CAETÉ / MG - Plano Diretor de Esgotos</t>
  </si>
  <si>
    <t>RESUMO GERAL</t>
  </si>
  <si>
    <t>ÍTEM</t>
  </si>
  <si>
    <t>DESCRIÇÃO</t>
  </si>
  <si>
    <t>UNID.</t>
  </si>
  <si>
    <t>OBRAS E MATERIAIS</t>
  </si>
  <si>
    <t>INTERCEPTOR CÓRREGO CAETÉ - MARGEM DIREITA</t>
  </si>
  <si>
    <t>Custos referentes a mão-de-obra e equipamentos</t>
  </si>
  <si>
    <t>gl</t>
  </si>
  <si>
    <t>Custos referentes a materiais</t>
  </si>
  <si>
    <t>Observações:</t>
  </si>
  <si>
    <t>1 - O custo relativo a bonificação e despesas indiretas já esta incluso nos preços.</t>
  </si>
  <si>
    <t>2- Os custos referentes a locação de eixo em áreas não planejadas e a todos os ítens</t>
  </si>
  <si>
    <t>de movimeno de terra são compostos apenas por mão-de-obra e equipamentos.</t>
  </si>
  <si>
    <t>DESCRIÇÃO E QUANTITATIVOS POR:</t>
  </si>
  <si>
    <t xml:space="preserve">   PREÇOS POR:(CARIMBO/RUBRICA)</t>
  </si>
  <si>
    <t xml:space="preserve"> SETOR RESPONSÁVEL:</t>
  </si>
  <si>
    <t xml:space="preserve">  OBSERVAÇÕES:</t>
  </si>
  <si>
    <t>LOCALIDADE:</t>
  </si>
  <si>
    <t>FOLHA</t>
  </si>
  <si>
    <t>CAETÉ - MG Plano Diretor de Esgotos</t>
  </si>
  <si>
    <t>OBRA / SERVIÇO UNIDADE DO SISTEMA</t>
  </si>
  <si>
    <t>DATA BASE</t>
  </si>
  <si>
    <t>QUANTIDADE</t>
  </si>
  <si>
    <t>PREÇO UNITÁRIO</t>
  </si>
  <si>
    <t>VALOR TOTAL</t>
  </si>
  <si>
    <t>1.1</t>
  </si>
  <si>
    <t>SERVIÇOS PRELIMINARES</t>
  </si>
  <si>
    <t>1 - Locação de eixo em áreas não planejadas</t>
  </si>
  <si>
    <t>m</t>
  </si>
  <si>
    <t>1.1 - Eng. Agrimensor Senior</t>
  </si>
  <si>
    <t>mês</t>
  </si>
  <si>
    <t>1.2 - Auxiliar de topografia</t>
  </si>
  <si>
    <t>1.3 - Estação total TOPCON GTS-212 ou similar</t>
  </si>
  <si>
    <t>1.4 - Conjunto de equipamentos complementares(trena,baliza,mira e etc.)</t>
  </si>
  <si>
    <t>2 - Ensecadeira (rip-rap) em solo cimento, traço 1:10</t>
  </si>
  <si>
    <t>m³</t>
  </si>
  <si>
    <t>2.1 - Pedreiro</t>
  </si>
  <si>
    <t>h</t>
  </si>
  <si>
    <t>2.2 - Servente</t>
  </si>
  <si>
    <t>MOVIMENTO DE TERRA</t>
  </si>
  <si>
    <t>1 - Escavação manual de valas, em solo seco:</t>
  </si>
  <si>
    <t>1.1 - Profundidade até 1,50 m</t>
  </si>
  <si>
    <t>1.1.1 - Servente</t>
  </si>
  <si>
    <t>2 - Escavação manual de valas, em solo com água:</t>
  </si>
  <si>
    <t>2.1 - Profundidade até 1,50 m</t>
  </si>
  <si>
    <t>2.1.1 - Servente</t>
  </si>
  <si>
    <t>2.2 - Profundidade maior que 1,50 m até 3,00 m</t>
  </si>
  <si>
    <t>2.2.1 - Servente</t>
  </si>
  <si>
    <t>DESCRIÇÃO E QUANTITATIVOS POR</t>
  </si>
  <si>
    <t>PREÇOS POR (CARIMBO/RUBRICA)</t>
  </si>
  <si>
    <t>SETOR RESPONSÁVEL</t>
  </si>
  <si>
    <t>OBSERVAÇÕES</t>
  </si>
  <si>
    <t xml:space="preserve">3. Aterro de valas, com controle do grau de compactação de no mínimo 95% </t>
  </si>
  <si>
    <t>do proctor normal</t>
  </si>
  <si>
    <t>3.1 - Servente</t>
  </si>
  <si>
    <t>3.2 - Ensaio Hilf</t>
  </si>
  <si>
    <t>u</t>
  </si>
  <si>
    <t>3.3 - Compactador manual de solos, motor gasolina</t>
  </si>
  <si>
    <t>3.4 - Caminhão tanque 10.000 l, motor diesel</t>
  </si>
  <si>
    <t>4 - Empréstimo e bota-fora:</t>
  </si>
  <si>
    <t>4.1 - Escavação e carga de material de 1° categoria</t>
  </si>
  <si>
    <t>4.1.1 - Servente</t>
  </si>
  <si>
    <t>4.1.2 - Trator de esteira, motor diesel, 140 HP, D6M</t>
  </si>
  <si>
    <t>4.2 - Carga manual (material em geral) sem manuseio e arrumação do material</t>
  </si>
  <si>
    <t>4.2.1 - Servente</t>
  </si>
  <si>
    <t>4.2.2 - Caminhão basculante, capacidade 5 m³ (inclusive motorista)-H.Improd.</t>
  </si>
  <si>
    <t>4.3 - Transporte manual (terra, areia, entulho) distância até 100 m</t>
  </si>
  <si>
    <t>4.3.1 - Servente</t>
  </si>
  <si>
    <t>4.4 - Transporte local, em perímetro urbano (material em geral), a granel</t>
  </si>
  <si>
    <t>m³ x km</t>
  </si>
  <si>
    <t>4.4.1 - Caminhão basculante, capacidade 5 m³ (inclusive motorista)-H.Prod.</t>
  </si>
  <si>
    <t>4.5 - Espalhamento de solo em bota-fora</t>
  </si>
  <si>
    <t>4.5.1 - Trator de esteira, motor diesel, 140 HP, D6M</t>
  </si>
  <si>
    <t>ESTRUTURAS E CONCRETO</t>
  </si>
  <si>
    <t>1 - Broca de concreto (diâmetro = 30 cm), consumo mínimo de cimento</t>
  </si>
  <si>
    <t>150 kg/m³</t>
  </si>
  <si>
    <t>1.1 - Servente</t>
  </si>
  <si>
    <t>1.2 - Betoneira capacidade 320 L, motor diesel 7 HP</t>
  </si>
  <si>
    <t>2 - Formas e desformas:</t>
  </si>
  <si>
    <t>2.1 - Forma plana em tábua de pinho, para fundações</t>
  </si>
  <si>
    <t>m²</t>
  </si>
  <si>
    <t>2.1.1 - Carpinteiro</t>
  </si>
  <si>
    <t>2.1.2 - Servente</t>
  </si>
  <si>
    <t>2.2 - Forma plana em chapa de madeira compensada, para estruturas</t>
  </si>
  <si>
    <t>2.2.1 - Carpinteiro</t>
  </si>
  <si>
    <t>2.2.2 - Servente</t>
  </si>
  <si>
    <t>2.3 - Forma curva em chapa de madeira compensada resinada, E=10 mm,</t>
  </si>
  <si>
    <t>para estruturas</t>
  </si>
  <si>
    <t>2.3.1 - Carpinteiro</t>
  </si>
  <si>
    <t>2.3.2 - Servente</t>
  </si>
  <si>
    <t>3 – Fornecimento e colocação de armadura de aço</t>
  </si>
  <si>
    <t>kg</t>
  </si>
  <si>
    <t>3.1 - Armador</t>
  </si>
  <si>
    <t>3.2 - Auxiliar de oficial</t>
  </si>
  <si>
    <t>4 - Concreto - Preparo, transporte, lançamento e adensamento:</t>
  </si>
  <si>
    <t>4.1 - Concreto estrutural (fck = 20 MPa)</t>
  </si>
  <si>
    <t>4.1.1 - Pedreiro</t>
  </si>
  <si>
    <t>4.1.2 - Servente</t>
  </si>
  <si>
    <t>4.1.3 - Betoneira capacidade 320 L, motor diesel 7 HP</t>
  </si>
  <si>
    <t>4.1.4 - Vibrador de imersão, motor a gasolina 5 HP</t>
  </si>
  <si>
    <t>4.2 - Concreto estrutural (fck = 40 MPa)</t>
  </si>
  <si>
    <t>4.2.1 - Pedreiro</t>
  </si>
  <si>
    <t>4.2.2 - Servente</t>
  </si>
  <si>
    <t>4.2.3 - Betoneira capacidade 320 L, motor diesel 7 HP</t>
  </si>
  <si>
    <t>4.2.4 - Vibrador de imersão, motor a gasolina 5 HP</t>
  </si>
  <si>
    <t>ESCORAMENTO</t>
  </si>
  <si>
    <t>1.1 - Carpinteiro</t>
  </si>
  <si>
    <t>1.2 - Auxiliar de oficial</t>
  </si>
  <si>
    <t>1.3 - Servente</t>
  </si>
  <si>
    <t>1.4 - Retro escavadeira, motor diesel 74 HP, capacidade da caçamba 0.3 m³</t>
  </si>
  <si>
    <t>MATERIAIS E EQUIPAMENTOS HIDRÁULICOS</t>
  </si>
  <si>
    <t>1 - Tubos de PVC, ponta e bolsa, JE para coletores de esgoto com anel de</t>
  </si>
  <si>
    <t>borracha, fabricado conforme NBR 7362 - Fornecimento e assentamento:</t>
  </si>
  <si>
    <t>1.1 - Diâmetro = 350 mm</t>
  </si>
  <si>
    <t>1.1.1 - Bombeiro</t>
  </si>
  <si>
    <t>1.1.2 - Auxiliar de oficial</t>
  </si>
  <si>
    <t>1.2 - Diâmetro = 400 mm</t>
  </si>
  <si>
    <t>1.2.1 - Bombeiro</t>
  </si>
  <si>
    <t>1.2.2 - Auxiliar de oficial</t>
  </si>
  <si>
    <t>2 - Tubo de concreto armado centrifugado, JE PB EA2 (Esgoto armado) fabri-</t>
  </si>
  <si>
    <t>cado conforme NBR 8890, DN 500 mm - Fornecimento e assentamento</t>
  </si>
  <si>
    <t>2.1 - Bombeiro</t>
  </si>
  <si>
    <t>2.2 - Auxiliar de oficial</t>
  </si>
  <si>
    <t>SERVIÇOS DIVERSOS</t>
  </si>
  <si>
    <t>1 - Tampão de ferro fundido DN 600 mm - Fornecimento e assentamento</t>
  </si>
  <si>
    <t>un</t>
  </si>
  <si>
    <t>1.1 - Pedreiro</t>
  </si>
  <si>
    <t>1.2 - Servente</t>
  </si>
  <si>
    <t>TOTAL DO ÍTEM 1.1</t>
  </si>
  <si>
    <t>1.2</t>
  </si>
  <si>
    <t>UASB</t>
  </si>
  <si>
    <t>Leitos de secagem</t>
  </si>
  <si>
    <t>Obs.: Este serviço é composta apenas por mão-de-obra e equipamentos</t>
  </si>
  <si>
    <t>2.1 - Saco de ráfia 50 x 80 cm</t>
  </si>
  <si>
    <t>2.2 - Cimento Portland CP 32 II comum</t>
  </si>
  <si>
    <t>sc</t>
  </si>
  <si>
    <t>Obs.: Todos os serviços referentes a movimento de terra são compostos</t>
  </si>
  <si>
    <t>apenas por mão-de-obra e equipamentos.</t>
  </si>
  <si>
    <t>1.1 - Cimento Portland CP 32 II comum</t>
  </si>
  <si>
    <t>1.2 - Areia</t>
  </si>
  <si>
    <t>1.3 - Brita 1</t>
  </si>
  <si>
    <t>1.4 - Brita 2</t>
  </si>
  <si>
    <t>2.1.1 - Prego (18 x 30)</t>
  </si>
  <si>
    <t>2.1.2 - Tábua em pinho de 3° - 30 x 2,5 cm</t>
  </si>
  <si>
    <t>2.1.3 - Pontalete 8 x 8 cm (em madeira de lei)</t>
  </si>
  <si>
    <t>2.1.4 - Sarrafo de pinho - 10 x 2,5 cm</t>
  </si>
  <si>
    <t>2.1.5 - Desmoldante para formas</t>
  </si>
  <si>
    <t>l</t>
  </si>
  <si>
    <t>2.2.1 - Prego (18 x 30)</t>
  </si>
  <si>
    <t>2.2.2 - Madeirit 2,20 x 1,10 m - E = 14 mm (resinado)</t>
  </si>
  <si>
    <t>2.2.3 - Pontalete 8 x 8 cm (em madeira de lei)</t>
  </si>
  <si>
    <t>2.2.4 - Sarrafo de pinho - 10 x 2,5 cm</t>
  </si>
  <si>
    <t>QUANT.</t>
  </si>
  <si>
    <t>2.2.5 - Desmoldante para formas</t>
  </si>
  <si>
    <t>2.3.1 - Prego (18 x 30)</t>
  </si>
  <si>
    <t>2.3.2 - Tábua em pinho de 3° - 30 x 2,5 cm</t>
  </si>
  <si>
    <t>2.3.3 - Pontalete 8 x 8 cm (em madeira de lei)</t>
  </si>
  <si>
    <t>2.3.4 - Sarrafo de pinho - 10 x 2,5 cm</t>
  </si>
  <si>
    <t>2.3.5 - Madeirit 2,20 x 1,10 m - E = 6 mm</t>
  </si>
  <si>
    <t>2.3.6 - Madeirit 2,20 x 1,10 m - E = 14 mm (resinado)</t>
  </si>
  <si>
    <t>3.1 - Aço CA-50 A ou B</t>
  </si>
  <si>
    <t>4.1.1 - Cimento Portland CP 32 II comum</t>
  </si>
  <si>
    <t>4.1.2 - Areia</t>
  </si>
  <si>
    <t>4.1.3 - Brita 1</t>
  </si>
  <si>
    <t>4.1.4 - Brita 2</t>
  </si>
  <si>
    <t>4.2.1 - Cimento Portland CP 32 II comum</t>
  </si>
  <si>
    <t>4.2.2 - Areia</t>
  </si>
  <si>
    <t>4.2.3 - Brita 1</t>
  </si>
  <si>
    <t>4.2.4 - Brita 2</t>
  </si>
  <si>
    <t>1.1 - Escora de eucalipto, sem tratamento, diâmetro mínimo = 12 cm</t>
  </si>
  <si>
    <t>1.2 - Pranchão - 30 x 4 cm - em madeira de lei</t>
  </si>
  <si>
    <t>1.3 - Viga em madeira de lei - 15 x 7,5 cm</t>
  </si>
  <si>
    <t>1.4 - Prego (18 x 30)</t>
  </si>
  <si>
    <t>1.1.1 - Tubo de PVC, PB, JE, fabricado conforme NBR 7362 - DN 350 mm</t>
  </si>
  <si>
    <t>1.2.1 - Tubo de PVC, PB, JE, fabricado conforme NBR 7362 - DN 400 mm</t>
  </si>
  <si>
    <t>2.1.1 - Tubo de concreto armado centrifugado, JE PB EA2 (Esgoto armado)</t>
  </si>
  <si>
    <t>fabricado conforme NBR 8890, DN 500 mm</t>
  </si>
  <si>
    <t>1.3 - Tampão de ferro fundido DN 600</t>
  </si>
  <si>
    <t>TOTAL DO ÍTEM 1.2</t>
  </si>
  <si>
    <r>
      <t xml:space="preserve"> </t>
    </r>
    <r>
      <rPr>
        <vertAlign val="superscript"/>
        <sz val="10"/>
        <rFont val="Arial"/>
        <family val="2"/>
      </rPr>
      <t xml:space="preserve"> DATA BASE:</t>
    </r>
  </si>
  <si>
    <r>
      <t xml:space="preserve"> </t>
    </r>
    <r>
      <rPr>
        <vertAlign val="superscript"/>
        <sz val="10"/>
        <rFont val="Arial"/>
        <family val="2"/>
      </rPr>
      <t>OBRA / SERVIÇO - UNIDADE DO SISTEMA:</t>
    </r>
  </si>
  <si>
    <r>
      <t xml:space="preserve"> </t>
    </r>
    <r>
      <rPr>
        <vertAlign val="superscript"/>
        <sz val="10"/>
        <rFont val="Arial"/>
        <family val="2"/>
      </rPr>
      <t>DATA:</t>
    </r>
  </si>
  <si>
    <r>
      <t xml:space="preserve">1 - </t>
    </r>
    <r>
      <rPr>
        <sz val="10"/>
        <rFont val="Arial"/>
        <family val="2"/>
      </rPr>
      <t>Estrutura de escoramento contínua</t>
    </r>
  </si>
  <si>
    <t>Drenagem</t>
  </si>
  <si>
    <t>Terraplenagem</t>
  </si>
  <si>
    <t>Estação elevatória</t>
  </si>
  <si>
    <t>Tratamento preliminar</t>
  </si>
  <si>
    <t>Instalações preliminares</t>
  </si>
  <si>
    <t>Serviços preliminares</t>
  </si>
  <si>
    <t>Movimento de terra</t>
  </si>
  <si>
    <t>Tubulação e caixas</t>
  </si>
  <si>
    <t>Cortes e aterros</t>
  </si>
  <si>
    <t>Estruturas de concreto</t>
  </si>
  <si>
    <t>Materiais e equipamentos</t>
  </si>
  <si>
    <t>Serviços diversos</t>
  </si>
  <si>
    <t>Fundações profundas</t>
  </si>
  <si>
    <t>Leito filtrante</t>
  </si>
  <si>
    <t>Interligação geral</t>
  </si>
  <si>
    <t>Ligação interceptor</t>
  </si>
  <si>
    <t>Casa de operação</t>
  </si>
  <si>
    <t>Fundações</t>
  </si>
  <si>
    <t>Estruturas e alvenaria</t>
  </si>
  <si>
    <t>Instalações e acabamentos</t>
  </si>
  <si>
    <t>Lançamentos</t>
  </si>
  <si>
    <t>Tudo</t>
  </si>
  <si>
    <t>17º mês</t>
  </si>
  <si>
    <t>18º mês</t>
  </si>
  <si>
    <t>19º mês</t>
  </si>
  <si>
    <t>20º mês</t>
  </si>
  <si>
    <t>21º mês</t>
  </si>
  <si>
    <t>22º mês</t>
  </si>
  <si>
    <t>Ligação do interceptor</t>
  </si>
  <si>
    <t>2.1</t>
  </si>
  <si>
    <t>2.2</t>
  </si>
  <si>
    <t>2.3</t>
  </si>
  <si>
    <t>2.4</t>
  </si>
  <si>
    <t>2.5</t>
  </si>
  <si>
    <t>2.6</t>
  </si>
  <si>
    <t>ITEM</t>
  </si>
  <si>
    <t>1.3</t>
  </si>
  <si>
    <t>1.4</t>
  </si>
  <si>
    <t>2.7</t>
  </si>
  <si>
    <t>2.8</t>
  </si>
  <si>
    <t>2.9</t>
  </si>
  <si>
    <t>2.10</t>
  </si>
  <si>
    <t>2.11</t>
  </si>
  <si>
    <t>2.12</t>
  </si>
  <si>
    <t>Quant</t>
  </si>
  <si>
    <t>Total</t>
  </si>
  <si>
    <t>DISCRIMINAÇÃO</t>
  </si>
  <si>
    <t>CODEVASF</t>
  </si>
  <si>
    <t xml:space="preserve"> COMPOSIÇÃO DE PREÇO UNITÁRIO</t>
  </si>
  <si>
    <t xml:space="preserve">DATA: </t>
  </si>
  <si>
    <t xml:space="preserve">UNIDADE: </t>
  </si>
  <si>
    <t>EQUIPAMENTO</t>
  </si>
  <si>
    <t>UNIDADE</t>
  </si>
  <si>
    <t>PROD</t>
  </si>
  <si>
    <t>IMPROD</t>
  </si>
  <si>
    <t>P.UNIT. PROD</t>
  </si>
  <si>
    <t>P.UNIT. IMPR</t>
  </si>
  <si>
    <t>P.TOTAL</t>
  </si>
  <si>
    <t>SUB-TOTAL</t>
  </si>
  <si>
    <t>MATERIAL</t>
  </si>
  <si>
    <t>P.UNIT.</t>
  </si>
  <si>
    <t>SERVIÇOS - COMPOSIÇÕES AUXILIARES</t>
  </si>
  <si>
    <t>MÃO DE OBRA</t>
  </si>
  <si>
    <t>PRODUÇÃO DA EQUIPE</t>
  </si>
  <si>
    <t xml:space="preserve">CUSTO </t>
  </si>
  <si>
    <t>BDI                %</t>
  </si>
  <si>
    <t>TOTAL DO SERVIÇO - R$</t>
  </si>
  <si>
    <t>SINAPI</t>
  </si>
  <si>
    <t>CPU</t>
  </si>
  <si>
    <t>TOTAL</t>
  </si>
  <si>
    <t xml:space="preserve"> </t>
  </si>
  <si>
    <t>Item</t>
  </si>
  <si>
    <t>Descrição dos Serviços</t>
  </si>
  <si>
    <t>%</t>
  </si>
  <si>
    <t>PV</t>
  </si>
  <si>
    <t>CD</t>
  </si>
  <si>
    <t>ADMINISTRAÇÃO CENTRAL</t>
  </si>
  <si>
    <t>ESCRITÓRIO CENTRAL</t>
  </si>
  <si>
    <t>VIAGENS</t>
  </si>
  <si>
    <t>OUTROS</t>
  </si>
  <si>
    <t>IMPOSTOS E TAXAS</t>
  </si>
  <si>
    <t>ISS</t>
  </si>
  <si>
    <t>PIS</t>
  </si>
  <si>
    <t>Cofins</t>
  </si>
  <si>
    <t>TAXA DE RISCO</t>
  </si>
  <si>
    <t>3.1</t>
  </si>
  <si>
    <t>SEGURO</t>
  </si>
  <si>
    <t>3.2</t>
  </si>
  <si>
    <t>RISCO</t>
  </si>
  <si>
    <t>3.3</t>
  </si>
  <si>
    <t>GARANTIA</t>
  </si>
  <si>
    <t>DESPESAS FINANCEIRAS</t>
  </si>
  <si>
    <t>LUCRO</t>
  </si>
  <si>
    <t>BDI - CALCULADO</t>
  </si>
  <si>
    <t>BDI = ((1+((AC+S+R+G)/100))x(1+DF/100)x(1+L/100)/(1-I/100)-1)*100</t>
  </si>
  <si>
    <t>BDI (CALCULADO):</t>
  </si>
  <si>
    <t>Para o preenchimento da proposta deve-se utilizar o valor de ISS da Prefeitura Local.</t>
  </si>
  <si>
    <t>FONTE</t>
  </si>
  <si>
    <t>S/ BDI</t>
  </si>
  <si>
    <t>C/ BDI</t>
  </si>
  <si>
    <t>74209/001</t>
  </si>
  <si>
    <t>ADMINISTRAÇÃO LOCAL</t>
  </si>
  <si>
    <t>CRONOGRAMA FÍSISCO-FINANCEIRO</t>
  </si>
  <si>
    <t>VALOR DO CONVENIO:</t>
  </si>
  <si>
    <t>ETAPAS/DESCRIÇAO</t>
  </si>
  <si>
    <t>FISICO/  FINANCEIRO</t>
  </si>
  <si>
    <t>TOTAL    ETAPAS</t>
  </si>
  <si>
    <t>MÊS 1</t>
  </si>
  <si>
    <t>MÊS 2</t>
  </si>
  <si>
    <t>MÊS 3</t>
  </si>
  <si>
    <t xml:space="preserve">FISICO </t>
  </si>
  <si>
    <t>FINANCEIRO</t>
  </si>
  <si>
    <t>ENG:</t>
  </si>
  <si>
    <t>CREA</t>
  </si>
  <si>
    <t>PREF:</t>
  </si>
  <si>
    <t>CRONOGRAMA GERADO AUTOMATICAMENTE COM A PLANILHA</t>
  </si>
  <si>
    <t>4.1</t>
  </si>
  <si>
    <t>MOBILIZAÇÃO/DESMOBILIZAÇÃO DE EQUIPAMENTOS E PESSOAL</t>
  </si>
  <si>
    <t>DETALHAMENTO DO BDI - SERVIÇOS</t>
  </si>
  <si>
    <t>BDI EM CONFORMIDADE COM OS ACÓRDÃOS Nº 2369/2011 e ACÓRDÃO Nº 2.622/2013 - TCU - PLENÁRIO</t>
  </si>
  <si>
    <t xml:space="preserve">                                                          1ª Superintendência Regional da CODEVASF - 1ª SR</t>
  </si>
  <si>
    <t xml:space="preserve">                            Companhia de Desenvolvimento dos Vales do São Francisco e do Parnaíba   </t>
  </si>
  <si>
    <t>PREÇO UNIT. (R$)</t>
  </si>
  <si>
    <t>PREÇO TOTAL (R$)</t>
  </si>
  <si>
    <t xml:space="preserve">TOTAL GERAL </t>
  </si>
  <si>
    <t>M</t>
  </si>
  <si>
    <t>PLACA DE OBRA EM CHAPA DE ACO GALVANIZADO</t>
  </si>
  <si>
    <t>CÓDIGO</t>
  </si>
  <si>
    <t>BDI</t>
  </si>
  <si>
    <t>M²</t>
  </si>
  <si>
    <t>M³</t>
  </si>
  <si>
    <t xml:space="preserve">Companhia de Desenvolvimento dos Vales do São Francisco e do Parnaíba   </t>
  </si>
  <si>
    <t>MEMÓRIA DE CÁLCULO</t>
  </si>
  <si>
    <t>MOBILIZAÇÃO E DESMOBILIZAÇÃO</t>
  </si>
  <si>
    <t xml:space="preserve"> OBRA:</t>
  </si>
  <si>
    <t>SERVICOS TOPOGRAFICOS PARA PAVIMENTACAO, INCLUSIVE NOTA DE SERVICOS, ACOMPANHAMENTO E GREIDE</t>
  </si>
  <si>
    <t>1</t>
  </si>
  <si>
    <t>SERVIÇOS TOPOGRÁFICOS</t>
  </si>
  <si>
    <t>SERVIÇO: MOBILIZAÇÃO/DESMOBILIZAÇÃO DE EQUIPAMENTOS E PESSOAL</t>
  </si>
  <si>
    <t>H</t>
  </si>
  <si>
    <t>PASSAGEM DE ÔNIBUS</t>
  </si>
  <si>
    <t>SERVIÇO: ADMINISTRAÇÃO LOCAL</t>
  </si>
  <si>
    <t>ENCARREGADO GERAL DE OBRAS COM ENCARGOS COMPLEMENTARES</t>
  </si>
  <si>
    <t>MÊS</t>
  </si>
  <si>
    <t>ENGENHEIRO CIVIL DE OBRA PLENO COM ENCARGOS COMPLEMENTARES</t>
  </si>
  <si>
    <t>AUXILIAR DE ESCRITÓRIO COM ENCARGOS COMPLEMENTARES</t>
  </si>
  <si>
    <t>ENERGIA ELÉTRICA</t>
  </si>
  <si>
    <t>ÁGUA/ESGOTO</t>
  </si>
  <si>
    <t>TELEFONE</t>
  </si>
  <si>
    <t>OBRAS VIÁRIAS - PAVIMENTAÇÃO DE RUAS</t>
  </si>
  <si>
    <t>REGULARIZACAO E COMPACTACAO DE SUBLEITO ATE 20 CM DE ESPESSURA</t>
  </si>
  <si>
    <t>ASSENTAMENTO DE GUIA (MEIO-FIO) EM TRECHO RETO, CONFECCIONADA EM CONCRETO PRÉ-FABRICADO, DIMENSÕES 100X15X13X30 CM (COMPRIMENTO X BASE INFERIOR X BASE SUPERIOR X ALTURA), PARA VIAS URBANAS (USO VIÁRIO), PARA TRAVAMENTO DA VIA . AF_06/2016</t>
  </si>
  <si>
    <t>URBANIZAÇÃO</t>
  </si>
  <si>
    <t>DRENAGEM PLUVIAL</t>
  </si>
  <si>
    <t>ASSENTAMENTO DE GUIA (MEIO-FIO) EM TRECHO RETO, CONFECCIONADA EM CONCRETO PRÉ-FABRICADO, DIMENSÕES 100X15X13X30 CM (COMPRIMENTO X BASE INFERIOR X BASE SUPERIOR X ALTURA), PARA VIAS URBANAS (USO VIÁRIO). AF_06/2016</t>
  </si>
  <si>
    <t>EXECUÇÃO DE SARJETA DE CONCRETO USINADO, MOLDADA IN LOCO EM TRECHO RETO, 45 CM BASE X 10 CM ALTURA. AF_06/2016</t>
  </si>
  <si>
    <t>REGULARIZAÇÃO E COMPACTAÇÃO DO SUBLEITO</t>
  </si>
  <si>
    <t xml:space="preserve">CAMINHÃO BASCULANTE COM CAPACIDADE DE 4 M³ - 136 KW </t>
  </si>
  <si>
    <t xml:space="preserve">CAMINHÃO CARROCERIA COM CAPACIDADE DE 5 T - 115 KW </t>
  </si>
  <si>
    <t>E9666</t>
  </si>
  <si>
    <t>E9663</t>
  </si>
  <si>
    <t>E9687</t>
  </si>
  <si>
    <t>PREFEITURA: GOUVEIA</t>
  </si>
  <si>
    <t>1.0 SERVIÇOS PRELIMINARES</t>
  </si>
  <si>
    <t>DESCRIÇÃO:</t>
  </si>
  <si>
    <t>CÓDIGO:</t>
  </si>
  <si>
    <t>DISCRIÇÃO</t>
  </si>
  <si>
    <t>Und.</t>
  </si>
  <si>
    <t>Quant.</t>
  </si>
  <si>
    <t>Compr.</t>
  </si>
  <si>
    <t xml:space="preserve">Total </t>
  </si>
  <si>
    <t>PLACA DA OBRA</t>
  </si>
  <si>
    <t>M2</t>
  </si>
  <si>
    <t>Área</t>
  </si>
  <si>
    <t>M3</t>
  </si>
  <si>
    <t>Altura</t>
  </si>
  <si>
    <t>Espessura</t>
  </si>
  <si>
    <t xml:space="preserve">Dist. </t>
  </si>
  <si>
    <t>M3 x KM</t>
  </si>
  <si>
    <t>-</t>
  </si>
  <si>
    <t>2.0 OBRAS VIÁRIAS - PAVIMENTAÇÃO DE RUAS</t>
  </si>
  <si>
    <t>3.0 URBANIZAÇÃO</t>
  </si>
  <si>
    <t>4.0 DRENAGEM PLUVIAL</t>
  </si>
  <si>
    <t xml:space="preserve">TRANSPORTE DE AREIA PARA COLCHÃO DE ASSENTAMENTO </t>
  </si>
  <si>
    <t>TRANSPORTE DE PÓ DE PEDRA PARA REJUNTAMENTO</t>
  </si>
  <si>
    <t>TRANSPORTE DE AREIA PARA ASSENTAMENTO DE MEIO-FIO</t>
  </si>
  <si>
    <t xml:space="preserve">Aplicação (m³/(m² ou m)) </t>
  </si>
  <si>
    <t>Área ou Compr.</t>
  </si>
  <si>
    <t>PAVIMENTO EM PISO INTERTRAVADO</t>
  </si>
  <si>
    <t>MEIO FIO PARA TRAVAMENTO DA VIA</t>
  </si>
  <si>
    <t xml:space="preserve">PRAZO DE EXECUÇÃO: 180 dias </t>
  </si>
  <si>
    <t>PRAZO: 180 DIAS</t>
  </si>
  <si>
    <t>MÊS 4</t>
  </si>
  <si>
    <t>MÊS 5</t>
  </si>
  <si>
    <t>MÊS 6</t>
  </si>
  <si>
    <t>1.5</t>
  </si>
  <si>
    <t>ESCAVACAO E CARGA MATERIAL 1A CATEGORIA, UTILIZANDO TRATOR DE ESTEIRAS DE 110 A 160HP COM LAMINA, PESO OPERACIONAL * 13T E PA CARREGADEIRA COM 170 HP.</t>
  </si>
  <si>
    <t>74151/001</t>
  </si>
  <si>
    <t>M³ x KM</t>
  </si>
  <si>
    <t>TRANSPORTE BOTA-FORA</t>
  </si>
  <si>
    <t>CANTEIRO DE OBRAS</t>
  </si>
  <si>
    <t>SERVIÇO: CANTEIRO DE OBRAS</t>
  </si>
  <si>
    <t>EXECUÇÃO E COMPACTAÇÃO DE BASE E OU SUB BASE COM SOLO PREDOMINANTEMENTE ARENOSO - EXCLUSIVE ESCAVAÇÃO, CARGA E TRANSPORTE E SOLO. AF_09/2017</t>
  </si>
  <si>
    <t xml:space="preserve">TRANSPORTE COM CAMINHÃO BASCULANTE DE 14 M3, EM VIA URBANA EM LEITO NATURAL (UNIDADE: M3XKM). AF_04/2016 </t>
  </si>
  <si>
    <t xml:space="preserve">                      Ministério do Desenvolvimento Regional</t>
  </si>
  <si>
    <t>ESCAVAÇÃO PARA REMOÇÃO DE PAVIMENTO E MATERIAL SOLO EXISTENTES</t>
  </si>
  <si>
    <t>EXECUÇÃO DE PAVIMENTO EM PISO INTERTRAVADO, COM BLOCO SEXTAVADO DE 25X 25 CM, ESPESSURA 8 CM, ASSENTADO SOBRE COLCHÃO DE AREIA COM ESPESSURA DE 8 CM - EXCLUSIVE TRANSPORTE DA AREIA</t>
  </si>
  <si>
    <t>SERVIÇO: EXECUÇÃO DE PAVIMENTO EM PISO INTERTRAVADO, COM BLOCO SEXTAVADO DE 25X 25 CM, ESPESSURA 8 CM, ASSENTADO SOBRE COLCHÃO DE AREIA COM ESPESSURA DE 8 CM - EXCLUSIVE TRANSPORTE DA AREIA</t>
  </si>
  <si>
    <t>PLACA VIBRATÓRIA REVERSÍVEL COM MOTOR 4 TEMPOS A GASOLINA, FORÇA CENTRÍFUGA DE 25 KN (2500 KGF), POTÊNCIA 5,5 CV - CHP DIURNO. AF_08/2015</t>
  </si>
  <si>
    <t>PLACA VIBRATÓRIA REVERSÍVEL COM MOTOR 4 TEMPOS A GASOLINA, FORÇA CENTRÍFUGA DE 25 KN (2500 KGF), POTÊNCIA 5,5 CV - CHI DIURNO. AF_08/2015</t>
  </si>
  <si>
    <t>CORTADORA DE PISO COM MOTOR 4 TEMPOS A GASOLINA, POTÊNCIA DE 13 HP, COM DISCO DE CORTE DIAMANTADO SEGMENTADO PARA CONCRETO, DIÂMETRO DE 350 MM, FURO DE 1" (14 X 1") - CHP DIURNO. AF_08/2015</t>
  </si>
  <si>
    <t>CORTADORA DE PISO COM MOTOR 4 TEMPOS A GASOLINA, POTÊNCIA DE 13 HP, COM DISCO DE CORTE DIAMANTADO SEGMENTADO PARA CONCRETO, DIÂMETRO DE 350 MM, FURO DE 1" (14 X 1") - CHI DIURNO. AF_08/2015</t>
  </si>
  <si>
    <t>CHP</t>
  </si>
  <si>
    <t>CHI</t>
  </si>
  <si>
    <t>91277</t>
  </si>
  <si>
    <t>91278</t>
  </si>
  <si>
    <t>91283</t>
  </si>
  <si>
    <t>91285</t>
  </si>
  <si>
    <t>0,0055000</t>
  </si>
  <si>
    <t>0,0872000</t>
  </si>
  <si>
    <t>0,0135000</t>
  </si>
  <si>
    <t>0,0792000</t>
  </si>
  <si>
    <t>BLOQUETE/PISO INTERTRAVADO DE CONCRETO - MODELO SEXTAVADO, 25 CM X 25 CM, E = 10 CM, RESISTENCIA DE 35 MPA (NBR 9781), COR NATURAL</t>
  </si>
  <si>
    <t>PO DE PEDRA (POSTO PEDREIRA/FORNECEDOR, SEM FRETE)</t>
  </si>
  <si>
    <t>AREIA MEDIA - POSTO JAZIDA/FORNECEDOR (SEM TRANSPORTE)</t>
  </si>
  <si>
    <t>1,0174000</t>
  </si>
  <si>
    <t>0,0064000</t>
  </si>
  <si>
    <t>4741</t>
  </si>
  <si>
    <t>CALCETEIRO COM ENCARGOS COMPLEMENTARES</t>
  </si>
  <si>
    <t>SERVENTE COM ENCARGOS COMPLEMENTARES</t>
  </si>
  <si>
    <t>88260</t>
  </si>
  <si>
    <t>88316</t>
  </si>
  <si>
    <t>0,1853000</t>
  </si>
  <si>
    <t>EXECUÇÃO E COMPACTAÇÃO DO COLCHÃO DE AREIA</t>
  </si>
  <si>
    <t>OBRA: PAVIMENTAÇÃO DE REVESTIMENTO DE BLOQUETE HEXAGONAIS DE CONCRETO
             RUA HENRIQUE MOREIRA SÓ, COMUNIDADE DE VILA ALEXANDRE MASCARENHAS/ GOUVEIA - MG</t>
  </si>
  <si>
    <t>PAVIMENTAÇÃO DE REVESTIMENTO EM BLOQUETE HEXAGONAIS DE CONCRETO
RUA HENRIQUE MOREIRA SÓ, COMUNIDADE DE VILA ALEXANDRE MASCARENHAS/ GOUVEIA - MG</t>
  </si>
  <si>
    <t>OBRA: PAVIMENTAÇÃO DE REVESTIMENTO DE BLOQUETE HEXAGONAIS DE CONCRETO
              RUA HENRIQUE MOREIRA SÓ, COMUNIDADE DE VILA ALEXANDRE MASCARENHAS/ GOUVEIA - MG</t>
  </si>
  <si>
    <t>Ministério do Desenvolvimento Regional</t>
  </si>
  <si>
    <t>MEIO FIO</t>
  </si>
  <si>
    <t>SARJETA</t>
  </si>
  <si>
    <t>CONTRIBUIÇÃO PREVIDENCIÁRIA SOBRE A RENDA BRUTA</t>
  </si>
  <si>
    <t>LOCAÇÃO DE IMÓVEL NA REGIÃO OU CONTEINER QUE ATENDA ÀS CONDIÇOES NECESSÁRIAS.</t>
  </si>
  <si>
    <t>DATA: JULHO/2019</t>
  </si>
  <si>
    <t>1ª Superintendência Regional da CODEVASF</t>
  </si>
  <si>
    <t xml:space="preserve">                            1ª Superintendência Regional da CODEVASF </t>
  </si>
  <si>
    <t xml:space="preserve">CAVALO MECÂNICO COM SEMI-REBOQUE COM CAPACIDADE DE 30 T - 265 KW </t>
  </si>
  <si>
    <t>DATA BASE: SINAPI JUNHO/2019 - SICRO JANEIRO/2019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</si>
</sst>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00"/>
    <numFmt numFmtId="167" formatCode="0.00_);[Red]\(0.00\)"/>
    <numFmt numFmtId="168" formatCode="_(* #,##0.0_);_(* \(#,##0.0\);_(* &quot;-&quot;??_);_(@_)"/>
    <numFmt numFmtId="169" formatCode="_(* #,##0_);_(* \(#,##0\);_(* &quot;-&quot;??_);_(@_)"/>
    <numFmt numFmtId="170" formatCode="d/m"/>
    <numFmt numFmtId="171" formatCode="mmmm\-yy"/>
    <numFmt numFmtId="172" formatCode="0.0000"/>
    <numFmt numFmtId="173" formatCode="0.000000"/>
    <numFmt numFmtId="174" formatCode="0.00000000"/>
    <numFmt numFmtId="175" formatCode="0.00000000000"/>
    <numFmt numFmtId="176" formatCode="0.0000000"/>
    <numFmt numFmtId="177" formatCode="General&quot; dias&quot;"/>
    <numFmt numFmtId="178" formatCode="&quot;R$ &quot;#,##0.00"/>
    <numFmt numFmtId="179" formatCode="0.00000"/>
    <numFmt numFmtId="180" formatCode="#,##0.0000"/>
    <numFmt numFmtId="181" formatCode="_(* #,##0.000000_);_(* \(#,##0.000000\);_(* &quot;-&quot;??_);_(@_)"/>
    <numFmt numFmtId="182" formatCode="&quot;R$&quot;\ #,##0.00"/>
    <numFmt numFmtId="183" formatCode="#,##0.00;[Red]#,##0.00"/>
    <numFmt numFmtId="184" formatCode="_-[$R$-416]* #,##0.00_-;\-[$R$-416]* #,##0.00_-;_-[$R$-416]* &quot;-&quot;??_-;_-@_-"/>
    <numFmt numFmtId="185" formatCode="#,##0.000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vertAlign val="superscript"/>
      <sz val="9"/>
      <name val="Arial"/>
      <family val="2"/>
    </font>
    <font>
      <vertAlign val="superscript"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0"/>
      <color indexed="10"/>
      <name val="Arial"/>
      <family val="2"/>
    </font>
    <font>
      <sz val="10"/>
      <color indexed="10"/>
      <name val="Arial"/>
      <family val="2"/>
    </font>
    <font>
      <b/>
      <sz val="8"/>
      <name val="Arial"/>
      <family val="2"/>
    </font>
    <font>
      <sz val="10"/>
      <name val="Courier"/>
      <family val="3"/>
    </font>
    <font>
      <b/>
      <sz val="12"/>
      <name val="Arial"/>
      <family val="2"/>
    </font>
    <font>
      <sz val="10"/>
      <name val="Arial"/>
      <family val="2"/>
    </font>
    <font>
      <b/>
      <i/>
      <sz val="12"/>
      <color indexed="56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4"/>
      <name val="Arial"/>
      <family val="2"/>
    </font>
    <font>
      <b/>
      <sz val="16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4"/>
      <name val="Arial"/>
      <family val="2"/>
    </font>
    <font>
      <sz val="36"/>
      <color rgb="FFFF0000"/>
      <name val="Arial"/>
      <family val="2"/>
    </font>
    <font>
      <sz val="20"/>
      <color rgb="FFFF0000"/>
      <name val="Arial"/>
      <family val="2"/>
    </font>
    <font>
      <sz val="10"/>
      <color rgb="FFFF0000"/>
      <name val="Arial"/>
      <family val="2"/>
    </font>
    <font>
      <sz val="10"/>
      <color theme="1"/>
      <name val="Times New Roman"/>
      <family val="1"/>
    </font>
    <font>
      <sz val="9"/>
      <color theme="1"/>
      <name val="Arial"/>
      <family val="2"/>
    </font>
    <font>
      <sz val="20"/>
      <color theme="1"/>
      <name val="Times New Roman"/>
      <family val="1"/>
    </font>
    <font>
      <b/>
      <sz val="9"/>
      <color theme="1"/>
      <name val="Arial"/>
      <family val="2"/>
    </font>
    <font>
      <sz val="24"/>
      <name val="Times New Roman"/>
      <family val="1"/>
    </font>
    <font>
      <sz val="8"/>
      <name val="Arial"/>
      <family val="2"/>
    </font>
    <font>
      <b/>
      <sz val="14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0"/>
      <color rgb="FF000000"/>
      <name val="Arial"/>
      <family val="2"/>
    </font>
    <font>
      <sz val="11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6" fillId="0" borderId="0"/>
    <xf numFmtId="0" fontId="2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4" fillId="0" borderId="0"/>
    <xf numFmtId="3" fontId="4" fillId="0" borderId="0"/>
    <xf numFmtId="9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1" fillId="0" borderId="0"/>
  </cellStyleXfs>
  <cellXfs count="741">
    <xf numFmtId="0" fontId="0" fillId="0" borderId="0" xfId="0"/>
    <xf numFmtId="4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 wrapText="1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2" xfId="0" applyFont="1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4" xfId="0" applyFont="1" applyBorder="1" applyAlignment="1">
      <alignment horizontal="left" vertical="center"/>
    </xf>
    <xf numFmtId="0" fontId="0" fillId="0" borderId="5" xfId="0" applyBorder="1" applyAlignment="1" applyProtection="1">
      <alignment vertical="center"/>
      <protection locked="0"/>
    </xf>
    <xf numFmtId="0" fontId="8" fillId="0" borderId="6" xfId="0" applyFont="1" applyBorder="1" applyAlignment="1" applyProtection="1">
      <alignment vertical="center"/>
      <protection locked="0"/>
    </xf>
    <xf numFmtId="0" fontId="8" fillId="0" borderId="7" xfId="0" applyFont="1" applyBorder="1" applyAlignment="1" applyProtection="1">
      <alignment vertical="center"/>
      <protection locked="0"/>
    </xf>
    <xf numFmtId="0" fontId="8" fillId="0" borderId="8" xfId="0" applyFont="1" applyBorder="1" applyAlignment="1" applyProtection="1">
      <alignment vertical="center"/>
      <protection locked="0"/>
    </xf>
    <xf numFmtId="0" fontId="8" fillId="0" borderId="9" xfId="0" applyFont="1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8" fillId="0" borderId="14" xfId="0" applyFont="1" applyBorder="1" applyAlignment="1" applyProtection="1">
      <alignment vertical="center"/>
      <protection locked="0"/>
    </xf>
    <xf numFmtId="171" fontId="8" fillId="0" borderId="15" xfId="0" applyNumberFormat="1" applyFont="1" applyBorder="1" applyAlignment="1" applyProtection="1">
      <alignment horizontal="center" vertical="center"/>
      <protection locked="0"/>
    </xf>
    <xf numFmtId="0" fontId="8" fillId="0" borderId="16" xfId="0" applyFont="1" applyBorder="1" applyAlignment="1" applyProtection="1">
      <alignment vertical="center"/>
      <protection locked="0"/>
    </xf>
    <xf numFmtId="170" fontId="8" fillId="0" borderId="17" xfId="0" applyNumberFormat="1" applyFont="1" applyBorder="1" applyAlignment="1" applyProtection="1">
      <alignment horizontal="center" vertical="center"/>
      <protection locked="0"/>
    </xf>
    <xf numFmtId="0" fontId="8" fillId="0" borderId="18" xfId="0" applyFont="1" applyBorder="1" applyAlignment="1" applyProtection="1">
      <alignment vertical="center"/>
      <protection locked="0"/>
    </xf>
    <xf numFmtId="0" fontId="9" fillId="0" borderId="19" xfId="0" quotePrefix="1" applyFont="1" applyBorder="1" applyAlignment="1" applyProtection="1">
      <alignment horizontal="center" vertical="center"/>
      <protection locked="0"/>
    </xf>
    <xf numFmtId="0" fontId="0" fillId="0" borderId="20" xfId="0" applyBorder="1" applyAlignment="1">
      <alignment horizontal="center" vertical="center"/>
    </xf>
    <xf numFmtId="0" fontId="9" fillId="0" borderId="21" xfId="0" quotePrefix="1" applyFont="1" applyBorder="1" applyAlignment="1" applyProtection="1">
      <alignment horizontal="center" vertical="center"/>
      <protection locked="0"/>
    </xf>
    <xf numFmtId="0" fontId="0" fillId="0" borderId="22" xfId="0" applyBorder="1" applyAlignment="1">
      <alignment horizontal="center" vertical="center"/>
    </xf>
    <xf numFmtId="0" fontId="8" fillId="0" borderId="10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0" xfId="0" applyFont="1"/>
    <xf numFmtId="0" fontId="8" fillId="0" borderId="23" xfId="0" applyFont="1" applyBorder="1" applyAlignment="1">
      <alignment horizontal="center"/>
    </xf>
    <xf numFmtId="169" fontId="8" fillId="0" borderId="24" xfId="7" applyNumberFormat="1" applyFont="1" applyBorder="1"/>
    <xf numFmtId="0" fontId="8" fillId="0" borderId="25" xfId="0" applyFont="1" applyBorder="1"/>
    <xf numFmtId="165" fontId="8" fillId="0" borderId="25" xfId="7" applyFont="1" applyBorder="1" applyAlignment="1">
      <alignment horizontal="center"/>
    </xf>
    <xf numFmtId="165" fontId="8" fillId="0" borderId="0" xfId="7" applyFont="1" applyAlignment="1">
      <alignment horizontal="center"/>
    </xf>
    <xf numFmtId="0" fontId="8" fillId="0" borderId="13" xfId="0" applyFont="1" applyBorder="1"/>
    <xf numFmtId="0" fontId="10" fillId="0" borderId="0" xfId="0" applyFont="1"/>
    <xf numFmtId="165" fontId="8" fillId="0" borderId="12" xfId="7" applyFont="1" applyBorder="1"/>
    <xf numFmtId="0" fontId="8" fillId="0" borderId="0" xfId="0" applyFont="1" applyBorder="1"/>
    <xf numFmtId="165" fontId="8" fillId="0" borderId="0" xfId="7" applyFont="1" applyBorder="1" applyAlignment="1">
      <alignment horizontal="center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quotePrefix="1" applyFont="1" applyAlignment="1">
      <alignment horizontal="left"/>
    </xf>
    <xf numFmtId="0" fontId="11" fillId="0" borderId="10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165" fontId="8" fillId="0" borderId="12" xfId="7" applyFont="1" applyBorder="1" applyAlignment="1">
      <alignment horizontal="center"/>
    </xf>
    <xf numFmtId="0" fontId="8" fillId="0" borderId="0" xfId="0" quotePrefix="1" applyFont="1" applyAlignment="1">
      <alignment horizontal="left"/>
    </xf>
    <xf numFmtId="165" fontId="8" fillId="0" borderId="12" xfId="7" applyFont="1" applyBorder="1" applyAlignment="1"/>
    <xf numFmtId="0" fontId="11" fillId="0" borderId="0" xfId="0" applyFont="1" applyAlignment="1">
      <alignment horizontal="left"/>
    </xf>
    <xf numFmtId="165" fontId="8" fillId="0" borderId="0" xfId="0" quotePrefix="1" applyNumberFormat="1" applyFont="1" applyAlignment="1">
      <alignment horizontal="left"/>
    </xf>
    <xf numFmtId="165" fontId="11" fillId="0" borderId="12" xfId="7" applyFont="1" applyBorder="1" applyAlignment="1"/>
    <xf numFmtId="0" fontId="11" fillId="0" borderId="0" xfId="0" applyFont="1" applyBorder="1"/>
    <xf numFmtId="165" fontId="11" fillId="0" borderId="0" xfId="7" applyFont="1" applyBorder="1" applyAlignment="1">
      <alignment horizontal="center"/>
    </xf>
    <xf numFmtId="165" fontId="11" fillId="0" borderId="0" xfId="7" applyFont="1" applyAlignment="1">
      <alignment horizontal="center"/>
    </xf>
    <xf numFmtId="165" fontId="3" fillId="0" borderId="0" xfId="7" applyFont="1" applyAlignment="1">
      <alignment horizontal="right"/>
    </xf>
    <xf numFmtId="4" fontId="3" fillId="0" borderId="0" xfId="0" quotePrefix="1" applyNumberFormat="1" applyFont="1" applyAlignment="1">
      <alignment horizontal="center"/>
    </xf>
    <xf numFmtId="176" fontId="11" fillId="0" borderId="0" xfId="7" applyNumberFormat="1" applyFont="1" applyAlignment="1">
      <alignment horizontal="center"/>
    </xf>
    <xf numFmtId="0" fontId="4" fillId="0" borderId="0" xfId="0" applyFont="1" applyBorder="1"/>
    <xf numFmtId="49" fontId="0" fillId="0" borderId="0" xfId="0" applyNumberFormat="1" applyBorder="1"/>
    <xf numFmtId="165" fontId="8" fillId="0" borderId="0" xfId="7" quotePrefix="1" applyFont="1" applyAlignment="1">
      <alignment horizontal="center"/>
    </xf>
    <xf numFmtId="10" fontId="8" fillId="0" borderId="0" xfId="0" applyNumberFormat="1" applyFont="1" applyAlignment="1">
      <alignment horizontal="left"/>
    </xf>
    <xf numFmtId="0" fontId="8" fillId="0" borderId="14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6" xfId="0" applyFont="1" applyBorder="1"/>
    <xf numFmtId="0" fontId="8" fillId="0" borderId="26" xfId="0" applyFont="1" applyBorder="1" applyAlignment="1">
      <alignment horizontal="center"/>
    </xf>
    <xf numFmtId="169" fontId="8" fillId="0" borderId="17" xfId="0" applyNumberFormat="1" applyFont="1" applyBorder="1"/>
    <xf numFmtId="165" fontId="8" fillId="0" borderId="16" xfId="7" applyFont="1" applyBorder="1" applyAlignment="1">
      <alignment horizontal="center"/>
    </xf>
    <xf numFmtId="0" fontId="8" fillId="0" borderId="18" xfId="0" applyFont="1" applyBorder="1"/>
    <xf numFmtId="0" fontId="8" fillId="0" borderId="0" xfId="0" applyFont="1" applyBorder="1" applyAlignment="1">
      <alignment horizontal="center"/>
    </xf>
    <xf numFmtId="169" fontId="8" fillId="0" borderId="0" xfId="0" applyNumberFormat="1" applyFont="1" applyBorder="1"/>
    <xf numFmtId="0" fontId="7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7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169" fontId="8" fillId="0" borderId="27" xfId="0" applyNumberFormat="1" applyFont="1" applyBorder="1" applyAlignment="1">
      <alignment vertical="center"/>
    </xf>
    <xf numFmtId="165" fontId="8" fillId="0" borderId="3" xfId="7" applyFont="1" applyBorder="1" applyAlignment="1">
      <alignment vertical="center"/>
    </xf>
    <xf numFmtId="0" fontId="8" fillId="0" borderId="3" xfId="0" applyFont="1" applyBorder="1"/>
    <xf numFmtId="165" fontId="8" fillId="0" borderId="3" xfId="7" applyFont="1" applyBorder="1" applyAlignment="1">
      <alignment horizontal="center"/>
    </xf>
    <xf numFmtId="0" fontId="8" fillId="0" borderId="5" xfId="0" applyFont="1" applyBorder="1"/>
    <xf numFmtId="169" fontId="8" fillId="0" borderId="15" xfId="0" applyNumberFormat="1" applyFont="1" applyBorder="1"/>
    <xf numFmtId="0" fontId="0" fillId="0" borderId="0" xfId="0" applyBorder="1"/>
    <xf numFmtId="0" fontId="8" fillId="0" borderId="2" xfId="0" applyFont="1" applyBorder="1"/>
    <xf numFmtId="0" fontId="0" fillId="0" borderId="3" xfId="0" applyBorder="1"/>
    <xf numFmtId="0" fontId="8" fillId="0" borderId="28" xfId="0" applyFont="1" applyBorder="1"/>
    <xf numFmtId="0" fontId="0" fillId="0" borderId="7" xfId="0" applyBorder="1"/>
    <xf numFmtId="1" fontId="0" fillId="0" borderId="29" xfId="0" applyNumberFormat="1" applyBorder="1" applyAlignment="1" applyProtection="1">
      <alignment horizontal="center"/>
      <protection locked="0"/>
    </xf>
    <xf numFmtId="0" fontId="8" fillId="0" borderId="10" xfId="0" applyFont="1" applyBorder="1"/>
    <xf numFmtId="0" fontId="8" fillId="0" borderId="30" xfId="0" applyFont="1" applyBorder="1"/>
    <xf numFmtId="17" fontId="0" fillId="0" borderId="31" xfId="0" applyNumberFormat="1" applyBorder="1" applyAlignment="1">
      <alignment horizontal="center"/>
    </xf>
    <xf numFmtId="0" fontId="0" fillId="0" borderId="3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3" xfId="0" applyBorder="1"/>
    <xf numFmtId="0" fontId="0" fillId="0" borderId="24" xfId="0" applyBorder="1"/>
    <xf numFmtId="0" fontId="0" fillId="0" borderId="34" xfId="0" applyBorder="1"/>
    <xf numFmtId="169" fontId="2" fillId="0" borderId="0" xfId="7" applyNumberFormat="1" applyBorder="1" applyAlignment="1">
      <alignment horizontal="right"/>
    </xf>
    <xf numFmtId="0" fontId="0" fillId="0" borderId="35" xfId="0" applyBorder="1"/>
    <xf numFmtId="0" fontId="0" fillId="0" borderId="36" xfId="0" applyBorder="1"/>
    <xf numFmtId="0" fontId="0" fillId="0" borderId="12" xfId="0" applyBorder="1"/>
    <xf numFmtId="0" fontId="0" fillId="0" borderId="11" xfId="0" applyBorder="1"/>
    <xf numFmtId="0" fontId="0" fillId="0" borderId="23" xfId="0" applyBorder="1"/>
    <xf numFmtId="169" fontId="2" fillId="0" borderId="23" xfId="7" applyNumberFormat="1" applyBorder="1" applyAlignment="1">
      <alignment horizontal="right"/>
    </xf>
    <xf numFmtId="0" fontId="0" fillId="0" borderId="30" xfId="0" applyBorder="1"/>
    <xf numFmtId="49" fontId="3" fillId="0" borderId="36" xfId="0" applyNumberFormat="1" applyFont="1" applyBorder="1" applyAlignment="1">
      <alignment horizontal="center"/>
    </xf>
    <xf numFmtId="0" fontId="5" fillId="0" borderId="0" xfId="0" applyFont="1"/>
    <xf numFmtId="49" fontId="0" fillId="0" borderId="11" xfId="0" applyNumberFormat="1" applyBorder="1"/>
    <xf numFmtId="49" fontId="0" fillId="0" borderId="0" xfId="0" applyNumberFormat="1" applyBorder="1" applyAlignment="1">
      <alignment horizontal="center"/>
    </xf>
    <xf numFmtId="40" fontId="13" fillId="0" borderId="0" xfId="0" applyNumberFormat="1" applyFont="1" applyBorder="1"/>
    <xf numFmtId="165" fontId="4" fillId="0" borderId="30" xfId="7" applyFont="1" applyBorder="1" applyAlignment="1">
      <alignment horizontal="center"/>
    </xf>
    <xf numFmtId="49" fontId="0" fillId="0" borderId="10" xfId="0" applyNumberFormat="1" applyBorder="1" applyAlignment="1">
      <alignment horizontal="center"/>
    </xf>
    <xf numFmtId="49" fontId="0" fillId="0" borderId="12" xfId="0" applyNumberFormat="1" applyBorder="1"/>
    <xf numFmtId="169" fontId="2" fillId="0" borderId="23" xfId="7" applyNumberFormat="1" applyFont="1" applyBorder="1" applyAlignment="1">
      <alignment horizontal="right"/>
    </xf>
    <xf numFmtId="0" fontId="4" fillId="0" borderId="12" xfId="0" applyFont="1" applyBorder="1"/>
    <xf numFmtId="169" fontId="14" fillId="0" borderId="23" xfId="7" applyNumberFormat="1" applyFont="1" applyBorder="1" applyAlignment="1">
      <alignment horizontal="right"/>
    </xf>
    <xf numFmtId="49" fontId="4" fillId="0" borderId="0" xfId="0" applyNumberFormat="1" applyFont="1" applyBorder="1" applyAlignment="1">
      <alignment horizontal="center"/>
    </xf>
    <xf numFmtId="40" fontId="4" fillId="0" borderId="0" xfId="0" applyNumberFormat="1" applyFont="1" applyBorder="1"/>
    <xf numFmtId="165" fontId="4" fillId="0" borderId="30" xfId="7" applyFont="1" applyFill="1" applyBorder="1" applyAlignment="1">
      <alignment horizontal="center"/>
    </xf>
    <xf numFmtId="169" fontId="4" fillId="0" borderId="23" xfId="7" applyNumberFormat="1" applyFont="1" applyBorder="1" applyAlignment="1">
      <alignment horizontal="right"/>
    </xf>
    <xf numFmtId="172" fontId="4" fillId="0" borderId="23" xfId="7" applyNumberFormat="1" applyFont="1" applyBorder="1" applyAlignment="1">
      <alignment horizontal="right"/>
    </xf>
    <xf numFmtId="167" fontId="4" fillId="0" borderId="0" xfId="0" applyNumberFormat="1" applyFont="1" applyBorder="1"/>
    <xf numFmtId="175" fontId="4" fillId="0" borderId="0" xfId="0" applyNumberFormat="1" applyFont="1" applyBorder="1"/>
    <xf numFmtId="2" fontId="4" fillId="0" borderId="30" xfId="7" applyNumberFormat="1" applyFont="1" applyFill="1" applyBorder="1" applyAlignment="1">
      <alignment horizontal="center"/>
    </xf>
    <xf numFmtId="172" fontId="2" fillId="0" borderId="23" xfId="7" applyNumberFormat="1" applyBorder="1" applyAlignment="1">
      <alignment horizontal="right"/>
    </xf>
    <xf numFmtId="2" fontId="2" fillId="0" borderId="23" xfId="7" applyNumberFormat="1" applyBorder="1" applyAlignment="1">
      <alignment horizontal="right"/>
    </xf>
    <xf numFmtId="173" fontId="2" fillId="0" borderId="23" xfId="7" applyNumberFormat="1" applyBorder="1" applyAlignment="1">
      <alignment horizontal="right"/>
    </xf>
    <xf numFmtId="168" fontId="2" fillId="0" borderId="23" xfId="7" applyNumberFormat="1" applyBorder="1" applyAlignment="1">
      <alignment horizontal="right"/>
    </xf>
    <xf numFmtId="172" fontId="4" fillId="0" borderId="0" xfId="0" applyNumberFormat="1" applyFont="1" applyBorder="1"/>
    <xf numFmtId="173" fontId="4" fillId="0" borderId="0" xfId="0" applyNumberFormat="1" applyFont="1" applyBorder="1"/>
    <xf numFmtId="0" fontId="0" fillId="0" borderId="37" xfId="0" applyBorder="1"/>
    <xf numFmtId="0" fontId="0" fillId="0" borderId="17" xfId="0" applyBorder="1"/>
    <xf numFmtId="49" fontId="0" fillId="0" borderId="16" xfId="0" applyNumberFormat="1" applyBorder="1"/>
    <xf numFmtId="49" fontId="0" fillId="0" borderId="15" xfId="0" applyNumberFormat="1" applyBorder="1"/>
    <xf numFmtId="49" fontId="0" fillId="0" borderId="26" xfId="0" applyNumberFormat="1" applyBorder="1" applyAlignment="1">
      <alignment horizontal="center"/>
    </xf>
    <xf numFmtId="169" fontId="2" fillId="0" borderId="26" xfId="7" applyNumberFormat="1" applyBorder="1" applyAlignment="1">
      <alignment horizontal="right"/>
    </xf>
    <xf numFmtId="40" fontId="4" fillId="0" borderId="16" xfId="0" applyNumberFormat="1" applyFont="1" applyBorder="1"/>
    <xf numFmtId="40" fontId="0" fillId="0" borderId="31" xfId="0" applyNumberFormat="1" applyBorder="1"/>
    <xf numFmtId="0" fontId="0" fillId="0" borderId="38" xfId="0" applyBorder="1"/>
    <xf numFmtId="169" fontId="2" fillId="0" borderId="38" xfId="7" applyNumberFormat="1" applyBorder="1" applyAlignment="1"/>
    <xf numFmtId="0" fontId="8" fillId="0" borderId="12" xfId="0" applyFont="1" applyBorder="1"/>
    <xf numFmtId="169" fontId="2" fillId="0" borderId="0" xfId="7" applyNumberFormat="1" applyBorder="1" applyAlignment="1"/>
    <xf numFmtId="0" fontId="0" fillId="0" borderId="13" xfId="0" applyBorder="1"/>
    <xf numFmtId="0" fontId="0" fillId="0" borderId="16" xfId="0" applyBorder="1"/>
    <xf numFmtId="169" fontId="2" fillId="0" borderId="16" xfId="7" applyNumberFormat="1" applyBorder="1" applyAlignment="1"/>
    <xf numFmtId="0" fontId="0" fillId="0" borderId="18" xfId="0" applyBorder="1"/>
    <xf numFmtId="165" fontId="4" fillId="0" borderId="0" xfId="7" applyFont="1" applyBorder="1" applyAlignment="1"/>
    <xf numFmtId="49" fontId="0" fillId="0" borderId="36" xfId="0" applyNumberFormat="1" applyBorder="1" applyAlignment="1">
      <alignment horizontal="center"/>
    </xf>
    <xf numFmtId="0" fontId="4" fillId="0" borderId="0" xfId="0" applyFont="1" applyAlignment="1">
      <alignment horizontal="justify"/>
    </xf>
    <xf numFmtId="0" fontId="4" fillId="0" borderId="2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 vertical="top" wrapText="1"/>
    </xf>
    <xf numFmtId="165" fontId="4" fillId="0" borderId="23" xfId="7" applyFont="1" applyBorder="1" applyAlignment="1">
      <alignment horizontal="right" vertical="top"/>
    </xf>
    <xf numFmtId="2" fontId="13" fillId="0" borderId="0" xfId="7" applyNumberFormat="1" applyFont="1" applyBorder="1" applyAlignment="1">
      <alignment vertical="top" wrapText="1"/>
    </xf>
    <xf numFmtId="3" fontId="4" fillId="0" borderId="0" xfId="0" applyNumberFormat="1" applyFont="1" applyBorder="1" applyAlignment="1">
      <alignment horizontal="right" vertical="top" wrapText="1"/>
    </xf>
    <xf numFmtId="165" fontId="4" fillId="0" borderId="0" xfId="7" applyFont="1" applyBorder="1" applyAlignment="1">
      <alignment horizontal="right" vertical="top"/>
    </xf>
    <xf numFmtId="0" fontId="4" fillId="0" borderId="0" xfId="0" applyFont="1" applyAlignment="1"/>
    <xf numFmtId="173" fontId="2" fillId="0" borderId="11" xfId="7" applyNumberFormat="1" applyFont="1" applyBorder="1" applyAlignment="1"/>
    <xf numFmtId="165" fontId="14" fillId="0" borderId="11" xfId="7" applyFont="1" applyBorder="1" applyAlignment="1"/>
    <xf numFmtId="0" fontId="4" fillId="0" borderId="23" xfId="0" applyFont="1" applyBorder="1" applyAlignment="1">
      <alignment horizontal="right" vertical="top" wrapText="1"/>
    </xf>
    <xf numFmtId="165" fontId="2" fillId="0" borderId="11" xfId="7" applyFont="1" applyBorder="1" applyAlignment="1">
      <alignment horizontal="right" vertical="top"/>
    </xf>
    <xf numFmtId="165" fontId="13" fillId="0" borderId="11" xfId="7" applyFont="1" applyBorder="1" applyAlignment="1">
      <alignment horizontal="right" vertical="top"/>
    </xf>
    <xf numFmtId="3" fontId="13" fillId="0" borderId="23" xfId="0" applyNumberFormat="1" applyFont="1" applyBorder="1" applyAlignment="1">
      <alignment horizontal="right" vertical="top" wrapText="1"/>
    </xf>
    <xf numFmtId="165" fontId="4" fillId="0" borderId="11" xfId="7" applyFont="1" applyBorder="1" applyAlignment="1">
      <alignment horizontal="right" vertical="top"/>
    </xf>
    <xf numFmtId="3" fontId="4" fillId="0" borderId="23" xfId="0" applyNumberFormat="1" applyFont="1" applyBorder="1" applyAlignment="1">
      <alignment horizontal="right" vertical="top" wrapText="1"/>
    </xf>
    <xf numFmtId="172" fontId="4" fillId="0" borderId="23" xfId="0" applyNumberFormat="1" applyFont="1" applyBorder="1" applyAlignment="1">
      <alignment horizontal="right" vertical="top" wrapText="1"/>
    </xf>
    <xf numFmtId="173" fontId="4" fillId="0" borderId="11" xfId="7" applyNumberFormat="1" applyFont="1" applyBorder="1" applyAlignment="1">
      <alignment horizontal="right" vertical="top"/>
    </xf>
    <xf numFmtId="2" fontId="4" fillId="0" borderId="11" xfId="7" applyNumberFormat="1" applyFont="1" applyBorder="1" applyAlignment="1">
      <alignment horizontal="right" vertical="top"/>
    </xf>
    <xf numFmtId="0" fontId="0" fillId="0" borderId="0" xfId="0" applyAlignment="1"/>
    <xf numFmtId="0" fontId="0" fillId="0" borderId="0" xfId="0" applyBorder="1" applyAlignment="1"/>
    <xf numFmtId="174" fontId="4" fillId="0" borderId="23" xfId="0" applyNumberFormat="1" applyFont="1" applyBorder="1" applyAlignment="1">
      <alignment horizontal="right" vertical="top" wrapText="1"/>
    </xf>
    <xf numFmtId="0" fontId="0" fillId="0" borderId="11" xfId="0" applyBorder="1" applyAlignment="1"/>
    <xf numFmtId="2" fontId="14" fillId="0" borderId="23" xfId="7" applyNumberFormat="1" applyFont="1" applyBorder="1" applyAlignment="1">
      <alignment horizontal="right"/>
    </xf>
    <xf numFmtId="0" fontId="4" fillId="0" borderId="12" xfId="0" applyFont="1" applyBorder="1" applyAlignment="1"/>
    <xf numFmtId="172" fontId="2" fillId="0" borderId="23" xfId="7" applyNumberFormat="1" applyFont="1" applyBorder="1" applyAlignment="1">
      <alignment horizontal="right"/>
    </xf>
    <xf numFmtId="2" fontId="2" fillId="0" borderId="23" xfId="7" applyNumberFormat="1" applyFont="1" applyBorder="1" applyAlignment="1">
      <alignment horizontal="right"/>
    </xf>
    <xf numFmtId="2" fontId="2" fillId="0" borderId="0" xfId="7" applyNumberFormat="1" applyAlignment="1"/>
    <xf numFmtId="165" fontId="4" fillId="0" borderId="23" xfId="7" applyFont="1" applyBorder="1"/>
    <xf numFmtId="169" fontId="2" fillId="0" borderId="0" xfId="7" applyNumberFormat="1" applyAlignment="1"/>
    <xf numFmtId="2" fontId="4" fillId="0" borderId="0" xfId="7" applyNumberFormat="1" applyFont="1" applyBorder="1" applyAlignment="1">
      <alignment horizontal="right" vertical="top"/>
    </xf>
    <xf numFmtId="165" fontId="4" fillId="0" borderId="23" xfId="7" applyFont="1" applyBorder="1" applyAlignment="1">
      <alignment horizontal="right" vertical="top" wrapText="1"/>
    </xf>
    <xf numFmtId="169" fontId="4" fillId="0" borderId="0" xfId="7" applyNumberFormat="1" applyFont="1" applyBorder="1" applyAlignment="1">
      <alignment horizontal="right" vertical="top"/>
    </xf>
    <xf numFmtId="2" fontId="13" fillId="0" borderId="0" xfId="7" applyNumberFormat="1" applyFont="1" applyBorder="1" applyAlignment="1">
      <alignment horizontal="right" vertical="top"/>
    </xf>
    <xf numFmtId="165" fontId="4" fillId="0" borderId="0" xfId="7" applyFont="1" applyBorder="1" applyAlignment="1">
      <alignment horizontal="right" vertical="top" wrapText="1"/>
    </xf>
    <xf numFmtId="49" fontId="0" fillId="0" borderId="23" xfId="0" applyNumberFormat="1" applyBorder="1" applyAlignment="1">
      <alignment horizontal="center"/>
    </xf>
    <xf numFmtId="49" fontId="0" fillId="0" borderId="16" xfId="0" applyNumberFormat="1" applyBorder="1" applyAlignment="1">
      <alignment horizontal="center"/>
    </xf>
    <xf numFmtId="40" fontId="0" fillId="0" borderId="16" xfId="0" applyNumberFormat="1" applyBorder="1"/>
    <xf numFmtId="0" fontId="0" fillId="0" borderId="36" xfId="0" applyBorder="1" applyAlignment="1">
      <alignment horizontal="center"/>
    </xf>
    <xf numFmtId="40" fontId="4" fillId="0" borderId="23" xfId="0" applyNumberFormat="1" applyFont="1" applyBorder="1"/>
    <xf numFmtId="0" fontId="0" fillId="0" borderId="10" xfId="0" applyBorder="1" applyAlignment="1">
      <alignment horizontal="center"/>
    </xf>
    <xf numFmtId="169" fontId="2" fillId="0" borderId="23" xfId="7" applyNumberFormat="1" applyFont="1" applyBorder="1" applyAlignment="1">
      <alignment horizontal="center"/>
    </xf>
    <xf numFmtId="169" fontId="2" fillId="0" borderId="23" xfId="7" applyNumberFormat="1" applyBorder="1" applyAlignment="1">
      <alignment horizontal="center"/>
    </xf>
    <xf numFmtId="0" fontId="3" fillId="0" borderId="12" xfId="0" applyFont="1" applyBorder="1" applyAlignment="1">
      <alignment horizontal="center"/>
    </xf>
    <xf numFmtId="40" fontId="0" fillId="0" borderId="0" xfId="0" applyNumberFormat="1" applyBorder="1"/>
    <xf numFmtId="165" fontId="3" fillId="0" borderId="30" xfId="7" applyFont="1" applyBorder="1" applyAlignment="1">
      <alignment horizontal="center"/>
    </xf>
    <xf numFmtId="40" fontId="0" fillId="0" borderId="30" xfId="0" applyNumberFormat="1" applyBorder="1"/>
    <xf numFmtId="169" fontId="13" fillId="0" borderId="23" xfId="7" applyNumberFormat="1" applyFont="1" applyBorder="1" applyAlignment="1">
      <alignment horizontal="right"/>
    </xf>
    <xf numFmtId="0" fontId="14" fillId="0" borderId="0" xfId="0" applyFont="1" applyBorder="1" applyAlignment="1">
      <alignment horizontal="right" vertical="top" wrapText="1"/>
    </xf>
    <xf numFmtId="2" fontId="14" fillId="0" borderId="0" xfId="7" applyNumberFormat="1" applyFont="1" applyBorder="1" applyAlignment="1">
      <alignment vertical="top" wrapText="1"/>
    </xf>
    <xf numFmtId="0" fontId="14" fillId="0" borderId="23" xfId="0" applyFont="1" applyBorder="1"/>
    <xf numFmtId="3" fontId="14" fillId="0" borderId="23" xfId="0" applyNumberFormat="1" applyFont="1" applyBorder="1" applyAlignment="1">
      <alignment horizontal="right" vertical="top" wrapText="1"/>
    </xf>
    <xf numFmtId="2" fontId="2" fillId="0" borderId="0" xfId="7" applyNumberFormat="1" applyBorder="1" applyAlignment="1">
      <alignment horizontal="right"/>
    </xf>
    <xf numFmtId="165" fontId="4" fillId="0" borderId="0" xfId="7" applyFont="1" applyBorder="1"/>
    <xf numFmtId="165" fontId="4" fillId="0" borderId="30" xfId="7" applyFont="1" applyBorder="1" applyAlignment="1"/>
    <xf numFmtId="4" fontId="0" fillId="0" borderId="1" xfId="0" applyNumberFormat="1" applyBorder="1" applyAlignment="1">
      <alignment horizontal="center" vertical="center" wrapText="1"/>
    </xf>
    <xf numFmtId="10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0" fillId="2" borderId="0" xfId="0" applyNumberFormat="1" applyFill="1" applyAlignment="1">
      <alignment vertical="center"/>
    </xf>
    <xf numFmtId="0" fontId="0" fillId="0" borderId="0" xfId="0" applyNumberFormat="1" applyAlignment="1">
      <alignment horizontal="left" vertical="center" indent="1"/>
    </xf>
    <xf numFmtId="0" fontId="0" fillId="3" borderId="0" xfId="0" applyNumberFormat="1" applyFill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177" fontId="0" fillId="0" borderId="0" xfId="0" applyNumberForma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77" fontId="0" fillId="0" borderId="1" xfId="0" applyNumberFormat="1" applyBorder="1" applyAlignment="1">
      <alignment horizontal="center" vertical="center" wrapText="1"/>
    </xf>
    <xf numFmtId="4" fontId="0" fillId="0" borderId="32" xfId="0" applyNumberFormat="1" applyBorder="1" applyAlignment="1">
      <alignment horizontal="center" vertical="center"/>
    </xf>
    <xf numFmtId="4" fontId="0" fillId="0" borderId="21" xfId="0" applyNumberFormat="1" applyBorder="1" applyAlignment="1">
      <alignment horizontal="center" vertical="center"/>
    </xf>
    <xf numFmtId="4" fontId="0" fillId="0" borderId="39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4" fontId="0" fillId="0" borderId="41" xfId="0" applyNumberFormat="1" applyBorder="1" applyAlignment="1">
      <alignment horizontal="center" vertical="center"/>
    </xf>
    <xf numFmtId="3" fontId="0" fillId="0" borderId="42" xfId="0" applyNumberFormat="1" applyBorder="1" applyAlignment="1">
      <alignment horizontal="center" vertical="center"/>
    </xf>
    <xf numFmtId="4" fontId="0" fillId="0" borderId="43" xfId="0" applyNumberFormat="1" applyBorder="1" applyAlignment="1">
      <alignment horizontal="center" vertical="center"/>
    </xf>
    <xf numFmtId="4" fontId="0" fillId="0" borderId="44" xfId="0" applyNumberFormat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2" fontId="8" fillId="4" borderId="0" xfId="0" applyNumberFormat="1" applyFont="1" applyFill="1" applyAlignment="1">
      <alignment horizontal="center" vertical="center" wrapText="1"/>
    </xf>
    <xf numFmtId="2" fontId="8" fillId="4" borderId="0" xfId="0" applyNumberFormat="1" applyFont="1" applyFill="1" applyBorder="1" applyAlignment="1">
      <alignment horizontal="center" vertical="center" wrapText="1"/>
    </xf>
    <xf numFmtId="43" fontId="11" fillId="4" borderId="1" xfId="0" applyNumberFormat="1" applyFont="1" applyFill="1" applyBorder="1" applyAlignment="1">
      <alignment horizontal="center" vertical="center" wrapText="1"/>
    </xf>
    <xf numFmtId="43" fontId="8" fillId="4" borderId="0" xfId="0" applyNumberFormat="1" applyFont="1" applyFill="1" applyAlignment="1">
      <alignment horizontal="center" vertical="center" wrapText="1"/>
    </xf>
    <xf numFmtId="0" fontId="8" fillId="4" borderId="0" xfId="0" applyNumberFormat="1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Alignment="1">
      <alignment horizontal="center" vertical="center" wrapText="1"/>
    </xf>
    <xf numFmtId="2" fontId="8" fillId="5" borderId="0" xfId="0" applyNumberFormat="1" applyFont="1" applyFill="1" applyBorder="1" applyAlignment="1">
      <alignment horizontal="center" vertical="center" wrapText="1"/>
    </xf>
    <xf numFmtId="2" fontId="8" fillId="5" borderId="0" xfId="0" applyNumberFormat="1" applyFont="1" applyFill="1" applyAlignment="1">
      <alignment horizontal="center" vertical="center" wrapText="1"/>
    </xf>
    <xf numFmtId="2" fontId="8" fillId="9" borderId="0" xfId="0" applyNumberFormat="1" applyFont="1" applyFill="1" applyAlignment="1">
      <alignment horizontal="center" vertical="center" wrapText="1"/>
    </xf>
    <xf numFmtId="2" fontId="29" fillId="6" borderId="0" xfId="0" applyNumberFormat="1" applyFont="1" applyFill="1" applyBorder="1" applyAlignment="1">
      <alignment vertical="center" wrapText="1"/>
    </xf>
    <xf numFmtId="2" fontId="8" fillId="4" borderId="0" xfId="0" applyNumberFormat="1" applyFont="1" applyFill="1" applyAlignment="1">
      <alignment horizontal="left" vertical="center" wrapText="1"/>
    </xf>
    <xf numFmtId="3" fontId="19" fillId="6" borderId="1" xfId="5" quotePrefix="1" applyFont="1" applyFill="1" applyBorder="1" applyAlignment="1">
      <alignment horizontal="center" vertical="center"/>
    </xf>
    <xf numFmtId="3" fontId="21" fillId="7" borderId="45" xfId="5" applyFont="1" applyFill="1" applyBorder="1" applyAlignment="1">
      <alignment horizontal="left" vertical="center"/>
    </xf>
    <xf numFmtId="3" fontId="21" fillId="7" borderId="8" xfId="5" applyFont="1" applyFill="1" applyBorder="1" applyAlignment="1">
      <alignment horizontal="left" vertical="center"/>
    </xf>
    <xf numFmtId="3" fontId="21" fillId="7" borderId="47" xfId="5" applyFont="1" applyFill="1" applyBorder="1" applyAlignment="1">
      <alignment horizontal="left" vertical="center"/>
    </xf>
    <xf numFmtId="3" fontId="21" fillId="7" borderId="45" xfId="5" applyFont="1" applyFill="1" applyBorder="1" applyAlignment="1">
      <alignment horizontal="center" vertical="center"/>
    </xf>
    <xf numFmtId="3" fontId="21" fillId="7" borderId="1" xfId="5" applyFont="1" applyFill="1" applyBorder="1" applyAlignment="1">
      <alignment horizontal="center" vertical="center"/>
    </xf>
    <xf numFmtId="179" fontId="21" fillId="7" borderId="1" xfId="5" applyNumberFormat="1" applyFont="1" applyFill="1" applyBorder="1" applyAlignment="1">
      <alignment horizontal="right" vertical="center"/>
    </xf>
    <xf numFmtId="179" fontId="21" fillId="7" borderId="1" xfId="5" applyNumberFormat="1" applyFont="1" applyFill="1" applyBorder="1" applyAlignment="1">
      <alignment horizontal="center" vertical="center"/>
    </xf>
    <xf numFmtId="2" fontId="21" fillId="7" borderId="1" xfId="5" applyNumberFormat="1" applyFont="1" applyFill="1" applyBorder="1" applyAlignment="1">
      <alignment horizontal="center" vertical="center"/>
    </xf>
    <xf numFmtId="3" fontId="21" fillId="0" borderId="45" xfId="5" applyFont="1" applyFill="1" applyBorder="1" applyAlignment="1">
      <alignment horizontal="center" vertical="center"/>
    </xf>
    <xf numFmtId="2" fontId="21" fillId="0" borderId="1" xfId="5" applyNumberFormat="1" applyFont="1" applyFill="1" applyBorder="1" applyAlignment="1">
      <alignment horizontal="center" vertical="center"/>
    </xf>
    <xf numFmtId="172" fontId="21" fillId="7" borderId="1" xfId="5" applyNumberFormat="1" applyFont="1" applyFill="1" applyBorder="1" applyAlignment="1">
      <alignment horizontal="center" vertical="center"/>
    </xf>
    <xf numFmtId="165" fontId="21" fillId="0" borderId="1" xfId="5" applyNumberFormat="1" applyFont="1" applyFill="1" applyBorder="1" applyAlignment="1">
      <alignment horizontal="left" vertical="center" wrapText="1"/>
    </xf>
    <xf numFmtId="3" fontId="21" fillId="0" borderId="45" xfId="5" applyFont="1" applyFill="1" applyBorder="1" applyAlignment="1">
      <alignment horizontal="left" vertical="center"/>
    </xf>
    <xf numFmtId="3" fontId="21" fillId="0" borderId="1" xfId="5" applyFont="1" applyFill="1" applyBorder="1" applyAlignment="1">
      <alignment horizontal="center" vertical="center"/>
    </xf>
    <xf numFmtId="179" fontId="21" fillId="0" borderId="1" xfId="5" applyNumberFormat="1" applyFont="1" applyFill="1" applyBorder="1" applyAlignment="1">
      <alignment horizontal="right" vertical="center"/>
    </xf>
    <xf numFmtId="4" fontId="21" fillId="0" borderId="1" xfId="5" applyNumberFormat="1" applyFont="1" applyFill="1" applyBorder="1" applyAlignment="1">
      <alignment horizontal="center" vertical="center"/>
    </xf>
    <xf numFmtId="4" fontId="21" fillId="7" borderId="1" xfId="5" applyNumberFormat="1" applyFont="1" applyFill="1" applyBorder="1" applyAlignment="1">
      <alignment horizontal="center" vertical="center"/>
    </xf>
    <xf numFmtId="3" fontId="21" fillId="7" borderId="1" xfId="5" applyFont="1" applyFill="1" applyBorder="1" applyAlignment="1">
      <alignment horizontal="right" vertical="center"/>
    </xf>
    <xf numFmtId="3" fontId="21" fillId="0" borderId="1" xfId="5" applyFont="1" applyFill="1" applyBorder="1" applyAlignment="1">
      <alignment vertical="center" wrapText="1"/>
    </xf>
    <xf numFmtId="180" fontId="21" fillId="7" borderId="1" xfId="5" applyNumberFormat="1" applyFont="1" applyFill="1" applyBorder="1" applyAlignment="1">
      <alignment horizontal="right" vertical="center"/>
    </xf>
    <xf numFmtId="3" fontId="21" fillId="7" borderId="12" xfId="5" applyFont="1" applyFill="1" applyBorder="1" applyAlignment="1">
      <alignment horizontal="right" vertical="center"/>
    </xf>
    <xf numFmtId="3" fontId="21" fillId="0" borderId="45" xfId="5" applyFont="1" applyFill="1" applyBorder="1" applyAlignment="1">
      <alignment horizontal="left" vertical="center" wrapText="1"/>
    </xf>
    <xf numFmtId="172" fontId="21" fillId="0" borderId="45" xfId="5" applyNumberFormat="1" applyFont="1" applyFill="1" applyBorder="1" applyAlignment="1">
      <alignment horizontal="center" vertical="center"/>
    </xf>
    <xf numFmtId="43" fontId="8" fillId="0" borderId="1" xfId="0" applyNumberFormat="1" applyFont="1" applyFill="1" applyBorder="1" applyAlignment="1">
      <alignment horizontal="center" vertical="center" wrapText="1"/>
    </xf>
    <xf numFmtId="2" fontId="30" fillId="6" borderId="0" xfId="0" applyNumberFormat="1" applyFont="1" applyFill="1" applyBorder="1" applyAlignment="1">
      <alignment horizontal="center" vertical="center" wrapText="1"/>
    </xf>
    <xf numFmtId="43" fontId="21" fillId="0" borderId="1" xfId="5" applyNumberFormat="1" applyFont="1" applyFill="1" applyBorder="1" applyAlignment="1">
      <alignment vertical="center"/>
    </xf>
    <xf numFmtId="43" fontId="21" fillId="7" borderId="1" xfId="5" applyNumberFormat="1" applyFont="1" applyFill="1" applyBorder="1" applyAlignment="1">
      <alignment vertical="center"/>
    </xf>
    <xf numFmtId="0" fontId="31" fillId="0" borderId="0" xfId="0" applyFont="1"/>
    <xf numFmtId="0" fontId="31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/>
    </xf>
    <xf numFmtId="10" fontId="31" fillId="0" borderId="1" xfId="6" applyNumberFormat="1" applyFont="1" applyBorder="1" applyAlignment="1">
      <alignment horizontal="center"/>
    </xf>
    <xf numFmtId="10" fontId="31" fillId="0" borderId="1" xfId="6" applyNumberFormat="1" applyFont="1" applyBorder="1" applyAlignment="1" applyProtection="1">
      <alignment horizontal="center"/>
      <protection locked="0"/>
    </xf>
    <xf numFmtId="9" fontId="31" fillId="0" borderId="0" xfId="0" applyNumberFormat="1" applyFont="1"/>
    <xf numFmtId="0" fontId="31" fillId="0" borderId="0" xfId="0" applyFont="1" applyBorder="1"/>
    <xf numFmtId="0" fontId="31" fillId="0" borderId="0" xfId="0" applyFont="1" applyBorder="1" applyAlignment="1" applyProtection="1">
      <alignment vertical="top"/>
      <protection locked="0"/>
    </xf>
    <xf numFmtId="0" fontId="31" fillId="0" borderId="12" xfId="0" applyFont="1" applyBorder="1" applyAlignment="1" applyProtection="1">
      <protection locked="0"/>
    </xf>
    <xf numFmtId="0" fontId="31" fillId="0" borderId="0" xfId="0" applyFont="1" applyAlignment="1" applyProtection="1">
      <protection locked="0"/>
    </xf>
    <xf numFmtId="10" fontId="31" fillId="0" borderId="0" xfId="0" applyNumberFormat="1" applyFont="1"/>
    <xf numFmtId="0" fontId="12" fillId="0" borderId="61" xfId="0" applyNumberFormat="1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vertical="center" wrapText="1"/>
    </xf>
    <xf numFmtId="0" fontId="17" fillId="4" borderId="0" xfId="0" applyNumberFormat="1" applyFont="1" applyFill="1" applyBorder="1" applyAlignment="1">
      <alignment vertical="center" wrapText="1"/>
    </xf>
    <xf numFmtId="0" fontId="8" fillId="4" borderId="0" xfId="2" applyFont="1" applyFill="1" applyAlignment="1">
      <alignment horizontal="center" vertical="center" wrapText="1"/>
    </xf>
    <xf numFmtId="181" fontId="8" fillId="4" borderId="0" xfId="7" applyNumberFormat="1" applyFont="1" applyFill="1" applyAlignment="1">
      <alignment horizontal="center" vertical="center" wrapText="1"/>
    </xf>
    <xf numFmtId="0" fontId="17" fillId="4" borderId="60" xfId="0" applyNumberFormat="1" applyFont="1" applyFill="1" applyBorder="1" applyAlignment="1">
      <alignment horizontal="left" vertical="center" wrapText="1"/>
    </xf>
    <xf numFmtId="0" fontId="17" fillId="4" borderId="73" xfId="0" applyNumberFormat="1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vertical="center" wrapText="1"/>
    </xf>
    <xf numFmtId="0" fontId="32" fillId="0" borderId="1" xfId="0" applyFont="1" applyFill="1" applyBorder="1" applyAlignment="1">
      <alignment horizontal="center" vertical="center" wrapText="1"/>
    </xf>
    <xf numFmtId="2" fontId="8" fillId="11" borderId="0" xfId="0" applyNumberFormat="1" applyFont="1" applyFill="1" applyBorder="1" applyAlignment="1">
      <alignment horizontal="center" vertical="center" wrapText="1"/>
    </xf>
    <xf numFmtId="2" fontId="11" fillId="11" borderId="45" xfId="0" applyNumberFormat="1" applyFont="1" applyFill="1" applyBorder="1" applyAlignment="1">
      <alignment horizontal="justify" vertical="center" wrapText="1"/>
    </xf>
    <xf numFmtId="2" fontId="8" fillId="11" borderId="0" xfId="0" applyNumberFormat="1" applyFont="1" applyFill="1" applyAlignment="1">
      <alignment horizontal="center" vertical="center" wrapText="1"/>
    </xf>
    <xf numFmtId="0" fontId="11" fillId="11" borderId="45" xfId="0" quotePrefix="1" applyNumberFormat="1" applyFont="1" applyFill="1" applyBorder="1" applyAlignment="1">
      <alignment horizontal="center" vertical="center" wrapText="1"/>
    </xf>
    <xf numFmtId="2" fontId="11" fillId="11" borderId="45" xfId="0" applyNumberFormat="1" applyFont="1" applyFill="1" applyBorder="1" applyAlignment="1">
      <alignment vertical="center" wrapText="1"/>
    </xf>
    <xf numFmtId="2" fontId="11" fillId="11" borderId="60" xfId="0" applyNumberFormat="1" applyFont="1" applyFill="1" applyBorder="1" applyAlignment="1">
      <alignment horizontal="center" vertical="center" wrapText="1"/>
    </xf>
    <xf numFmtId="2" fontId="11" fillId="11" borderId="60" xfId="0" applyNumberFormat="1" applyFont="1" applyFill="1" applyBorder="1" applyAlignment="1">
      <alignment horizontal="left" vertical="center" wrapText="1"/>
    </xf>
    <xf numFmtId="2" fontId="11" fillId="11" borderId="46" xfId="0" applyNumberFormat="1" applyFont="1" applyFill="1" applyBorder="1" applyAlignment="1">
      <alignment vertical="center" wrapText="1"/>
    </xf>
    <xf numFmtId="2" fontId="11" fillId="11" borderId="46" xfId="0" applyNumberFormat="1" applyFont="1" applyFill="1" applyBorder="1" applyAlignment="1">
      <alignment horizontal="center" vertical="center" wrapText="1"/>
    </xf>
    <xf numFmtId="182" fontId="11" fillId="11" borderId="45" xfId="0" applyNumberFormat="1" applyFont="1" applyFill="1" applyBorder="1" applyAlignment="1">
      <alignment horizontal="right" vertical="center" wrapText="1"/>
    </xf>
    <xf numFmtId="182" fontId="11" fillId="11" borderId="45" xfId="0" applyNumberFormat="1" applyFont="1" applyFill="1" applyBorder="1" applyAlignment="1">
      <alignment horizontal="center" vertical="center" wrapText="1"/>
    </xf>
    <xf numFmtId="2" fontId="11" fillId="11" borderId="0" xfId="0" applyNumberFormat="1" applyFont="1" applyFill="1" applyBorder="1" applyAlignment="1">
      <alignment horizontal="center" vertical="center" wrapText="1"/>
    </xf>
    <xf numFmtId="0" fontId="34" fillId="11" borderId="1" xfId="0" applyFont="1" applyFill="1" applyBorder="1" applyAlignment="1">
      <alignment horizontal="center" vertical="center" wrapText="1"/>
    </xf>
    <xf numFmtId="2" fontId="11" fillId="11" borderId="0" xfId="0" applyNumberFormat="1" applyFont="1" applyFill="1" applyAlignment="1">
      <alignment horizontal="center" vertical="center" wrapText="1"/>
    </xf>
    <xf numFmtId="0" fontId="11" fillId="11" borderId="45" xfId="0" applyNumberFormat="1" applyFont="1" applyFill="1" applyBorder="1" applyAlignment="1">
      <alignment horizontal="center" vertical="center" wrapText="1"/>
    </xf>
    <xf numFmtId="43" fontId="11" fillId="11" borderId="46" xfId="2" applyNumberFormat="1" applyFont="1" applyFill="1" applyBorder="1" applyAlignment="1">
      <alignment horizontal="center" vertical="center" wrapText="1"/>
    </xf>
    <xf numFmtId="182" fontId="8" fillId="4" borderId="0" xfId="0" applyNumberFormat="1" applyFont="1" applyFill="1" applyAlignment="1">
      <alignment horizontal="center" vertical="center" wrapText="1"/>
    </xf>
    <xf numFmtId="0" fontId="34" fillId="11" borderId="45" xfId="0" applyFont="1" applyFill="1" applyBorder="1" applyAlignment="1">
      <alignment horizontal="left" vertical="center" wrapText="1"/>
    </xf>
    <xf numFmtId="43" fontId="11" fillId="11" borderId="0" xfId="0" applyNumberFormat="1" applyFont="1" applyFill="1" applyAlignment="1">
      <alignment horizontal="center" vertical="center" wrapText="1"/>
    </xf>
    <xf numFmtId="182" fontId="34" fillId="11" borderId="46" xfId="0" applyNumberFormat="1" applyFont="1" applyFill="1" applyBorder="1" applyAlignment="1">
      <alignment horizontal="right" vertical="center" wrapText="1"/>
    </xf>
    <xf numFmtId="0" fontId="34" fillId="11" borderId="60" xfId="0" applyFont="1" applyFill="1" applyBorder="1" applyAlignment="1">
      <alignment horizontal="center" vertical="center" wrapText="1"/>
    </xf>
    <xf numFmtId="0" fontId="34" fillId="11" borderId="46" xfId="0" applyFont="1" applyFill="1" applyBorder="1" applyAlignment="1">
      <alignment horizontal="center" vertical="center" wrapText="1"/>
    </xf>
    <xf numFmtId="0" fontId="2" fillId="0" borderId="0" xfId="8"/>
    <xf numFmtId="0" fontId="17" fillId="4" borderId="0" xfId="0" applyNumberFormat="1" applyFont="1" applyFill="1" applyBorder="1" applyAlignment="1">
      <alignment horizontal="left" vertical="center" wrapText="1"/>
    </xf>
    <xf numFmtId="0" fontId="2" fillId="0" borderId="13" xfId="8" applyBorder="1"/>
    <xf numFmtId="0" fontId="15" fillId="11" borderId="45" xfId="0" applyNumberFormat="1" applyFont="1" applyFill="1" applyBorder="1" applyAlignment="1">
      <alignment horizontal="center" vertical="center" wrapText="1"/>
    </xf>
    <xf numFmtId="0" fontId="15" fillId="11" borderId="45" xfId="0" quotePrefix="1" applyNumberFormat="1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38" fillId="11" borderId="45" xfId="0" applyFont="1" applyFill="1" applyBorder="1" applyAlignment="1">
      <alignment horizontal="center" vertical="center" wrapText="1"/>
    </xf>
    <xf numFmtId="0" fontId="17" fillId="4" borderId="0" xfId="0" applyNumberFormat="1" applyFont="1" applyFill="1" applyBorder="1" applyAlignment="1">
      <alignment horizontal="right" vertical="center" wrapText="1"/>
    </xf>
    <xf numFmtId="3" fontId="21" fillId="7" borderId="45" xfId="5" applyFont="1" applyFill="1" applyBorder="1" applyAlignment="1">
      <alignment horizontal="left" vertical="center" wrapText="1"/>
    </xf>
    <xf numFmtId="164" fontId="8" fillId="0" borderId="1" xfId="2" applyNumberFormat="1" applyFont="1" applyFill="1" applyBorder="1" applyAlignment="1">
      <alignment horizontal="center" vertical="center" wrapText="1"/>
    </xf>
    <xf numFmtId="17" fontId="21" fillId="7" borderId="46" xfId="5" applyNumberFormat="1" applyFont="1" applyFill="1" applyBorder="1" applyAlignment="1">
      <alignment horizontal="left" vertical="center"/>
    </xf>
    <xf numFmtId="3" fontId="21" fillId="0" borderId="24" xfId="5" applyFont="1" applyFill="1" applyBorder="1" applyAlignment="1">
      <alignment horizontal="center" vertical="center"/>
    </xf>
    <xf numFmtId="2" fontId="21" fillId="0" borderId="34" xfId="5" applyNumberFormat="1" applyFont="1" applyFill="1" applyBorder="1" applyAlignment="1">
      <alignment horizontal="center" vertical="center"/>
    </xf>
    <xf numFmtId="43" fontId="20" fillId="13" borderId="48" xfId="5" applyNumberFormat="1" applyFont="1" applyFill="1" applyBorder="1" applyAlignment="1">
      <alignment vertical="center"/>
    </xf>
    <xf numFmtId="180" fontId="21" fillId="7" borderId="45" xfId="5" applyNumberFormat="1" applyFont="1" applyFill="1" applyBorder="1" applyAlignment="1">
      <alignment horizontal="right" vertical="center"/>
    </xf>
    <xf numFmtId="0" fontId="21" fillId="7" borderId="45" xfId="5" applyNumberFormat="1" applyFont="1" applyFill="1" applyBorder="1" applyAlignment="1">
      <alignment horizontal="center" vertical="center"/>
    </xf>
    <xf numFmtId="2" fontId="21" fillId="7" borderId="45" xfId="5" applyNumberFormat="1" applyFont="1" applyFill="1" applyBorder="1" applyAlignment="1">
      <alignment horizontal="center" vertical="center"/>
    </xf>
    <xf numFmtId="2" fontId="21" fillId="0" borderId="24" xfId="5" applyNumberFormat="1" applyFont="1" applyFill="1" applyBorder="1" applyAlignment="1">
      <alignment horizontal="center" vertical="center"/>
    </xf>
    <xf numFmtId="43" fontId="21" fillId="7" borderId="1" xfId="2" applyNumberFormat="1" applyFont="1" applyFill="1" applyBorder="1" applyAlignment="1">
      <alignment horizontal="center" vertical="center"/>
    </xf>
    <xf numFmtId="43" fontId="21" fillId="0" borderId="34" xfId="2" applyNumberFormat="1" applyFont="1" applyFill="1" applyBorder="1" applyAlignment="1">
      <alignment horizontal="center" vertical="center"/>
    </xf>
    <xf numFmtId="0" fontId="21" fillId="0" borderId="24" xfId="5" applyNumberFormat="1" applyFont="1" applyFill="1" applyBorder="1" applyAlignment="1">
      <alignment horizontal="center" vertical="center"/>
    </xf>
    <xf numFmtId="43" fontId="20" fillId="13" borderId="1" xfId="5" applyNumberFormat="1" applyFont="1" applyFill="1" applyBorder="1" applyAlignment="1">
      <alignment vertical="center"/>
    </xf>
    <xf numFmtId="184" fontId="21" fillId="0" borderId="1" xfId="2" applyNumberFormat="1" applyFont="1" applyFill="1" applyBorder="1" applyAlignment="1">
      <alignment vertical="center"/>
    </xf>
    <xf numFmtId="184" fontId="20" fillId="13" borderId="48" xfId="2" applyNumberFormat="1" applyFont="1" applyFill="1" applyBorder="1" applyAlignment="1">
      <alignment vertical="center"/>
    </xf>
    <xf numFmtId="184" fontId="21" fillId="0" borderId="1" xfId="5" applyNumberFormat="1" applyFont="1" applyFill="1" applyBorder="1" applyAlignment="1">
      <alignment vertical="center"/>
    </xf>
    <xf numFmtId="184" fontId="20" fillId="13" borderId="1" xfId="5" applyNumberFormat="1" applyFont="1" applyFill="1" applyBorder="1" applyAlignment="1">
      <alignment vertical="center"/>
    </xf>
    <xf numFmtId="184" fontId="21" fillId="7" borderId="1" xfId="5" applyNumberFormat="1" applyFont="1" applyFill="1" applyBorder="1" applyAlignment="1">
      <alignment vertical="center"/>
    </xf>
    <xf numFmtId="184" fontId="20" fillId="13" borderId="48" xfId="5" applyNumberFormat="1" applyFont="1" applyFill="1" applyBorder="1" applyAlignment="1">
      <alignment vertical="center"/>
    </xf>
    <xf numFmtId="184" fontId="21" fillId="7" borderId="48" xfId="5" applyNumberFormat="1" applyFont="1" applyFill="1" applyBorder="1" applyAlignment="1">
      <alignment vertical="center"/>
    </xf>
    <xf numFmtId="184" fontId="21" fillId="6" borderId="1" xfId="5" applyNumberFormat="1" applyFont="1" applyFill="1" applyBorder="1" applyAlignment="1">
      <alignment vertical="center"/>
    </xf>
    <xf numFmtId="2" fontId="21" fillId="7" borderId="1" xfId="6" applyNumberFormat="1" applyFont="1" applyFill="1" applyBorder="1" applyAlignment="1">
      <alignment vertical="center"/>
    </xf>
    <xf numFmtId="0" fontId="21" fillId="7" borderId="1" xfId="5" applyNumberFormat="1" applyFont="1" applyFill="1" applyBorder="1" applyAlignment="1">
      <alignment horizontal="center" vertical="center"/>
    </xf>
    <xf numFmtId="3" fontId="21" fillId="7" borderId="45" xfId="5" applyFont="1" applyFill="1" applyBorder="1" applyAlignment="1">
      <alignment vertical="center" wrapText="1"/>
    </xf>
    <xf numFmtId="164" fontId="21" fillId="7" borderId="1" xfId="5" applyNumberFormat="1" applyFont="1" applyFill="1" applyBorder="1" applyAlignment="1">
      <alignment horizontal="center" vertical="center"/>
    </xf>
    <xf numFmtId="164" fontId="21" fillId="0" borderId="1" xfId="2" applyNumberFormat="1" applyFont="1" applyFill="1" applyBorder="1" applyAlignment="1">
      <alignment vertical="center"/>
    </xf>
    <xf numFmtId="164" fontId="21" fillId="0" borderId="1" xfId="5" applyNumberFormat="1" applyFont="1" applyFill="1" applyBorder="1" applyAlignment="1">
      <alignment vertical="center"/>
    </xf>
    <xf numFmtId="164" fontId="21" fillId="0" borderId="1" xfId="5" applyNumberFormat="1" applyFont="1" applyFill="1" applyBorder="1" applyAlignment="1">
      <alignment horizontal="center" vertical="center"/>
    </xf>
    <xf numFmtId="164" fontId="21" fillId="7" borderId="1" xfId="5" applyNumberFormat="1" applyFont="1" applyFill="1" applyBorder="1" applyAlignment="1">
      <alignment vertical="center"/>
    </xf>
    <xf numFmtId="164" fontId="20" fillId="13" borderId="1" xfId="5" applyNumberFormat="1" applyFont="1" applyFill="1" applyBorder="1" applyAlignment="1">
      <alignment vertical="center"/>
    </xf>
    <xf numFmtId="164" fontId="20" fillId="13" borderId="48" xfId="5" applyNumberFormat="1" applyFont="1" applyFill="1" applyBorder="1" applyAlignment="1">
      <alignment vertical="center"/>
    </xf>
    <xf numFmtId="164" fontId="21" fillId="7" borderId="48" xfId="5" applyNumberFormat="1" applyFont="1" applyFill="1" applyBorder="1" applyAlignment="1">
      <alignment vertical="center"/>
    </xf>
    <xf numFmtId="164" fontId="21" fillId="6" borderId="1" xfId="5" applyNumberFormat="1" applyFont="1" applyFill="1" applyBorder="1" applyAlignment="1">
      <alignment vertical="center"/>
    </xf>
    <xf numFmtId="2" fontId="28" fillId="14" borderId="0" xfId="0" applyNumberFormat="1" applyFont="1" applyFill="1" applyBorder="1" applyAlignment="1">
      <alignment horizontal="center" vertical="center" wrapText="1"/>
    </xf>
    <xf numFmtId="2" fontId="8" fillId="14" borderId="0" xfId="0" applyNumberFormat="1" applyFont="1" applyFill="1" applyAlignment="1">
      <alignment horizontal="center" vertical="center" wrapText="1"/>
    </xf>
    <xf numFmtId="2" fontId="8" fillId="14" borderId="0" xfId="0" applyNumberFormat="1" applyFont="1" applyFill="1" applyBorder="1" applyAlignment="1">
      <alignment horizontal="center" vertical="center" wrapText="1"/>
    </xf>
    <xf numFmtId="0" fontId="36" fillId="14" borderId="45" xfId="0" applyFont="1" applyFill="1" applyBorder="1" applyAlignment="1" applyProtection="1">
      <alignment vertical="center" wrapText="1"/>
      <protection locked="0"/>
    </xf>
    <xf numFmtId="0" fontId="36" fillId="14" borderId="60" xfId="0" applyFont="1" applyFill="1" applyBorder="1" applyAlignment="1" applyProtection="1">
      <alignment vertical="center" wrapText="1"/>
      <protection locked="0"/>
    </xf>
    <xf numFmtId="0" fontId="36" fillId="14" borderId="46" xfId="0" applyFont="1" applyFill="1" applyBorder="1" applyAlignment="1" applyProtection="1">
      <alignment vertical="center" wrapText="1"/>
      <protection locked="0"/>
    </xf>
    <xf numFmtId="43" fontId="8" fillId="14" borderId="0" xfId="0" applyNumberFormat="1" applyFont="1" applyFill="1" applyAlignment="1">
      <alignment horizontal="center" vertical="center" wrapText="1"/>
    </xf>
    <xf numFmtId="180" fontId="21" fillId="7" borderId="1" xfId="5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6" fillId="12" borderId="45" xfId="0" applyFont="1" applyFill="1" applyBorder="1" applyAlignment="1" applyProtection="1">
      <alignment vertical="center" wrapText="1"/>
      <protection locked="0"/>
    </xf>
    <xf numFmtId="0" fontId="36" fillId="12" borderId="60" xfId="0" applyFont="1" applyFill="1" applyBorder="1" applyAlignment="1" applyProtection="1">
      <alignment vertical="center" wrapText="1"/>
      <protection locked="0"/>
    </xf>
    <xf numFmtId="0" fontId="36" fillId="12" borderId="46" xfId="0" applyFont="1" applyFill="1" applyBorder="1" applyAlignment="1" applyProtection="1">
      <alignment vertical="center" wrapText="1"/>
      <protection locked="0"/>
    </xf>
    <xf numFmtId="3" fontId="21" fillId="7" borderId="24" xfId="5" applyFont="1" applyFill="1" applyBorder="1" applyAlignment="1">
      <alignment horizontal="center" vertical="center"/>
    </xf>
    <xf numFmtId="0" fontId="21" fillId="7" borderId="24" xfId="5" applyNumberFormat="1" applyFont="1" applyFill="1" applyBorder="1" applyAlignment="1">
      <alignment horizontal="center" vertical="center"/>
    </xf>
    <xf numFmtId="2" fontId="21" fillId="7" borderId="24" xfId="5" applyNumberFormat="1" applyFont="1" applyFill="1" applyBorder="1" applyAlignment="1">
      <alignment horizontal="center" vertical="center"/>
    </xf>
    <xf numFmtId="2" fontId="21" fillId="7" borderId="34" xfId="5" applyNumberFormat="1" applyFont="1" applyFill="1" applyBorder="1" applyAlignment="1">
      <alignment horizontal="center" vertical="center"/>
    </xf>
    <xf numFmtId="43" fontId="21" fillId="7" borderId="34" xfId="2" applyNumberFormat="1" applyFont="1" applyFill="1" applyBorder="1" applyAlignment="1">
      <alignment horizontal="center" vertical="center"/>
    </xf>
    <xf numFmtId="184" fontId="21" fillId="7" borderId="1" xfId="2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64" fontId="8" fillId="0" borderId="45" xfId="2" applyNumberFormat="1" applyFont="1" applyFill="1" applyBorder="1" applyAlignment="1">
      <alignment horizontal="center" vertical="center" wrapText="1"/>
    </xf>
    <xf numFmtId="0" fontId="36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justify" vertical="center" wrapText="1"/>
    </xf>
    <xf numFmtId="0" fontId="36" fillId="0" borderId="45" xfId="0" applyNumberFormat="1" applyFont="1" applyFill="1" applyBorder="1" applyAlignment="1">
      <alignment horizontal="center" vertical="center" wrapText="1"/>
    </xf>
    <xf numFmtId="2" fontId="8" fillId="0" borderId="45" xfId="0" applyNumberFormat="1" applyFont="1" applyFill="1" applyBorder="1" applyAlignment="1">
      <alignment horizontal="justify" vertical="center" wrapText="1"/>
    </xf>
    <xf numFmtId="164" fontId="8" fillId="0" borderId="46" xfId="2" applyNumberFormat="1" applyFont="1" applyFill="1" applyBorder="1" applyAlignment="1">
      <alignment horizontal="center" vertical="center" wrapText="1"/>
    </xf>
    <xf numFmtId="2" fontId="32" fillId="0" borderId="1" xfId="0" applyNumberFormat="1" applyFont="1" applyFill="1" applyBorder="1" applyAlignment="1">
      <alignment horizontal="justify" vertical="center" wrapText="1"/>
    </xf>
    <xf numFmtId="183" fontId="32" fillId="0" borderId="1" xfId="0" applyNumberFormat="1" applyFont="1" applyFill="1" applyBorder="1" applyAlignment="1">
      <alignment horizontal="right" vertical="center" wrapText="1"/>
    </xf>
    <xf numFmtId="164" fontId="32" fillId="0" borderId="1" xfId="2" applyNumberFormat="1" applyFont="1" applyFill="1" applyBorder="1" applyAlignment="1">
      <alignment vertical="center" wrapText="1"/>
    </xf>
    <xf numFmtId="0" fontId="39" fillId="0" borderId="8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vertical="center" wrapText="1"/>
    </xf>
    <xf numFmtId="0" fontId="32" fillId="0" borderId="48" xfId="0" applyFont="1" applyFill="1" applyBorder="1" applyAlignment="1">
      <alignment horizontal="center" vertical="center" wrapText="1"/>
    </xf>
    <xf numFmtId="2" fontId="32" fillId="0" borderId="48" xfId="0" applyNumberFormat="1" applyFont="1" applyFill="1" applyBorder="1" applyAlignment="1">
      <alignment horizontal="right" vertical="center" wrapText="1"/>
    </xf>
    <xf numFmtId="164" fontId="32" fillId="0" borderId="1" xfId="0" applyNumberFormat="1" applyFont="1" applyFill="1" applyBorder="1" applyAlignment="1">
      <alignment vertical="center" wrapText="1"/>
    </xf>
    <xf numFmtId="164" fontId="8" fillId="0" borderId="47" xfId="2" applyNumberFormat="1" applyFont="1" applyFill="1" applyBorder="1" applyAlignment="1">
      <alignment horizontal="center" vertical="center" wrapText="1"/>
    </xf>
    <xf numFmtId="164" fontId="31" fillId="0" borderId="1" xfId="2" applyNumberFormat="1" applyFont="1" applyBorder="1" applyAlignment="1" applyProtection="1">
      <alignment horizontal="center"/>
      <protection locked="0"/>
    </xf>
    <xf numFmtId="164" fontId="31" fillId="0" borderId="1" xfId="2" applyNumberFormat="1" applyFont="1" applyBorder="1" applyAlignment="1">
      <alignment horizontal="center"/>
    </xf>
    <xf numFmtId="164" fontId="31" fillId="0" borderId="0" xfId="0" applyNumberFormat="1" applyFont="1"/>
    <xf numFmtId="3" fontId="21" fillId="7" borderId="45" xfId="5" applyFont="1" applyFill="1" applyBorder="1" applyAlignment="1">
      <alignment horizontal="left" vertical="center" wrapText="1"/>
    </xf>
    <xf numFmtId="0" fontId="2" fillId="0" borderId="2" xfId="8" applyBorder="1"/>
    <xf numFmtId="0" fontId="2" fillId="0" borderId="3" xfId="8" applyBorder="1"/>
    <xf numFmtId="0" fontId="2" fillId="0" borderId="5" xfId="8" applyBorder="1"/>
    <xf numFmtId="0" fontId="2" fillId="0" borderId="14" xfId="8" applyBorder="1"/>
    <xf numFmtId="0" fontId="2" fillId="0" borderId="16" xfId="8" applyBorder="1"/>
    <xf numFmtId="0" fontId="2" fillId="0" borderId="18" xfId="8" applyBorder="1"/>
    <xf numFmtId="0" fontId="15" fillId="16" borderId="1" xfId="8" applyFont="1" applyFill="1" applyBorder="1" applyAlignment="1">
      <alignment vertical="center"/>
    </xf>
    <xf numFmtId="49" fontId="15" fillId="16" borderId="1" xfId="8" applyNumberFormat="1" applyFont="1" applyFill="1" applyBorder="1" applyAlignment="1">
      <alignment vertical="center"/>
    </xf>
    <xf numFmtId="0" fontId="36" fillId="16" borderId="1" xfId="8" applyFont="1" applyFill="1" applyBorder="1" applyAlignment="1">
      <alignment vertical="center"/>
    </xf>
    <xf numFmtId="2" fontId="36" fillId="9" borderId="1" xfId="8" applyNumberFormat="1" applyFont="1" applyFill="1" applyBorder="1" applyAlignment="1">
      <alignment horizontal="center" vertical="center"/>
    </xf>
    <xf numFmtId="4" fontId="36" fillId="0" borderId="1" xfId="8" applyNumberFormat="1" applyFont="1" applyBorder="1" applyAlignment="1">
      <alignment horizontal="center" vertical="center"/>
    </xf>
    <xf numFmtId="2" fontId="36" fillId="0" borderId="1" xfId="8" applyNumberFormat="1" applyFont="1" applyBorder="1" applyAlignment="1">
      <alignment horizontal="center" vertical="center"/>
    </xf>
    <xf numFmtId="0" fontId="15" fillId="0" borderId="1" xfId="8" applyFont="1" applyBorder="1" applyAlignment="1">
      <alignment horizontal="center" vertical="center"/>
    </xf>
    <xf numFmtId="4" fontId="15" fillId="0" borderId="1" xfId="8" applyNumberFormat="1" applyFont="1" applyBorder="1" applyAlignment="1">
      <alignment horizontal="center" vertical="center"/>
    </xf>
    <xf numFmtId="4" fontId="15" fillId="9" borderId="1" xfId="8" applyNumberFormat="1" applyFont="1" applyFill="1" applyBorder="1" applyAlignment="1">
      <alignment horizontal="center" vertical="center"/>
    </xf>
    <xf numFmtId="2" fontId="15" fillId="17" borderId="1" xfId="8" applyNumberFormat="1" applyFont="1" applyFill="1" applyBorder="1" applyAlignment="1">
      <alignment horizontal="center" vertical="center"/>
    </xf>
    <xf numFmtId="0" fontId="36" fillId="16" borderId="1" xfId="8" applyFont="1" applyFill="1" applyBorder="1" applyAlignment="1">
      <alignment horizontal="left" vertical="center"/>
    </xf>
    <xf numFmtId="4" fontId="36" fillId="9" borderId="1" xfId="8" quotePrefix="1" applyNumberFormat="1" applyFont="1" applyFill="1" applyBorder="1" applyAlignment="1">
      <alignment horizontal="center" vertical="center"/>
    </xf>
    <xf numFmtId="0" fontId="15" fillId="0" borderId="34" xfId="8" applyFont="1" applyBorder="1" applyAlignment="1">
      <alignment horizontal="center" vertical="center"/>
    </xf>
    <xf numFmtId="4" fontId="15" fillId="0" borderId="34" xfId="8" applyNumberFormat="1" applyFont="1" applyBorder="1" applyAlignment="1">
      <alignment horizontal="center" vertical="center"/>
    </xf>
    <xf numFmtId="4" fontId="15" fillId="9" borderId="34" xfId="8" applyNumberFormat="1" applyFont="1" applyFill="1" applyBorder="1" applyAlignment="1">
      <alignment horizontal="center" vertical="center"/>
    </xf>
    <xf numFmtId="2" fontId="15" fillId="17" borderId="34" xfId="8" applyNumberFormat="1" applyFont="1" applyFill="1" applyBorder="1" applyAlignment="1">
      <alignment horizontal="center" vertical="center"/>
    </xf>
    <xf numFmtId="0" fontId="15" fillId="9" borderId="1" xfId="8" applyFont="1" applyFill="1" applyBorder="1" applyAlignment="1">
      <alignment vertical="center"/>
    </xf>
    <xf numFmtId="0" fontId="36" fillId="9" borderId="1" xfId="8" applyNumberFormat="1" applyFont="1" applyFill="1" applyBorder="1" applyAlignment="1">
      <alignment horizontal="left" vertical="center"/>
    </xf>
    <xf numFmtId="4" fontId="36" fillId="9" borderId="1" xfId="8" applyNumberFormat="1" applyFont="1" applyFill="1" applyBorder="1" applyAlignment="1">
      <alignment horizontal="center" vertical="center"/>
    </xf>
    <xf numFmtId="0" fontId="15" fillId="9" borderId="34" xfId="8" applyFont="1" applyFill="1" applyBorder="1" applyAlignment="1">
      <alignment horizontal="center" vertical="center"/>
    </xf>
    <xf numFmtId="180" fontId="36" fillId="0" borderId="1" xfId="8" applyNumberFormat="1" applyFont="1" applyBorder="1" applyAlignment="1">
      <alignment horizontal="center" vertical="center"/>
    </xf>
    <xf numFmtId="0" fontId="15" fillId="9" borderId="1" xfId="8" applyFont="1" applyFill="1" applyBorder="1" applyAlignment="1">
      <alignment horizontal="center" vertical="center"/>
    </xf>
    <xf numFmtId="0" fontId="36" fillId="16" borderId="1" xfId="8" applyNumberFormat="1" applyFont="1" applyFill="1" applyBorder="1" applyAlignment="1">
      <alignment horizontal="left" vertical="center"/>
    </xf>
    <xf numFmtId="0" fontId="11" fillId="9" borderId="38" xfId="8" applyFont="1" applyFill="1" applyBorder="1" applyAlignment="1">
      <alignment horizontal="center" vertical="center"/>
    </xf>
    <xf numFmtId="2" fontId="8" fillId="9" borderId="80" xfId="8" applyNumberFormat="1" applyFont="1" applyFill="1" applyBorder="1" applyAlignment="1">
      <alignment horizontal="center" vertical="center"/>
    </xf>
    <xf numFmtId="4" fontId="36" fillId="0" borderId="34" xfId="8" applyNumberFormat="1" applyFont="1" applyBorder="1" applyAlignment="1">
      <alignment horizontal="center" vertical="center"/>
    </xf>
    <xf numFmtId="185" fontId="36" fillId="0" borderId="1" xfId="8" applyNumberFormat="1" applyFont="1" applyBorder="1" applyAlignment="1">
      <alignment horizontal="center" vertical="center"/>
    </xf>
    <xf numFmtId="2" fontId="21" fillId="0" borderId="45" xfId="5" applyNumberFormat="1" applyFont="1" applyFill="1" applyBorder="1" applyAlignment="1">
      <alignment horizontal="center" vertical="center"/>
    </xf>
    <xf numFmtId="0" fontId="31" fillId="0" borderId="12" xfId="0" applyFont="1" applyBorder="1"/>
    <xf numFmtId="0" fontId="31" fillId="0" borderId="3" xfId="0" applyFont="1" applyBorder="1"/>
    <xf numFmtId="0" fontId="31" fillId="0" borderId="41" xfId="0" applyFont="1" applyBorder="1" applyAlignment="1">
      <alignment horizontal="center" vertical="center" wrapText="1"/>
    </xf>
    <xf numFmtId="10" fontId="31" fillId="0" borderId="41" xfId="6" applyNumberFormat="1" applyFont="1" applyBorder="1" applyAlignment="1" applyProtection="1">
      <alignment horizontal="center"/>
      <protection locked="0"/>
    </xf>
    <xf numFmtId="164" fontId="31" fillId="0" borderId="41" xfId="2" applyNumberFormat="1" applyFont="1" applyBorder="1" applyAlignment="1">
      <alignment horizontal="center"/>
    </xf>
    <xf numFmtId="10" fontId="31" fillId="0" borderId="41" xfId="6" applyNumberFormat="1" applyFont="1" applyBorder="1" applyAlignment="1">
      <alignment horizontal="center"/>
    </xf>
    <xf numFmtId="0" fontId="31" fillId="0" borderId="13" xfId="0" applyFont="1" applyBorder="1"/>
    <xf numFmtId="0" fontId="31" fillId="0" borderId="16" xfId="0" applyFont="1" applyBorder="1" applyAlignment="1" applyProtection="1">
      <alignment vertical="top"/>
      <protection locked="0"/>
    </xf>
    <xf numFmtId="0" fontId="31" fillId="0" borderId="16" xfId="0" applyFont="1" applyBorder="1"/>
    <xf numFmtId="0" fontId="31" fillId="0" borderId="18" xfId="0" applyFont="1" applyBorder="1"/>
    <xf numFmtId="0" fontId="31" fillId="0" borderId="16" xfId="0" applyFont="1" applyBorder="1" applyProtection="1">
      <protection locked="0"/>
    </xf>
    <xf numFmtId="0" fontId="31" fillId="0" borderId="17" xfId="0" applyFont="1" applyBorder="1" applyProtection="1">
      <protection locked="0"/>
    </xf>
    <xf numFmtId="0" fontId="31" fillId="0" borderId="0" xfId="0" applyFont="1" applyAlignment="1"/>
    <xf numFmtId="0" fontId="31" fillId="0" borderId="81" xfId="0" applyFont="1" applyBorder="1" applyAlignment="1"/>
    <xf numFmtId="0" fontId="31" fillId="0" borderId="0" xfId="0" applyFont="1" applyBorder="1" applyAlignment="1">
      <alignment vertical="top"/>
    </xf>
    <xf numFmtId="0" fontId="31" fillId="0" borderId="0" xfId="0" applyFont="1" applyBorder="1" applyAlignment="1" applyProtection="1">
      <protection locked="0"/>
    </xf>
    <xf numFmtId="0" fontId="15" fillId="0" borderId="1" xfId="8" applyFont="1" applyBorder="1" applyAlignment="1">
      <alignment horizontal="center" vertical="center" wrapText="1"/>
    </xf>
    <xf numFmtId="0" fontId="15" fillId="0" borderId="48" xfId="8" applyFont="1" applyBorder="1" applyAlignment="1">
      <alignment horizontal="center" vertical="center" wrapText="1"/>
    </xf>
    <xf numFmtId="0" fontId="36" fillId="14" borderId="45" xfId="0" applyFont="1" applyFill="1" applyBorder="1" applyAlignment="1" applyProtection="1">
      <alignment vertical="center" wrapText="1"/>
      <protection locked="0"/>
    </xf>
    <xf numFmtId="0" fontId="36" fillId="14" borderId="60" xfId="0" applyFont="1" applyFill="1" applyBorder="1" applyAlignment="1" applyProtection="1">
      <alignment vertical="center" wrapText="1"/>
      <protection locked="0"/>
    </xf>
    <xf numFmtId="0" fontId="36" fillId="14" borderId="46" xfId="0" applyFont="1" applyFill="1" applyBorder="1" applyAlignment="1" applyProtection="1">
      <alignment vertical="center" wrapText="1"/>
      <protection locked="0"/>
    </xf>
    <xf numFmtId="0" fontId="15" fillId="0" borderId="34" xfId="8" applyFont="1" applyBorder="1" applyAlignment="1">
      <alignment horizontal="center" vertical="center"/>
    </xf>
    <xf numFmtId="3" fontId="21" fillId="7" borderId="45" xfId="5" applyFont="1" applyFill="1" applyBorder="1" applyAlignment="1">
      <alignment horizontal="left" vertical="center" wrapText="1"/>
    </xf>
    <xf numFmtId="179" fontId="21" fillId="7" borderId="45" xfId="5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164" fontId="21" fillId="7" borderId="1" xfId="2" applyNumberFormat="1" applyFont="1" applyFill="1" applyBorder="1" applyAlignment="1">
      <alignment horizontal="center" vertical="center"/>
    </xf>
    <xf numFmtId="0" fontId="8" fillId="0" borderId="45" xfId="0" quotePrefix="1" applyNumberFormat="1" applyFont="1" applyFill="1" applyBorder="1" applyAlignment="1">
      <alignment horizontal="center" vertical="center" wrapText="1"/>
    </xf>
    <xf numFmtId="2" fontId="27" fillId="4" borderId="2" xfId="0" applyNumberFormat="1" applyFont="1" applyFill="1" applyBorder="1" applyAlignment="1">
      <alignment vertical="center" wrapText="1"/>
    </xf>
    <xf numFmtId="2" fontId="27" fillId="4" borderId="3" xfId="0" applyNumberFormat="1" applyFont="1" applyFill="1" applyBorder="1" applyAlignment="1">
      <alignment vertical="center" wrapText="1"/>
    </xf>
    <xf numFmtId="0" fontId="12" fillId="0" borderId="10" xfId="0" applyNumberFormat="1" applyFont="1" applyFill="1" applyBorder="1" applyAlignment="1">
      <alignment vertical="center" wrapText="1"/>
    </xf>
    <xf numFmtId="0" fontId="17" fillId="4" borderId="10" xfId="0" applyNumberFormat="1" applyFont="1" applyFill="1" applyBorder="1" applyAlignment="1">
      <alignment vertical="center" wrapText="1"/>
    </xf>
    <xf numFmtId="0" fontId="20" fillId="4" borderId="83" xfId="0" applyNumberFormat="1" applyFont="1" applyFill="1" applyBorder="1" applyAlignment="1">
      <alignment vertical="center" wrapText="1"/>
    </xf>
    <xf numFmtId="2" fontId="17" fillId="0" borderId="13" xfId="0" applyNumberFormat="1" applyFont="1" applyFill="1" applyBorder="1" applyAlignment="1">
      <alignment horizontal="center" vertical="center" wrapText="1"/>
    </xf>
    <xf numFmtId="0" fontId="17" fillId="4" borderId="76" xfId="0" applyNumberFormat="1" applyFont="1" applyFill="1" applyBorder="1" applyAlignment="1">
      <alignment horizontal="left" vertical="center" wrapText="1"/>
    </xf>
    <xf numFmtId="0" fontId="17" fillId="4" borderId="85" xfId="0" applyNumberFormat="1" applyFont="1" applyFill="1" applyBorder="1" applyAlignment="1">
      <alignment horizontal="left" vertical="center" wrapText="1"/>
    </xf>
    <xf numFmtId="43" fontId="11" fillId="4" borderId="41" xfId="0" applyNumberFormat="1" applyFont="1" applyFill="1" applyBorder="1" applyAlignment="1">
      <alignment horizontal="center" vertical="center" wrapText="1"/>
    </xf>
    <xf numFmtId="49" fontId="11" fillId="11" borderId="40" xfId="0" quotePrefix="1" applyNumberFormat="1" applyFont="1" applyFill="1" applyBorder="1" applyAlignment="1">
      <alignment horizontal="center" vertical="center" wrapText="1"/>
    </xf>
    <xf numFmtId="182" fontId="11" fillId="11" borderId="41" xfId="0" applyNumberFormat="1" applyFont="1" applyFill="1" applyBorder="1" applyAlignment="1">
      <alignment horizontal="right" vertical="center" wrapText="1"/>
    </xf>
    <xf numFmtId="49" fontId="8" fillId="0" borderId="40" xfId="0" applyNumberFormat="1" applyFont="1" applyFill="1" applyBorder="1" applyAlignment="1">
      <alignment horizontal="center" vertical="center" wrapText="1"/>
    </xf>
    <xf numFmtId="164" fontId="8" fillId="0" borderId="41" xfId="0" applyNumberFormat="1" applyFont="1" applyFill="1" applyBorder="1" applyAlignment="1">
      <alignment horizontal="center" vertical="center" wrapText="1"/>
    </xf>
    <xf numFmtId="0" fontId="11" fillId="11" borderId="40" xfId="0" applyNumberFormat="1" applyFont="1" applyFill="1" applyBorder="1" applyAlignment="1">
      <alignment horizontal="center" vertical="center" wrapText="1"/>
    </xf>
    <xf numFmtId="0" fontId="8" fillId="0" borderId="40" xfId="0" applyNumberFormat="1" applyFont="1" applyFill="1" applyBorder="1" applyAlignment="1">
      <alignment horizontal="center" vertical="center" wrapText="1"/>
    </xf>
    <xf numFmtId="164" fontId="8" fillId="0" borderId="41" xfId="2" applyNumberFormat="1" applyFont="1" applyFill="1" applyBorder="1" applyAlignment="1">
      <alignment horizontal="center" vertical="center" wrapText="1"/>
    </xf>
    <xf numFmtId="0" fontId="11" fillId="11" borderId="40" xfId="0" quotePrefix="1" applyNumberFormat="1" applyFont="1" applyFill="1" applyBorder="1" applyAlignment="1">
      <alignment horizontal="center" vertical="center" wrapText="1"/>
    </xf>
    <xf numFmtId="0" fontId="34" fillId="11" borderId="40" xfId="0" applyFont="1" applyFill="1" applyBorder="1" applyAlignment="1">
      <alignment horizontal="center" vertical="center" wrapText="1"/>
    </xf>
    <xf numFmtId="182" fontId="34" fillId="11" borderId="41" xfId="0" applyNumberFormat="1" applyFont="1" applyFill="1" applyBorder="1" applyAlignment="1">
      <alignment horizontal="right" vertical="center" wrapText="1"/>
    </xf>
    <xf numFmtId="0" fontId="12" fillId="0" borderId="0" xfId="9" applyFont="1" applyBorder="1" applyAlignment="1">
      <alignment vertical="center"/>
    </xf>
    <xf numFmtId="0" fontId="1" fillId="0" borderId="0" xfId="9" applyAlignment="1">
      <alignment vertical="center"/>
    </xf>
    <xf numFmtId="0" fontId="3" fillId="0" borderId="0" xfId="9" applyFont="1" applyAlignment="1">
      <alignment horizontal="left" vertical="center"/>
    </xf>
    <xf numFmtId="178" fontId="3" fillId="0" borderId="0" xfId="9" applyNumberFormat="1" applyFont="1" applyAlignment="1">
      <alignment horizontal="left" vertical="center"/>
    </xf>
    <xf numFmtId="0" fontId="1" fillId="0" borderId="0" xfId="9" applyBorder="1" applyAlignment="1">
      <alignment vertical="center"/>
    </xf>
    <xf numFmtId="0" fontId="3" fillId="0" borderId="0" xfId="9" applyFont="1" applyBorder="1" applyAlignment="1">
      <alignment horizontal="center" vertical="center"/>
    </xf>
    <xf numFmtId="0" fontId="1" fillId="8" borderId="49" xfId="9" applyFont="1" applyFill="1" applyBorder="1" applyAlignment="1">
      <alignment horizontal="center" vertical="center"/>
    </xf>
    <xf numFmtId="0" fontId="1" fillId="8" borderId="50" xfId="9" applyFont="1" applyFill="1" applyBorder="1" applyAlignment="1">
      <alignment horizontal="center" vertical="center"/>
    </xf>
    <xf numFmtId="0" fontId="3" fillId="0" borderId="51" xfId="9" applyFont="1" applyFill="1" applyBorder="1" applyAlignment="1">
      <alignment horizontal="center" vertical="center"/>
    </xf>
    <xf numFmtId="0" fontId="3" fillId="0" borderId="0" xfId="9" applyFont="1" applyFill="1" applyBorder="1" applyAlignment="1">
      <alignment horizontal="center" vertical="center"/>
    </xf>
    <xf numFmtId="0" fontId="3" fillId="8" borderId="52" xfId="9" applyFont="1" applyFill="1" applyBorder="1" applyAlignment="1">
      <alignment horizontal="center" vertical="center"/>
    </xf>
    <xf numFmtId="0" fontId="3" fillId="8" borderId="53" xfId="9" applyFont="1" applyFill="1" applyBorder="1" applyAlignment="1">
      <alignment horizontal="center" vertical="center"/>
    </xf>
    <xf numFmtId="0" fontId="3" fillId="0" borderId="54" xfId="9" applyFont="1" applyBorder="1" applyAlignment="1">
      <alignment horizontal="center" vertical="center"/>
    </xf>
    <xf numFmtId="0" fontId="1" fillId="0" borderId="55" xfId="9" applyBorder="1" applyAlignment="1">
      <alignment horizontal="center" vertical="center"/>
    </xf>
    <xf numFmtId="0" fontId="3" fillId="0" borderId="55" xfId="9" applyFont="1" applyFill="1" applyBorder="1" applyAlignment="1">
      <alignment horizontal="center" vertical="center"/>
    </xf>
    <xf numFmtId="0" fontId="3" fillId="0" borderId="56" xfId="9" applyFont="1" applyFill="1" applyBorder="1" applyAlignment="1">
      <alignment horizontal="center" vertical="center"/>
    </xf>
    <xf numFmtId="0" fontId="3" fillId="0" borderId="0" xfId="9" applyFont="1" applyAlignment="1">
      <alignment vertical="center"/>
    </xf>
    <xf numFmtId="0" fontId="3" fillId="0" borderId="55" xfId="9" applyFont="1" applyBorder="1" applyAlignment="1">
      <alignment vertical="center"/>
    </xf>
    <xf numFmtId="43" fontId="3" fillId="0" borderId="55" xfId="9" applyNumberFormat="1" applyFont="1" applyBorder="1" applyAlignment="1">
      <alignment horizontal="right" vertical="center"/>
    </xf>
    <xf numFmtId="43" fontId="3" fillId="0" borderId="56" xfId="9" applyNumberFormat="1" applyFont="1" applyBorder="1" applyAlignment="1">
      <alignment horizontal="right" vertical="center"/>
    </xf>
    <xf numFmtId="0" fontId="1" fillId="0" borderId="51" xfId="9" applyBorder="1" applyAlignment="1">
      <alignment vertical="center"/>
    </xf>
    <xf numFmtId="4" fontId="3" fillId="0" borderId="0" xfId="9" applyNumberFormat="1" applyFont="1" applyBorder="1" applyAlignment="1">
      <alignment vertical="center"/>
    </xf>
    <xf numFmtId="0" fontId="12" fillId="0" borderId="0" xfId="9" applyFont="1" applyAlignment="1">
      <alignment horizontal="center" vertical="center"/>
    </xf>
    <xf numFmtId="10" fontId="12" fillId="0" borderId="0" xfId="9" applyNumberFormat="1" applyFont="1" applyAlignment="1">
      <alignment vertical="center"/>
    </xf>
    <xf numFmtId="0" fontId="12" fillId="0" borderId="0" xfId="9" applyFont="1" applyAlignment="1">
      <alignment vertical="center"/>
    </xf>
    <xf numFmtId="0" fontId="41" fillId="0" borderId="0" xfId="9" applyFont="1" applyAlignment="1">
      <alignment vertical="center"/>
    </xf>
    <xf numFmtId="0" fontId="1" fillId="0" borderId="54" xfId="9" applyFont="1" applyBorder="1" applyAlignment="1">
      <alignment horizontal="center" vertical="center"/>
    </xf>
    <xf numFmtId="0" fontId="1" fillId="0" borderId="55" xfId="9" applyBorder="1" applyAlignment="1">
      <alignment vertical="center"/>
    </xf>
    <xf numFmtId="43" fontId="1" fillId="0" borderId="55" xfId="9" applyNumberFormat="1" applyFont="1" applyBorder="1" applyAlignment="1">
      <alignment vertical="center"/>
    </xf>
    <xf numFmtId="43" fontId="1" fillId="0" borderId="56" xfId="9" applyNumberFormat="1" applyFont="1" applyBorder="1" applyAlignment="1">
      <alignment vertical="center"/>
    </xf>
    <xf numFmtId="4" fontId="1" fillId="0" borderId="51" xfId="9" applyNumberFormat="1" applyFont="1" applyBorder="1" applyAlignment="1">
      <alignment vertical="center"/>
    </xf>
    <xf numFmtId="0" fontId="3" fillId="0" borderId="0" xfId="9" applyFont="1" applyBorder="1" applyAlignment="1">
      <alignment vertical="center"/>
    </xf>
    <xf numFmtId="0" fontId="1" fillId="0" borderId="54" xfId="9" applyFont="1" applyBorder="1" applyAlignment="1">
      <alignment horizontal="right" vertical="center"/>
    </xf>
    <xf numFmtId="43" fontId="3" fillId="0" borderId="55" xfId="9" applyNumberFormat="1" applyFont="1" applyBorder="1" applyAlignment="1">
      <alignment vertical="center"/>
    </xf>
    <xf numFmtId="43" fontId="3" fillId="0" borderId="56" xfId="9" applyNumberFormat="1" applyFont="1" applyBorder="1" applyAlignment="1">
      <alignment vertical="center"/>
    </xf>
    <xf numFmtId="0" fontId="1" fillId="0" borderId="54" xfId="9" applyBorder="1" applyAlignment="1">
      <alignment horizontal="center" vertical="center"/>
    </xf>
    <xf numFmtId="0" fontId="1" fillId="0" borderId="55" xfId="9" applyFont="1" applyBorder="1" applyAlignment="1">
      <alignment horizontal="left" vertical="center"/>
    </xf>
    <xf numFmtId="43" fontId="1" fillId="0" borderId="55" xfId="9" applyNumberFormat="1" applyBorder="1" applyAlignment="1">
      <alignment horizontal="right" vertical="center"/>
    </xf>
    <xf numFmtId="4" fontId="1" fillId="0" borderId="0" xfId="9" applyNumberFormat="1" applyFont="1" applyBorder="1" applyAlignment="1">
      <alignment vertical="center"/>
    </xf>
    <xf numFmtId="0" fontId="1" fillId="0" borderId="55" xfId="9" applyBorder="1" applyAlignment="1">
      <alignment horizontal="justify" vertical="center"/>
    </xf>
    <xf numFmtId="0" fontId="1" fillId="0" borderId="55" xfId="9" applyFont="1" applyBorder="1" applyAlignment="1">
      <alignment vertical="center"/>
    </xf>
    <xf numFmtId="43" fontId="1" fillId="0" borderId="0" xfId="9" applyNumberFormat="1" applyAlignment="1">
      <alignment vertical="center"/>
    </xf>
    <xf numFmtId="43" fontId="3" fillId="0" borderId="0" xfId="9" applyNumberFormat="1" applyFont="1" applyBorder="1" applyAlignment="1">
      <alignment vertical="center"/>
    </xf>
    <xf numFmtId="2" fontId="1" fillId="0" borderId="55" xfId="9" applyNumberFormat="1" applyFont="1" applyBorder="1" applyAlignment="1">
      <alignment vertical="center"/>
    </xf>
    <xf numFmtId="2" fontId="1" fillId="0" borderId="56" xfId="9" applyNumberFormat="1" applyFont="1" applyBorder="1" applyAlignment="1">
      <alignment vertical="center"/>
    </xf>
    <xf numFmtId="2" fontId="1" fillId="0" borderId="0" xfId="9" applyNumberFormat="1" applyAlignment="1">
      <alignment vertical="center"/>
    </xf>
    <xf numFmtId="0" fontId="1" fillId="0" borderId="57" xfId="9" applyFont="1" applyBorder="1" applyAlignment="1">
      <alignment horizontal="right" vertical="center"/>
    </xf>
    <xf numFmtId="0" fontId="3" fillId="0" borderId="58" xfId="9" applyFont="1" applyBorder="1" applyAlignment="1">
      <alignment vertical="center"/>
    </xf>
    <xf numFmtId="2" fontId="3" fillId="0" borderId="58" xfId="9" applyNumberFormat="1" applyFont="1" applyBorder="1" applyAlignment="1">
      <alignment vertical="center"/>
    </xf>
    <xf numFmtId="2" fontId="3" fillId="0" borderId="59" xfId="9" applyNumberFormat="1" applyFont="1" applyBorder="1" applyAlignment="1">
      <alignment vertical="center"/>
    </xf>
    <xf numFmtId="4" fontId="1" fillId="0" borderId="51" xfId="9" applyNumberFormat="1" applyBorder="1" applyAlignment="1">
      <alignment vertical="center"/>
    </xf>
    <xf numFmtId="178" fontId="1" fillId="0" borderId="0" xfId="9" applyNumberFormat="1" applyFont="1" applyAlignment="1">
      <alignment vertical="center"/>
    </xf>
    <xf numFmtId="0" fontId="23" fillId="0" borderId="0" xfId="9" applyFont="1" applyBorder="1" applyAlignment="1">
      <alignment vertical="center"/>
    </xf>
    <xf numFmtId="43" fontId="23" fillId="0" borderId="0" xfId="9" applyNumberFormat="1" applyFont="1" applyAlignment="1">
      <alignment horizontal="center" vertical="center"/>
    </xf>
    <xf numFmtId="0" fontId="1" fillId="0" borderId="0" xfId="9"/>
    <xf numFmtId="0" fontId="36" fillId="12" borderId="1" xfId="0" applyFont="1" applyFill="1" applyBorder="1" applyAlignment="1" applyProtection="1">
      <alignment horizontal="left" vertical="center" wrapText="1"/>
      <protection locked="0"/>
    </xf>
    <xf numFmtId="0" fontId="15" fillId="12" borderId="1" xfId="0" applyFont="1" applyFill="1" applyBorder="1" applyAlignment="1" applyProtection="1">
      <alignment horizontal="left" vertical="center" wrapText="1"/>
      <protection locked="0"/>
    </xf>
    <xf numFmtId="0" fontId="36" fillId="14" borderId="1" xfId="0" applyFont="1" applyFill="1" applyBorder="1" applyAlignment="1" applyProtection="1">
      <alignment horizontal="left" vertical="center" wrapText="1"/>
      <protection locked="0"/>
    </xf>
    <xf numFmtId="0" fontId="15" fillId="14" borderId="1" xfId="0" applyFont="1" applyFill="1" applyBorder="1" applyAlignment="1" applyProtection="1">
      <alignment horizontal="left" vertical="center" wrapText="1"/>
      <protection locked="0"/>
    </xf>
    <xf numFmtId="0" fontId="36" fillId="14" borderId="45" xfId="0" applyFont="1" applyFill="1" applyBorder="1" applyAlignment="1" applyProtection="1">
      <alignment vertical="center" wrapText="1"/>
      <protection locked="0"/>
    </xf>
    <xf numFmtId="0" fontId="36" fillId="14" borderId="60" xfId="0" applyFont="1" applyFill="1" applyBorder="1" applyAlignment="1" applyProtection="1">
      <alignment vertical="center" wrapText="1"/>
      <protection locked="0"/>
    </xf>
    <xf numFmtId="0" fontId="36" fillId="14" borderId="46" xfId="0" applyFont="1" applyFill="1" applyBorder="1" applyAlignment="1" applyProtection="1">
      <alignment vertical="center" wrapText="1"/>
      <protection locked="0"/>
    </xf>
    <xf numFmtId="0" fontId="36" fillId="12" borderId="45" xfId="0" applyFont="1" applyFill="1" applyBorder="1" applyAlignment="1" applyProtection="1">
      <alignment horizontal="left" vertical="center" wrapText="1"/>
      <protection locked="0"/>
    </xf>
    <xf numFmtId="0" fontId="36" fillId="12" borderId="60" xfId="0" applyFont="1" applyFill="1" applyBorder="1" applyAlignment="1" applyProtection="1">
      <alignment horizontal="left" vertical="center" wrapText="1"/>
      <protection locked="0"/>
    </xf>
    <xf numFmtId="0" fontId="36" fillId="12" borderId="46" xfId="0" applyFont="1" applyFill="1" applyBorder="1" applyAlignment="1" applyProtection="1">
      <alignment horizontal="left" vertical="center" wrapText="1"/>
      <protection locked="0"/>
    </xf>
    <xf numFmtId="0" fontId="36" fillId="14" borderId="45" xfId="0" applyFont="1" applyFill="1" applyBorder="1" applyAlignment="1" applyProtection="1">
      <alignment horizontal="left" vertical="center" wrapText="1"/>
      <protection locked="0"/>
    </xf>
    <xf numFmtId="0" fontId="36" fillId="14" borderId="60" xfId="0" applyFont="1" applyFill="1" applyBorder="1" applyAlignment="1" applyProtection="1">
      <alignment horizontal="left" vertical="center" wrapText="1"/>
      <protection locked="0"/>
    </xf>
    <xf numFmtId="0" fontId="36" fillId="14" borderId="46" xfId="0" applyFont="1" applyFill="1" applyBorder="1" applyAlignment="1" applyProtection="1">
      <alignment horizontal="left" vertical="center" wrapText="1"/>
      <protection locked="0"/>
    </xf>
    <xf numFmtId="0" fontId="36" fillId="12" borderId="45" xfId="0" applyFont="1" applyFill="1" applyBorder="1" applyAlignment="1" applyProtection="1">
      <alignment vertical="center" wrapText="1"/>
      <protection locked="0"/>
    </xf>
    <xf numFmtId="0" fontId="36" fillId="12" borderId="60" xfId="0" applyFont="1" applyFill="1" applyBorder="1" applyAlignment="1" applyProtection="1">
      <alignment vertical="center" wrapText="1"/>
      <protection locked="0"/>
    </xf>
    <xf numFmtId="0" fontId="36" fillId="12" borderId="46" xfId="0" applyFont="1" applyFill="1" applyBorder="1" applyAlignment="1" applyProtection="1">
      <alignment vertical="center" wrapText="1"/>
      <protection locked="0"/>
    </xf>
    <xf numFmtId="0" fontId="12" fillId="14" borderId="62" xfId="0" applyNumberFormat="1" applyFont="1" applyFill="1" applyBorder="1" applyAlignment="1">
      <alignment horizontal="left" vertical="center"/>
    </xf>
    <xf numFmtId="0" fontId="12" fillId="14" borderId="0" xfId="0" applyNumberFormat="1" applyFont="1" applyFill="1" applyBorder="1" applyAlignment="1">
      <alignment horizontal="left" vertical="center"/>
    </xf>
    <xf numFmtId="0" fontId="12" fillId="14" borderId="61" xfId="0" applyNumberFormat="1" applyFont="1" applyFill="1" applyBorder="1" applyAlignment="1">
      <alignment horizontal="left" vertical="center"/>
    </xf>
    <xf numFmtId="2" fontId="11" fillId="0" borderId="45" xfId="0" applyNumberFormat="1" applyFont="1" applyBorder="1" applyAlignment="1">
      <alignment horizontal="center" vertical="center" wrapText="1"/>
    </xf>
    <xf numFmtId="2" fontId="11" fillId="0" borderId="46" xfId="0" applyNumberFormat="1" applyFont="1" applyBorder="1" applyAlignment="1">
      <alignment horizontal="center" vertical="center" wrapText="1"/>
    </xf>
    <xf numFmtId="0" fontId="11" fillId="4" borderId="86" xfId="0" applyNumberFormat="1" applyFont="1" applyFill="1" applyBorder="1" applyAlignment="1">
      <alignment horizontal="center" vertical="center" wrapText="1"/>
    </xf>
    <xf numFmtId="0" fontId="11" fillId="4" borderId="87" xfId="0" applyNumberFormat="1" applyFont="1" applyFill="1" applyBorder="1" applyAlignment="1">
      <alignment horizontal="center" vertical="center" wrapText="1"/>
    </xf>
    <xf numFmtId="2" fontId="11" fillId="4" borderId="34" xfId="0" applyNumberFormat="1" applyFont="1" applyFill="1" applyBorder="1" applyAlignment="1">
      <alignment horizontal="center" vertical="center" wrapText="1"/>
    </xf>
    <xf numFmtId="2" fontId="11" fillId="4" borderId="48" xfId="0" applyNumberFormat="1" applyFont="1" applyFill="1" applyBorder="1" applyAlignment="1">
      <alignment horizontal="center" vertical="center" wrapText="1"/>
    </xf>
    <xf numFmtId="0" fontId="8" fillId="0" borderId="24" xfId="0" quotePrefix="1" applyNumberFormat="1" applyFont="1" applyFill="1" applyBorder="1" applyAlignment="1">
      <alignment horizontal="center" vertical="center" wrapText="1"/>
    </xf>
    <xf numFmtId="0" fontId="8" fillId="0" borderId="75" xfId="0" quotePrefix="1" applyNumberFormat="1" applyFont="1" applyFill="1" applyBorder="1" applyAlignment="1">
      <alignment horizontal="center" vertical="center" wrapText="1"/>
    </xf>
    <xf numFmtId="182" fontId="12" fillId="10" borderId="35" xfId="0" applyNumberFormat="1" applyFont="1" applyFill="1" applyBorder="1" applyAlignment="1">
      <alignment horizontal="center" vertical="center" wrapText="1"/>
    </xf>
    <xf numFmtId="43" fontId="12" fillId="10" borderId="31" xfId="0" applyNumberFormat="1" applyFont="1" applyFill="1" applyBorder="1" applyAlignment="1">
      <alignment horizontal="center" vertical="center" wrapText="1"/>
    </xf>
    <xf numFmtId="2" fontId="23" fillId="4" borderId="3" xfId="0" applyNumberFormat="1" applyFont="1" applyFill="1" applyBorder="1" applyAlignment="1">
      <alignment horizontal="left" vertical="center" wrapText="1"/>
    </xf>
    <xf numFmtId="2" fontId="23" fillId="4" borderId="5" xfId="0" applyNumberFormat="1" applyFont="1" applyFill="1" applyBorder="1" applyAlignment="1">
      <alignment horizontal="left" vertical="center" wrapText="1"/>
    </xf>
    <xf numFmtId="0" fontId="12" fillId="4" borderId="74" xfId="0" applyNumberFormat="1" applyFont="1" applyFill="1" applyBorder="1" applyAlignment="1">
      <alignment horizontal="left" vertical="center" wrapText="1"/>
    </xf>
    <xf numFmtId="0" fontId="12" fillId="4" borderId="82" xfId="0" applyNumberFormat="1" applyFont="1" applyFill="1" applyBorder="1" applyAlignment="1">
      <alignment horizontal="left" vertical="center" wrapText="1"/>
    </xf>
    <xf numFmtId="0" fontId="12" fillId="0" borderId="0" xfId="0" applyNumberFormat="1" applyFont="1" applyFill="1" applyBorder="1" applyAlignment="1">
      <alignment horizontal="left" vertical="center" wrapText="1"/>
    </xf>
    <xf numFmtId="0" fontId="12" fillId="0" borderId="13" xfId="0" applyNumberFormat="1" applyFont="1" applyFill="1" applyBorder="1" applyAlignment="1">
      <alignment horizontal="left" vertical="center" wrapText="1"/>
    </xf>
    <xf numFmtId="0" fontId="20" fillId="4" borderId="63" xfId="0" applyNumberFormat="1" applyFont="1" applyFill="1" applyBorder="1" applyAlignment="1">
      <alignment horizontal="left" vertical="center" wrapText="1"/>
    </xf>
    <xf numFmtId="0" fontId="20" fillId="4" borderId="0" xfId="0" applyNumberFormat="1" applyFont="1" applyFill="1" applyBorder="1" applyAlignment="1">
      <alignment horizontal="left" vertical="center" wrapText="1"/>
    </xf>
    <xf numFmtId="43" fontId="11" fillId="4" borderId="45" xfId="0" applyNumberFormat="1" applyFont="1" applyFill="1" applyBorder="1" applyAlignment="1">
      <alignment horizontal="center" vertical="center"/>
    </xf>
    <xf numFmtId="43" fontId="11" fillId="4" borderId="76" xfId="0" applyNumberFormat="1" applyFont="1" applyFill="1" applyBorder="1" applyAlignment="1">
      <alignment horizontal="center" vertical="center"/>
    </xf>
    <xf numFmtId="43" fontId="11" fillId="4" borderId="34" xfId="0" applyNumberFormat="1" applyFont="1" applyFill="1" applyBorder="1" applyAlignment="1">
      <alignment horizontal="center" vertical="center" wrapText="1"/>
    </xf>
    <xf numFmtId="43" fontId="11" fillId="4" borderId="48" xfId="0" applyNumberFormat="1" applyFont="1" applyFill="1" applyBorder="1" applyAlignment="1">
      <alignment horizontal="center" vertical="center" wrapText="1"/>
    </xf>
    <xf numFmtId="0" fontId="20" fillId="4" borderId="70" xfId="0" applyNumberFormat="1" applyFont="1" applyFill="1" applyBorder="1" applyAlignment="1">
      <alignment horizontal="left" vertical="center" wrapText="1"/>
    </xf>
    <xf numFmtId="0" fontId="20" fillId="4" borderId="60" xfId="0" applyNumberFormat="1" applyFont="1" applyFill="1" applyBorder="1" applyAlignment="1">
      <alignment horizontal="left" vertical="center" wrapText="1"/>
    </xf>
    <xf numFmtId="0" fontId="20" fillId="4" borderId="84" xfId="0" applyNumberFormat="1" applyFont="1" applyFill="1" applyBorder="1" applyAlignment="1">
      <alignment horizontal="left" vertical="center" wrapText="1"/>
    </xf>
    <xf numFmtId="0" fontId="20" fillId="4" borderId="73" xfId="0" applyNumberFormat="1" applyFont="1" applyFill="1" applyBorder="1" applyAlignment="1">
      <alignment horizontal="left" vertical="center" wrapText="1"/>
    </xf>
    <xf numFmtId="182" fontId="12" fillId="10" borderId="24" xfId="0" applyNumberFormat="1" applyFont="1" applyFill="1" applyBorder="1" applyAlignment="1">
      <alignment horizontal="center" vertical="center" wrapText="1"/>
    </xf>
    <xf numFmtId="43" fontId="12" fillId="10" borderId="17" xfId="0" applyNumberFormat="1" applyFont="1" applyFill="1" applyBorder="1" applyAlignment="1">
      <alignment horizontal="center" vertical="center" wrapText="1"/>
    </xf>
    <xf numFmtId="2" fontId="11" fillId="10" borderId="33" xfId="0" applyNumberFormat="1" applyFont="1" applyFill="1" applyBorder="1" applyAlignment="1">
      <alignment horizontal="center" vertical="center" wrapText="1"/>
    </xf>
    <xf numFmtId="2" fontId="11" fillId="10" borderId="25" xfId="0" applyNumberFormat="1" applyFont="1" applyFill="1" applyBorder="1" applyAlignment="1">
      <alignment horizontal="center" vertical="center" wrapText="1"/>
    </xf>
    <xf numFmtId="2" fontId="11" fillId="10" borderId="75" xfId="0" applyNumberFormat="1" applyFont="1" applyFill="1" applyBorder="1" applyAlignment="1">
      <alignment horizontal="center" vertical="center" wrapText="1"/>
    </xf>
    <xf numFmtId="2" fontId="11" fillId="10" borderId="14" xfId="0" applyNumberFormat="1" applyFont="1" applyFill="1" applyBorder="1" applyAlignment="1">
      <alignment horizontal="center" vertical="center" wrapText="1"/>
    </xf>
    <xf numFmtId="2" fontId="11" fillId="10" borderId="16" xfId="0" applyNumberFormat="1" applyFont="1" applyFill="1" applyBorder="1" applyAlignment="1">
      <alignment horizontal="center" vertical="center" wrapText="1"/>
    </xf>
    <xf numFmtId="2" fontId="11" fillId="10" borderId="15" xfId="0" applyNumberFormat="1" applyFont="1" applyFill="1" applyBorder="1" applyAlignment="1">
      <alignment horizontal="center" vertical="center" wrapText="1"/>
    </xf>
    <xf numFmtId="0" fontId="8" fillId="0" borderId="45" xfId="0" quotePrefix="1" applyNumberFormat="1" applyFont="1" applyFill="1" applyBorder="1" applyAlignment="1">
      <alignment horizontal="center" vertical="center" wrapText="1"/>
    </xf>
    <xf numFmtId="0" fontId="8" fillId="0" borderId="46" xfId="0" quotePrefix="1" applyNumberFormat="1" applyFont="1" applyFill="1" applyBorder="1" applyAlignment="1">
      <alignment horizontal="center" vertical="center" wrapText="1"/>
    </xf>
    <xf numFmtId="0" fontId="23" fillId="0" borderId="0" xfId="8" applyFont="1" applyBorder="1" applyAlignment="1">
      <alignment horizontal="center"/>
    </xf>
    <xf numFmtId="0" fontId="23" fillId="0" borderId="13" xfId="8" applyFont="1" applyBorder="1" applyAlignment="1">
      <alignment horizontal="center"/>
    </xf>
    <xf numFmtId="0" fontId="12" fillId="0" borderId="0" xfId="8" applyFont="1" applyBorder="1" applyAlignment="1">
      <alignment horizontal="center" wrapText="1"/>
    </xf>
    <xf numFmtId="0" fontId="12" fillId="0" borderId="13" xfId="8" applyFont="1" applyBorder="1" applyAlignment="1">
      <alignment horizontal="center" wrapText="1"/>
    </xf>
    <xf numFmtId="0" fontId="12" fillId="0" borderId="0" xfId="8" applyFont="1" applyBorder="1" applyAlignment="1">
      <alignment horizontal="center"/>
    </xf>
    <xf numFmtId="0" fontId="12" fillId="0" borderId="13" xfId="8" applyFont="1" applyBorder="1" applyAlignment="1">
      <alignment horizontal="center"/>
    </xf>
    <xf numFmtId="0" fontId="37" fillId="0" borderId="38" xfId="8" applyFont="1" applyBorder="1" applyAlignment="1">
      <alignment horizontal="center" vertical="center"/>
    </xf>
    <xf numFmtId="0" fontId="37" fillId="0" borderId="3" xfId="8" applyFont="1" applyBorder="1" applyAlignment="1">
      <alignment horizontal="center" vertical="center"/>
    </xf>
    <xf numFmtId="0" fontId="37" fillId="0" borderId="5" xfId="8" applyFont="1" applyBorder="1" applyAlignment="1">
      <alignment horizontal="center" vertical="center"/>
    </xf>
    <xf numFmtId="0" fontId="11" fillId="9" borderId="77" xfId="8" applyFont="1" applyFill="1" applyBorder="1" applyAlignment="1">
      <alignment horizontal="center" vertical="center"/>
    </xf>
    <xf numFmtId="0" fontId="11" fillId="9" borderId="78" xfId="8" applyFont="1" applyFill="1" applyBorder="1" applyAlignment="1">
      <alignment horizontal="center" vertical="center"/>
    </xf>
    <xf numFmtId="0" fontId="11" fillId="9" borderId="2" xfId="8" applyFont="1" applyFill="1" applyBorder="1" applyAlignment="1">
      <alignment horizontal="center" vertical="center" wrapText="1"/>
    </xf>
    <xf numFmtId="0" fontId="11" fillId="9" borderId="3" xfId="8" applyFont="1" applyFill="1" applyBorder="1" applyAlignment="1">
      <alignment horizontal="center" vertical="center" wrapText="1"/>
    </xf>
    <xf numFmtId="0" fontId="11" fillId="9" borderId="5" xfId="8" applyFont="1" applyFill="1" applyBorder="1" applyAlignment="1">
      <alignment horizontal="center" vertical="center" wrapText="1"/>
    </xf>
    <xf numFmtId="0" fontId="11" fillId="9" borderId="14" xfId="8" applyFont="1" applyFill="1" applyBorder="1" applyAlignment="1">
      <alignment horizontal="center" vertical="center" wrapText="1"/>
    </xf>
    <xf numFmtId="0" fontId="11" fillId="9" borderId="16" xfId="8" applyFont="1" applyFill="1" applyBorder="1" applyAlignment="1">
      <alignment horizontal="center" vertical="center" wrapText="1"/>
    </xf>
    <xf numFmtId="0" fontId="11" fillId="9" borderId="18" xfId="8" applyFont="1" applyFill="1" applyBorder="1" applyAlignment="1">
      <alignment horizontal="center" vertical="center" wrapText="1"/>
    </xf>
    <xf numFmtId="2" fontId="36" fillId="9" borderId="45" xfId="8" applyNumberFormat="1" applyFont="1" applyFill="1" applyBorder="1" applyAlignment="1">
      <alignment horizontal="left" vertical="center" wrapText="1"/>
    </xf>
    <xf numFmtId="2" fontId="36" fillId="9" borderId="46" xfId="8" applyNumberFormat="1" applyFont="1" applyFill="1" applyBorder="1" applyAlignment="1">
      <alignment horizontal="left" vertical="center" wrapText="1"/>
    </xf>
    <xf numFmtId="2" fontId="36" fillId="16" borderId="24" xfId="8" applyNumberFormat="1" applyFont="1" applyFill="1" applyBorder="1" applyAlignment="1">
      <alignment horizontal="justify" vertical="center" wrapText="1"/>
    </xf>
    <xf numFmtId="0" fontId="36" fillId="16" borderId="25" xfId="8" applyNumberFormat="1" applyFont="1" applyFill="1" applyBorder="1" applyAlignment="1">
      <alignment horizontal="justify" vertical="center" wrapText="1"/>
    </xf>
    <xf numFmtId="0" fontId="36" fillId="16" borderId="75" xfId="8" applyNumberFormat="1" applyFont="1" applyFill="1" applyBorder="1" applyAlignment="1">
      <alignment horizontal="justify" vertical="center" wrapText="1"/>
    </xf>
    <xf numFmtId="0" fontId="36" fillId="16" borderId="8" xfId="8" applyNumberFormat="1" applyFont="1" applyFill="1" applyBorder="1" applyAlignment="1">
      <alignment horizontal="justify" vertical="center" wrapText="1"/>
    </xf>
    <xf numFmtId="0" fontId="36" fillId="16" borderId="7" xfId="8" applyNumberFormat="1" applyFont="1" applyFill="1" applyBorder="1" applyAlignment="1">
      <alignment horizontal="justify" vertical="center" wrapText="1"/>
    </xf>
    <xf numFmtId="0" fontId="36" fillId="16" borderId="47" xfId="8" applyNumberFormat="1" applyFont="1" applyFill="1" applyBorder="1" applyAlignment="1">
      <alignment horizontal="justify" vertical="center" wrapText="1"/>
    </xf>
    <xf numFmtId="0" fontId="15" fillId="0" borderId="1" xfId="8" applyFont="1" applyFill="1" applyBorder="1" applyAlignment="1">
      <alignment horizontal="center" vertical="center"/>
    </xf>
    <xf numFmtId="0" fontId="15" fillId="0" borderId="1" xfId="8" applyFont="1" applyBorder="1" applyAlignment="1">
      <alignment horizontal="center" vertical="center"/>
    </xf>
    <xf numFmtId="0" fontId="15" fillId="0" borderId="1" xfId="8" applyFont="1" applyBorder="1" applyAlignment="1">
      <alignment horizontal="center" vertical="center" wrapText="1"/>
    </xf>
    <xf numFmtId="0" fontId="11" fillId="9" borderId="79" xfId="8" applyFont="1" applyFill="1" applyBorder="1" applyAlignment="1">
      <alignment horizontal="left" vertical="center"/>
    </xf>
    <xf numFmtId="0" fontId="11" fillId="9" borderId="38" xfId="8" applyFont="1" applyFill="1" applyBorder="1" applyAlignment="1">
      <alignment horizontal="left" vertical="center"/>
    </xf>
    <xf numFmtId="0" fontId="11" fillId="9" borderId="80" xfId="8" applyFont="1" applyFill="1" applyBorder="1" applyAlignment="1">
      <alignment horizontal="left" vertical="center"/>
    </xf>
    <xf numFmtId="0" fontId="11" fillId="9" borderId="79" xfId="8" applyFont="1" applyFill="1" applyBorder="1" applyAlignment="1">
      <alignment vertical="center"/>
    </xf>
    <xf numFmtId="0" fontId="11" fillId="9" borderId="38" xfId="8" applyFont="1" applyFill="1" applyBorder="1" applyAlignment="1">
      <alignment vertical="center"/>
    </xf>
    <xf numFmtId="2" fontId="40" fillId="15" borderId="48" xfId="8" applyNumberFormat="1" applyFont="1" applyFill="1" applyBorder="1" applyAlignment="1">
      <alignment horizontal="left" vertical="center"/>
    </xf>
    <xf numFmtId="0" fontId="40" fillId="15" borderId="48" xfId="8" applyFont="1" applyFill="1" applyBorder="1" applyAlignment="1">
      <alignment horizontal="left" vertical="center"/>
    </xf>
    <xf numFmtId="2" fontId="36" fillId="16" borderId="24" xfId="8" applyNumberFormat="1" applyFont="1" applyFill="1" applyBorder="1" applyAlignment="1">
      <alignment horizontal="left" vertical="center" wrapText="1"/>
    </xf>
    <xf numFmtId="0" fontId="36" fillId="16" borderId="25" xfId="8" applyNumberFormat="1" applyFont="1" applyFill="1" applyBorder="1" applyAlignment="1">
      <alignment horizontal="left" vertical="center" wrapText="1"/>
    </xf>
    <xf numFmtId="0" fontId="36" fillId="16" borderId="75" xfId="8" applyNumberFormat="1" applyFont="1" applyFill="1" applyBorder="1" applyAlignment="1">
      <alignment horizontal="left" vertical="center" wrapText="1"/>
    </xf>
    <xf numFmtId="0" fontId="36" fillId="16" borderId="8" xfId="8" applyNumberFormat="1" applyFont="1" applyFill="1" applyBorder="1" applyAlignment="1">
      <alignment horizontal="left" vertical="center" wrapText="1"/>
    </xf>
    <xf numFmtId="0" fontId="36" fillId="16" borderId="7" xfId="8" applyNumberFormat="1" applyFont="1" applyFill="1" applyBorder="1" applyAlignment="1">
      <alignment horizontal="left" vertical="center" wrapText="1"/>
    </xf>
    <xf numFmtId="0" fontId="36" fillId="16" borderId="47" xfId="8" applyNumberFormat="1" applyFont="1" applyFill="1" applyBorder="1" applyAlignment="1">
      <alignment horizontal="left" vertical="center" wrapText="1"/>
    </xf>
    <xf numFmtId="2" fontId="36" fillId="9" borderId="45" xfId="8" applyNumberFormat="1" applyFont="1" applyFill="1" applyBorder="1" applyAlignment="1">
      <alignment horizontal="left" vertical="center"/>
    </xf>
    <xf numFmtId="2" fontId="36" fillId="9" borderId="46" xfId="8" applyNumberFormat="1" applyFont="1" applyFill="1" applyBorder="1" applyAlignment="1">
      <alignment horizontal="left" vertical="center"/>
    </xf>
    <xf numFmtId="2" fontId="36" fillId="16" borderId="25" xfId="8" applyNumberFormat="1" applyFont="1" applyFill="1" applyBorder="1" applyAlignment="1">
      <alignment horizontal="justify" vertical="center" wrapText="1"/>
    </xf>
    <xf numFmtId="2" fontId="36" fillId="16" borderId="75" xfId="8" applyNumberFormat="1" applyFont="1" applyFill="1" applyBorder="1" applyAlignment="1">
      <alignment horizontal="justify" vertical="center" wrapText="1"/>
    </xf>
    <xf numFmtId="2" fontId="36" fillId="16" borderId="8" xfId="8" applyNumberFormat="1" applyFont="1" applyFill="1" applyBorder="1" applyAlignment="1">
      <alignment horizontal="justify" vertical="center" wrapText="1"/>
    </xf>
    <xf numFmtId="2" fontId="36" fillId="16" borderId="7" xfId="8" applyNumberFormat="1" applyFont="1" applyFill="1" applyBorder="1" applyAlignment="1">
      <alignment horizontal="justify" vertical="center" wrapText="1"/>
    </xf>
    <xf numFmtId="2" fontId="36" fillId="16" borderId="47" xfId="8" applyNumberFormat="1" applyFont="1" applyFill="1" applyBorder="1" applyAlignment="1">
      <alignment horizontal="justify" vertical="center" wrapText="1"/>
    </xf>
    <xf numFmtId="2" fontId="36" fillId="9" borderId="1" xfId="8" applyNumberFormat="1" applyFont="1" applyFill="1" applyBorder="1" applyAlignment="1">
      <alignment horizontal="left" vertical="center"/>
    </xf>
    <xf numFmtId="0" fontId="15" fillId="0" borderId="34" xfId="8" applyFont="1" applyBorder="1" applyAlignment="1">
      <alignment horizontal="center" vertical="center"/>
    </xf>
    <xf numFmtId="0" fontId="15" fillId="9" borderId="1" xfId="8" applyFont="1" applyFill="1" applyBorder="1" applyAlignment="1">
      <alignment horizontal="center" vertical="center" wrapText="1"/>
    </xf>
    <xf numFmtId="0" fontId="15" fillId="9" borderId="34" xfId="8" applyFont="1" applyFill="1" applyBorder="1" applyAlignment="1">
      <alignment horizontal="center" vertical="center"/>
    </xf>
    <xf numFmtId="2" fontId="40" fillId="15" borderId="1" xfId="8" applyNumberFormat="1" applyFont="1" applyFill="1" applyBorder="1" applyAlignment="1">
      <alignment horizontal="left" vertical="center"/>
    </xf>
    <xf numFmtId="0" fontId="40" fillId="15" borderId="1" xfId="8" applyFont="1" applyFill="1" applyBorder="1" applyAlignment="1">
      <alignment horizontal="left" vertical="center"/>
    </xf>
    <xf numFmtId="0" fontId="15" fillId="9" borderId="1" xfId="8" applyFont="1" applyFill="1" applyBorder="1" applyAlignment="1">
      <alignment horizontal="center" vertical="center"/>
    </xf>
    <xf numFmtId="0" fontId="15" fillId="0" borderId="34" xfId="8" applyFont="1" applyBorder="1" applyAlignment="1">
      <alignment horizontal="center" vertical="center" wrapText="1"/>
    </xf>
    <xf numFmtId="0" fontId="15" fillId="0" borderId="48" xfId="8" applyFont="1" applyBorder="1" applyAlignment="1">
      <alignment horizontal="center" vertical="center" wrapText="1"/>
    </xf>
    <xf numFmtId="0" fontId="15" fillId="0" borderId="48" xfId="8" applyFont="1" applyBorder="1" applyAlignment="1">
      <alignment horizontal="center" vertical="center"/>
    </xf>
    <xf numFmtId="2" fontId="36" fillId="16" borderId="25" xfId="8" applyNumberFormat="1" applyFont="1" applyFill="1" applyBorder="1" applyAlignment="1">
      <alignment horizontal="left" vertical="center" wrapText="1"/>
    </xf>
    <xf numFmtId="2" fontId="36" fillId="16" borderId="75" xfId="8" applyNumberFormat="1" applyFont="1" applyFill="1" applyBorder="1" applyAlignment="1">
      <alignment horizontal="left" vertical="center" wrapText="1"/>
    </xf>
    <xf numFmtId="2" fontId="36" fillId="16" borderId="8" xfId="8" applyNumberFormat="1" applyFont="1" applyFill="1" applyBorder="1" applyAlignment="1">
      <alignment horizontal="left" vertical="center" wrapText="1"/>
    </xf>
    <xf numFmtId="2" fontId="36" fillId="16" borderId="7" xfId="8" applyNumberFormat="1" applyFont="1" applyFill="1" applyBorder="1" applyAlignment="1">
      <alignment horizontal="left" vertical="center" wrapText="1"/>
    </xf>
    <xf numFmtId="2" fontId="36" fillId="16" borderId="47" xfId="8" applyNumberFormat="1" applyFont="1" applyFill="1" applyBorder="1" applyAlignment="1">
      <alignment horizontal="left" vertical="center" wrapText="1"/>
    </xf>
    <xf numFmtId="0" fontId="31" fillId="0" borderId="7" xfId="0" applyFont="1" applyBorder="1" applyAlignment="1" applyProtection="1">
      <alignment horizontal="center"/>
      <protection locked="0"/>
    </xf>
    <xf numFmtId="0" fontId="31" fillId="0" borderId="16" xfId="0" applyFont="1" applyBorder="1" applyAlignment="1" applyProtection="1">
      <alignment horizontal="left"/>
      <protection locked="0"/>
    </xf>
    <xf numFmtId="0" fontId="35" fillId="10" borderId="0" xfId="0" applyFont="1" applyFill="1" applyBorder="1" applyAlignment="1">
      <alignment horizontal="center" vertical="center"/>
    </xf>
    <xf numFmtId="0" fontId="31" fillId="0" borderId="64" xfId="0" applyFont="1" applyBorder="1" applyAlignment="1" applyProtection="1">
      <alignment horizontal="center" vertical="center"/>
      <protection locked="0"/>
    </xf>
    <xf numFmtId="2" fontId="31" fillId="0" borderId="1" xfId="0" applyNumberFormat="1" applyFont="1" applyBorder="1" applyAlignment="1" applyProtection="1">
      <alignment horizontal="center" vertical="center"/>
      <protection locked="0"/>
    </xf>
    <xf numFmtId="0" fontId="31" fillId="0" borderId="1" xfId="0" applyFont="1" applyBorder="1" applyAlignment="1" applyProtection="1">
      <alignment horizontal="center" vertical="center"/>
      <protection locked="0"/>
    </xf>
    <xf numFmtId="0" fontId="31" fillId="0" borderId="65" xfId="0" applyFont="1" applyBorder="1" applyAlignment="1" applyProtection="1">
      <alignment horizontal="center" vertical="center"/>
      <protection locked="0"/>
    </xf>
    <xf numFmtId="0" fontId="31" fillId="0" borderId="66" xfId="0" applyFont="1" applyBorder="1" applyAlignment="1" applyProtection="1">
      <alignment horizontal="center" vertical="center"/>
      <protection locked="0"/>
    </xf>
    <xf numFmtId="0" fontId="31" fillId="0" borderId="64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31" fillId="0" borderId="25" xfId="0" applyFont="1" applyBorder="1" applyAlignment="1" applyProtection="1">
      <alignment horizontal="left"/>
      <protection locked="0"/>
    </xf>
    <xf numFmtId="0" fontId="31" fillId="0" borderId="25" xfId="0" applyFont="1" applyBorder="1" applyAlignment="1" applyProtection="1">
      <alignment horizontal="center"/>
      <protection locked="0"/>
    </xf>
    <xf numFmtId="0" fontId="33" fillId="0" borderId="67" xfId="0" applyFont="1" applyBorder="1" applyAlignment="1" applyProtection="1">
      <alignment horizontal="center"/>
      <protection locked="0"/>
    </xf>
    <xf numFmtId="0" fontId="33" fillId="0" borderId="20" xfId="0" applyFont="1" applyBorder="1" applyAlignment="1" applyProtection="1">
      <alignment horizontal="center"/>
      <protection locked="0"/>
    </xf>
    <xf numFmtId="0" fontId="33" fillId="0" borderId="22" xfId="0" applyFont="1" applyBorder="1" applyAlignment="1" applyProtection="1">
      <alignment horizontal="center"/>
      <protection locked="0"/>
    </xf>
    <xf numFmtId="17" fontId="31" fillId="0" borderId="60" xfId="0" applyNumberFormat="1" applyFont="1" applyBorder="1" applyAlignment="1" applyProtection="1">
      <alignment horizontal="center" vertical="center"/>
      <protection locked="0"/>
    </xf>
    <xf numFmtId="17" fontId="31" fillId="0" borderId="76" xfId="0" applyNumberFormat="1" applyFont="1" applyBorder="1" applyAlignment="1" applyProtection="1">
      <alignment horizontal="center" vertical="center"/>
      <protection locked="0"/>
    </xf>
    <xf numFmtId="0" fontId="31" fillId="0" borderId="45" xfId="0" applyFont="1" applyBorder="1" applyAlignment="1" applyProtection="1">
      <alignment horizontal="center" vertical="center"/>
      <protection locked="0"/>
    </xf>
    <xf numFmtId="0" fontId="31" fillId="0" borderId="60" xfId="0" applyFont="1" applyBorder="1" applyAlignment="1" applyProtection="1">
      <alignment horizontal="center" vertical="center"/>
      <protection locked="0"/>
    </xf>
    <xf numFmtId="164" fontId="31" fillId="0" borderId="45" xfId="2" applyNumberFormat="1" applyFont="1" applyBorder="1" applyAlignment="1" applyProtection="1">
      <alignment horizontal="center" vertical="center"/>
      <protection locked="0"/>
    </xf>
    <xf numFmtId="164" fontId="31" fillId="0" borderId="46" xfId="2" applyNumberFormat="1" applyFont="1" applyBorder="1" applyAlignment="1" applyProtection="1">
      <alignment horizontal="center" vertical="center"/>
      <protection locked="0"/>
    </xf>
    <xf numFmtId="0" fontId="31" fillId="0" borderId="64" xfId="0" applyFont="1" applyBorder="1" applyAlignment="1" applyProtection="1">
      <alignment horizontal="left" vertical="center"/>
      <protection locked="0"/>
    </xf>
    <xf numFmtId="0" fontId="31" fillId="0" borderId="34" xfId="0" applyFont="1" applyBorder="1" applyAlignment="1" applyProtection="1">
      <alignment horizontal="left" vertical="center"/>
      <protection locked="0"/>
    </xf>
    <xf numFmtId="0" fontId="31" fillId="0" borderId="24" xfId="0" applyFont="1" applyBorder="1" applyAlignment="1" applyProtection="1">
      <alignment horizontal="center" vertical="center" wrapText="1"/>
      <protection locked="0"/>
    </xf>
    <xf numFmtId="0" fontId="31" fillId="0" borderId="25" xfId="0" applyFont="1" applyBorder="1" applyAlignment="1" applyProtection="1">
      <alignment horizontal="center" vertical="center" wrapText="1"/>
      <protection locked="0"/>
    </xf>
    <xf numFmtId="0" fontId="31" fillId="0" borderId="81" xfId="0" applyFont="1" applyBorder="1" applyAlignment="1" applyProtection="1">
      <alignment horizontal="center" vertical="center" wrapText="1"/>
      <protection locked="0"/>
    </xf>
    <xf numFmtId="0" fontId="31" fillId="0" borderId="8" xfId="0" applyFont="1" applyBorder="1" applyAlignment="1" applyProtection="1">
      <alignment horizontal="center" vertical="center" wrapText="1"/>
      <protection locked="0"/>
    </xf>
    <xf numFmtId="0" fontId="31" fillId="0" borderId="7" xfId="0" applyFont="1" applyBorder="1" applyAlignment="1" applyProtection="1">
      <alignment horizontal="center" vertical="center" wrapText="1"/>
      <protection locked="0"/>
    </xf>
    <xf numFmtId="0" fontId="31" fillId="0" borderId="9" xfId="0" applyFont="1" applyBorder="1" applyAlignment="1" applyProtection="1">
      <alignment horizontal="center" vertical="center" wrapText="1"/>
      <protection locked="0"/>
    </xf>
    <xf numFmtId="2" fontId="31" fillId="0" borderId="25" xfId="0" applyNumberFormat="1" applyFont="1" applyBorder="1" applyAlignment="1" applyProtection="1">
      <alignment horizontal="center" vertical="center" wrapText="1"/>
      <protection locked="0"/>
    </xf>
    <xf numFmtId="2" fontId="31" fillId="0" borderId="7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5" xfId="0" applyBorder="1" applyAlignment="1">
      <alignment horizontal="center"/>
    </xf>
    <xf numFmtId="0" fontId="8" fillId="0" borderId="17" xfId="0" applyFont="1" applyBorder="1" applyAlignment="1">
      <alignment horizontal="left"/>
    </xf>
    <xf numFmtId="0" fontId="8" fillId="0" borderId="16" xfId="0" applyFont="1" applyBorder="1" applyAlignment="1">
      <alignment horizontal="left"/>
    </xf>
    <xf numFmtId="0" fontId="8" fillId="0" borderId="15" xfId="0" applyFont="1" applyBorder="1" applyAlignment="1">
      <alignment horizontal="left"/>
    </xf>
    <xf numFmtId="0" fontId="9" fillId="0" borderId="67" xfId="0" quotePrefix="1" applyFont="1" applyBorder="1" applyAlignment="1" applyProtection="1">
      <alignment horizontal="center" vertical="center"/>
      <protection locked="0"/>
    </xf>
    <xf numFmtId="0" fontId="0" fillId="0" borderId="20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67" xfId="0" applyFont="1" applyBorder="1" applyAlignment="1" applyProtection="1">
      <alignment horizontal="right" vertical="center"/>
      <protection locked="0"/>
    </xf>
    <xf numFmtId="0" fontId="0" fillId="0" borderId="20" xfId="0" applyBorder="1" applyAlignment="1">
      <alignment horizontal="right" vertical="center"/>
    </xf>
    <xf numFmtId="0" fontId="0" fillId="0" borderId="14" xfId="0" applyBorder="1" applyAlignment="1">
      <alignment horizontal="center"/>
    </xf>
    <xf numFmtId="0" fontId="0" fillId="0" borderId="17" xfId="0" applyBorder="1" applyAlignment="1">
      <alignment horizontal="center"/>
    </xf>
    <xf numFmtId="0" fontId="4" fillId="0" borderId="0" xfId="0" applyFont="1" applyAlignment="1">
      <alignment horizontal="justify"/>
    </xf>
    <xf numFmtId="0" fontId="0" fillId="0" borderId="0" xfId="0" applyAlignment="1"/>
    <xf numFmtId="0" fontId="0" fillId="0" borderId="0" xfId="0" applyBorder="1" applyAlignment="1"/>
    <xf numFmtId="0" fontId="3" fillId="0" borderId="12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4" fillId="0" borderId="0" xfId="0" applyFont="1" applyBorder="1" applyAlignment="1">
      <alignment horizontal="justify"/>
    </xf>
    <xf numFmtId="3" fontId="20" fillId="13" borderId="45" xfId="5" applyFont="1" applyFill="1" applyBorder="1" applyAlignment="1">
      <alignment horizontal="right" vertical="center"/>
    </xf>
    <xf numFmtId="3" fontId="20" fillId="13" borderId="60" xfId="5" applyFont="1" applyFill="1" applyBorder="1" applyAlignment="1">
      <alignment horizontal="right" vertical="center"/>
    </xf>
    <xf numFmtId="3" fontId="20" fillId="13" borderId="46" xfId="5" applyFont="1" applyFill="1" applyBorder="1" applyAlignment="1">
      <alignment horizontal="right" vertical="center"/>
    </xf>
    <xf numFmtId="3" fontId="21" fillId="7" borderId="45" xfId="5" applyFont="1" applyFill="1" applyBorder="1" applyAlignment="1">
      <alignment horizontal="right" vertical="center"/>
    </xf>
    <xf numFmtId="3" fontId="21" fillId="7" borderId="60" xfId="5" applyFont="1" applyFill="1" applyBorder="1" applyAlignment="1">
      <alignment horizontal="right" vertical="center"/>
    </xf>
    <xf numFmtId="3" fontId="21" fillId="7" borderId="46" xfId="5" applyFont="1" applyFill="1" applyBorder="1" applyAlignment="1">
      <alignment horizontal="right" vertical="center"/>
    </xf>
    <xf numFmtId="2" fontId="21" fillId="7" borderId="41" xfId="5" applyNumberFormat="1" applyFont="1" applyFill="1" applyBorder="1" applyAlignment="1">
      <alignment horizontal="left" vertical="center"/>
    </xf>
    <xf numFmtId="2" fontId="21" fillId="7" borderId="69" xfId="5" applyNumberFormat="1" applyFont="1" applyFill="1" applyBorder="1" applyAlignment="1">
      <alignment horizontal="left" vertical="center"/>
    </xf>
    <xf numFmtId="2" fontId="21" fillId="7" borderId="70" xfId="5" applyNumberFormat="1" applyFont="1" applyFill="1" applyBorder="1" applyAlignment="1">
      <alignment horizontal="left" vertical="center"/>
    </xf>
    <xf numFmtId="2" fontId="21" fillId="7" borderId="40" xfId="5" applyNumberFormat="1" applyFont="1" applyFill="1" applyBorder="1" applyAlignment="1">
      <alignment horizontal="left" vertical="center"/>
    </xf>
    <xf numFmtId="2" fontId="21" fillId="7" borderId="45" xfId="5" applyNumberFormat="1" applyFont="1" applyFill="1" applyBorder="1" applyAlignment="1">
      <alignment horizontal="left" vertical="center"/>
    </xf>
    <xf numFmtId="2" fontId="21" fillId="7" borderId="60" xfId="5" applyNumberFormat="1" applyFont="1" applyFill="1" applyBorder="1" applyAlignment="1">
      <alignment horizontal="left" vertical="center"/>
    </xf>
    <xf numFmtId="2" fontId="21" fillId="7" borderId="46" xfId="5" applyNumberFormat="1" applyFont="1" applyFill="1" applyBorder="1" applyAlignment="1">
      <alignment horizontal="left" vertical="center"/>
    </xf>
    <xf numFmtId="2" fontId="20" fillId="7" borderId="45" xfId="5" applyNumberFormat="1" applyFont="1" applyFill="1" applyBorder="1" applyAlignment="1">
      <alignment horizontal="left" vertical="center"/>
    </xf>
    <xf numFmtId="2" fontId="20" fillId="7" borderId="60" xfId="5" applyNumberFormat="1" applyFont="1" applyFill="1" applyBorder="1" applyAlignment="1">
      <alignment horizontal="left" vertical="center"/>
    </xf>
    <xf numFmtId="2" fontId="20" fillId="7" borderId="46" xfId="5" applyNumberFormat="1" applyFont="1" applyFill="1" applyBorder="1" applyAlignment="1">
      <alignment horizontal="left" vertical="center"/>
    </xf>
    <xf numFmtId="3" fontId="20" fillId="0" borderId="45" xfId="5" applyFont="1" applyFill="1" applyBorder="1" applyAlignment="1">
      <alignment horizontal="center" vertical="center"/>
    </xf>
    <xf numFmtId="3" fontId="20" fillId="0" borderId="60" xfId="5" applyFont="1" applyFill="1" applyBorder="1" applyAlignment="1">
      <alignment horizontal="center" vertical="center"/>
    </xf>
    <xf numFmtId="3" fontId="20" fillId="0" borderId="46" xfId="5" applyFont="1" applyFill="1" applyBorder="1" applyAlignment="1">
      <alignment horizontal="center" vertical="center"/>
    </xf>
    <xf numFmtId="3" fontId="20" fillId="13" borderId="1" xfId="5" applyFont="1" applyFill="1" applyBorder="1" applyAlignment="1">
      <alignment horizontal="right" vertical="center"/>
    </xf>
    <xf numFmtId="3" fontId="20" fillId="6" borderId="45" xfId="5" applyFont="1" applyFill="1" applyBorder="1" applyAlignment="1">
      <alignment horizontal="center" vertical="center" wrapText="1"/>
    </xf>
    <xf numFmtId="3" fontId="20" fillId="6" borderId="60" xfId="5" applyFont="1" applyFill="1" applyBorder="1" applyAlignment="1">
      <alignment horizontal="center" vertical="center" wrapText="1"/>
    </xf>
    <xf numFmtId="3" fontId="20" fillId="6" borderId="46" xfId="5" applyFont="1" applyFill="1" applyBorder="1" applyAlignment="1">
      <alignment horizontal="center" vertical="center" wrapText="1"/>
    </xf>
    <xf numFmtId="3" fontId="21" fillId="7" borderId="45" xfId="5" applyFont="1" applyFill="1" applyBorder="1" applyAlignment="1">
      <alignment horizontal="left" vertical="center" wrapText="1"/>
    </xf>
    <xf numFmtId="3" fontId="21" fillId="7" borderId="60" xfId="5" applyFont="1" applyFill="1" applyBorder="1" applyAlignment="1">
      <alignment horizontal="left" vertical="center"/>
    </xf>
    <xf numFmtId="3" fontId="21" fillId="7" borderId="46" xfId="5" applyFont="1" applyFill="1" applyBorder="1" applyAlignment="1">
      <alignment horizontal="left" vertical="center"/>
    </xf>
    <xf numFmtId="3" fontId="21" fillId="7" borderId="60" xfId="5" applyFont="1" applyFill="1" applyBorder="1" applyAlignment="1">
      <alignment horizontal="left" vertical="center" wrapText="1"/>
    </xf>
    <xf numFmtId="3" fontId="21" fillId="7" borderId="46" xfId="5" applyFont="1" applyFill="1" applyBorder="1" applyAlignment="1">
      <alignment horizontal="left" vertical="center" wrapText="1"/>
    </xf>
    <xf numFmtId="3" fontId="20" fillId="13" borderId="12" xfId="5" applyFont="1" applyFill="1" applyBorder="1" applyAlignment="1">
      <alignment horizontal="right" vertical="center"/>
    </xf>
    <xf numFmtId="3" fontId="20" fillId="13" borderId="0" xfId="5" applyFont="1" applyFill="1" applyBorder="1" applyAlignment="1">
      <alignment horizontal="right" vertical="center"/>
    </xf>
    <xf numFmtId="3" fontId="20" fillId="13" borderId="11" xfId="5" applyFont="1" applyFill="1" applyBorder="1" applyAlignment="1">
      <alignment horizontal="right" vertical="center"/>
    </xf>
    <xf numFmtId="0" fontId="24" fillId="0" borderId="0" xfId="9" applyFont="1" applyAlignment="1">
      <alignment horizontal="justify" vertical="center"/>
    </xf>
    <xf numFmtId="0" fontId="23" fillId="0" borderId="0" xfId="9" applyFont="1" applyBorder="1" applyAlignment="1">
      <alignment horizontal="center" vertical="center"/>
    </xf>
    <xf numFmtId="0" fontId="3" fillId="8" borderId="71" xfId="9" applyFont="1" applyFill="1" applyBorder="1" applyAlignment="1">
      <alignment horizontal="center" vertical="center"/>
    </xf>
    <xf numFmtId="0" fontId="3" fillId="8" borderId="72" xfId="9" applyFont="1" applyFill="1" applyBorder="1" applyAlignment="1">
      <alignment horizontal="center" vertical="center"/>
    </xf>
    <xf numFmtId="0" fontId="3" fillId="8" borderId="49" xfId="9" applyFont="1" applyFill="1" applyBorder="1" applyAlignment="1">
      <alignment horizontal="center" vertical="center"/>
    </xf>
    <xf numFmtId="0" fontId="3" fillId="8" borderId="52" xfId="9" applyFont="1" applyFill="1" applyBorder="1" applyAlignment="1">
      <alignment horizontal="center" vertical="center"/>
    </xf>
    <xf numFmtId="0" fontId="23" fillId="0" borderId="0" xfId="9" applyFont="1" applyAlignment="1">
      <alignment horizontal="center" vertical="center"/>
    </xf>
    <xf numFmtId="0" fontId="1" fillId="0" borderId="0" xfId="9" applyFont="1" applyBorder="1" applyAlignment="1">
      <alignment vertical="center"/>
    </xf>
    <xf numFmtId="0" fontId="3" fillId="0" borderId="0" xfId="9" applyFont="1" applyBorder="1" applyAlignment="1">
      <alignment horizontal="left" vertical="center"/>
    </xf>
  </cellXfs>
  <cellStyles count="10">
    <cellStyle name="Indefinido" xfId="1"/>
    <cellStyle name="Moeda" xfId="2" builtinId="4"/>
    <cellStyle name="Moeda 2" xfId="3"/>
    <cellStyle name="Normal" xfId="0" builtinId="0"/>
    <cellStyle name="Normal 2" xfId="8"/>
    <cellStyle name="Normal 2 2" xfId="4"/>
    <cellStyle name="Normal 3" xfId="9"/>
    <cellStyle name="Normal_Estrutura_de_preços_-_CODEVASF_versão10" xfId="5"/>
    <cellStyle name="Porcentagem" xfId="6" builtinId="5"/>
    <cellStyle name="Vírgula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28575</xdr:colOff>
          <xdr:row>0</xdr:row>
          <xdr:rowOff>0</xdr:rowOff>
        </xdr:from>
        <xdr:to>
          <xdr:col>4</xdr:col>
          <xdr:colOff>1238250</xdr:colOff>
          <xdr:row>0</xdr:row>
          <xdr:rowOff>0</xdr:rowOff>
        </xdr:to>
        <xdr:sp macro="" textlink="">
          <xdr:nvSpPr>
            <xdr:cNvPr id="6153" name="Object 9" hidden="1">
              <a:extLst>
                <a:ext uri="{63B3BB69-23CF-44E3-9099-C40C66FF867C}">
                  <a14:compatExt spid="_x0000_s6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161925</xdr:colOff>
          <xdr:row>0</xdr:row>
          <xdr:rowOff>114300</xdr:rowOff>
        </xdr:from>
        <xdr:to>
          <xdr:col>4</xdr:col>
          <xdr:colOff>800100</xdr:colOff>
          <xdr:row>2</xdr:row>
          <xdr:rowOff>114300</xdr:rowOff>
        </xdr:to>
        <xdr:sp macro="" textlink="">
          <xdr:nvSpPr>
            <xdr:cNvPr id="6171" name="Object 27" hidden="1">
              <a:extLst>
                <a:ext uri="{63B3BB69-23CF-44E3-9099-C40C66FF867C}">
                  <a14:compatExt spid="_x0000_s6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47625</xdr:rowOff>
    </xdr:from>
    <xdr:to>
      <xdr:col>3</xdr:col>
      <xdr:colOff>501197</xdr:colOff>
      <xdr:row>4</xdr:row>
      <xdr:rowOff>28575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6275" y="47625"/>
          <a:ext cx="3177722" cy="762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</xdr:row>
      <xdr:rowOff>9525</xdr:rowOff>
    </xdr:from>
    <xdr:to>
      <xdr:col>2</xdr:col>
      <xdr:colOff>276225</xdr:colOff>
      <xdr:row>5</xdr:row>
      <xdr:rowOff>0</xdr:rowOff>
    </xdr:to>
    <xdr:sp macro="" textlink="" fLocksText="0">
      <xdr:nvSpPr>
        <xdr:cNvPr id="3073" name="Texto 239"/>
        <xdr:cNvSpPr>
          <a:spLocks noChangeArrowheads="1"/>
        </xdr:cNvSpPr>
      </xdr:nvSpPr>
      <xdr:spPr bwMode="auto">
        <a:xfrm>
          <a:off x="47625" y="123825"/>
          <a:ext cx="885825" cy="723900"/>
        </a:xfrm>
        <a:prstGeom prst="roundRect">
          <a:avLst>
            <a:gd name="adj" fmla="val 16667"/>
          </a:avLst>
        </a:prstGeom>
        <a:noFill/>
        <a:ln w="1714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1300" b="1" i="0" strike="noStrike">
              <a:solidFill>
                <a:srgbClr val="000000"/>
              </a:solidFill>
              <a:latin typeface="Arial"/>
              <a:cs typeface="Arial"/>
            </a:rPr>
            <a:t>SAAE</a:t>
          </a:r>
        </a:p>
        <a:p>
          <a:pPr algn="ctr" rtl="0">
            <a:defRPr sz="1000"/>
          </a:pPr>
          <a:r>
            <a:rPr lang="pt-BR" sz="1300" b="1" i="0" strike="noStrike">
              <a:solidFill>
                <a:srgbClr val="000000"/>
              </a:solidFill>
              <a:latin typeface="Arial"/>
              <a:cs typeface="Arial"/>
            </a:rPr>
            <a:t>CAETÉ</a:t>
          </a:r>
        </a:p>
        <a:p>
          <a:pPr algn="ctr" rtl="0">
            <a:defRPr sz="1000"/>
          </a:pPr>
          <a:r>
            <a:rPr lang="pt-BR" sz="1300" b="1" i="0" strike="noStrike">
              <a:solidFill>
                <a:srgbClr val="000000"/>
              </a:solidFill>
              <a:latin typeface="Arial"/>
              <a:cs typeface="Arial"/>
            </a:rPr>
            <a:t>FNS/MS</a:t>
          </a:r>
        </a:p>
      </xdr:txBody>
    </xdr:sp>
    <xdr:clientData fLocksWithSheet="0"/>
  </xdr:twoCellAnchor>
  <xdr:twoCellAnchor editAs="oneCell">
    <xdr:from>
      <xdr:col>2</xdr:col>
      <xdr:colOff>388620</xdr:colOff>
      <xdr:row>1</xdr:row>
      <xdr:rowOff>0</xdr:rowOff>
    </xdr:from>
    <xdr:to>
      <xdr:col>3</xdr:col>
      <xdr:colOff>824849</xdr:colOff>
      <xdr:row>5</xdr:row>
      <xdr:rowOff>9525</xdr:rowOff>
    </xdr:to>
    <xdr:sp macro="" textlink="">
      <xdr:nvSpPr>
        <xdr:cNvPr id="3074" name="Texto 240"/>
        <xdr:cNvSpPr>
          <a:spLocks noChangeArrowheads="1"/>
        </xdr:cNvSpPr>
      </xdr:nvSpPr>
      <xdr:spPr bwMode="auto">
        <a:xfrm>
          <a:off x="1038225" y="114300"/>
          <a:ext cx="2590800" cy="742950"/>
        </a:xfrm>
        <a:prstGeom prst="roundRect">
          <a:avLst>
            <a:gd name="adj" fmla="val 16667"/>
          </a:avLst>
        </a:prstGeom>
        <a:noFill/>
        <a:ln w="1714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1400" b="1" i="0" strike="noStrike">
              <a:solidFill>
                <a:srgbClr val="000000"/>
              </a:solidFill>
              <a:latin typeface="Arial"/>
              <a:cs typeface="Arial"/>
            </a:rPr>
            <a:t>ORÇAMENTO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1</xdr:col>
      <xdr:colOff>276225</xdr:colOff>
      <xdr:row>3</xdr:row>
      <xdr:rowOff>285750</xdr:rowOff>
    </xdr:to>
    <xdr:sp macro="" textlink="">
      <xdr:nvSpPr>
        <xdr:cNvPr id="18269" name="AutoShape 1"/>
        <xdr:cNvSpPr>
          <a:spLocks noChangeArrowheads="1"/>
        </xdr:cNvSpPr>
      </xdr:nvSpPr>
      <xdr:spPr bwMode="auto">
        <a:xfrm>
          <a:off x="28575" y="28575"/>
          <a:ext cx="857250" cy="685800"/>
        </a:xfrm>
        <a:prstGeom prst="roundRect">
          <a:avLst>
            <a:gd name="adj" fmla="val 16667"/>
          </a:avLst>
        </a:prstGeom>
        <a:solidFill>
          <a:srgbClr val="FFFFFF"/>
        </a:solidFill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428625</xdr:colOff>
      <xdr:row>0</xdr:row>
      <xdr:rowOff>28575</xdr:rowOff>
    </xdr:from>
    <xdr:to>
      <xdr:col>5</xdr:col>
      <xdr:colOff>409575</xdr:colOff>
      <xdr:row>3</xdr:row>
      <xdr:rowOff>257175</xdr:rowOff>
    </xdr:to>
    <xdr:sp macro="" textlink="">
      <xdr:nvSpPr>
        <xdr:cNvPr id="18270" name="AutoShape 2"/>
        <xdr:cNvSpPr>
          <a:spLocks noChangeArrowheads="1"/>
        </xdr:cNvSpPr>
      </xdr:nvSpPr>
      <xdr:spPr bwMode="auto">
        <a:xfrm>
          <a:off x="1038225" y="28575"/>
          <a:ext cx="2419350" cy="685800"/>
        </a:xfrm>
        <a:prstGeom prst="roundRect">
          <a:avLst>
            <a:gd name="adj" fmla="val 16667"/>
          </a:avLst>
        </a:prstGeom>
        <a:solidFill>
          <a:srgbClr val="FFFFFF"/>
        </a:solidFill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114300</xdr:colOff>
      <xdr:row>0</xdr:row>
      <xdr:rowOff>121920</xdr:rowOff>
    </xdr:from>
    <xdr:to>
      <xdr:col>1</xdr:col>
      <xdr:colOff>180975</xdr:colOff>
      <xdr:row>3</xdr:row>
      <xdr:rowOff>127715</xdr:rowOff>
    </xdr:to>
    <xdr:sp macro="" textlink="">
      <xdr:nvSpPr>
        <xdr:cNvPr id="4099" name="Text Box 3"/>
        <xdr:cNvSpPr txBox="1">
          <a:spLocks noChangeArrowheads="1"/>
        </xdr:cNvSpPr>
      </xdr:nvSpPr>
      <xdr:spPr bwMode="auto">
        <a:xfrm>
          <a:off x="114300" y="114300"/>
          <a:ext cx="676275" cy="5429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/>
              <a:cs typeface="Arial"/>
            </a:rPr>
            <a:t>SAAE</a:t>
          </a:r>
        </a:p>
        <a:p>
          <a:pPr algn="ctr" rtl="0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/>
              <a:cs typeface="Arial"/>
            </a:rPr>
            <a:t>CAETÉ</a:t>
          </a:r>
        </a:p>
        <a:p>
          <a:pPr algn="ctr" rtl="0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/>
              <a:cs typeface="Arial"/>
            </a:rPr>
            <a:t>FNS / MS</a:t>
          </a:r>
        </a:p>
      </xdr:txBody>
    </xdr:sp>
    <xdr:clientData/>
  </xdr:twoCellAnchor>
  <xdr:twoCellAnchor>
    <xdr:from>
      <xdr:col>1</xdr:col>
      <xdr:colOff>533400</xdr:colOff>
      <xdr:row>0</xdr:row>
      <xdr:rowOff>131445</xdr:rowOff>
    </xdr:from>
    <xdr:to>
      <xdr:col>5</xdr:col>
      <xdr:colOff>285750</xdr:colOff>
      <xdr:row>3</xdr:row>
      <xdr:rowOff>106738</xdr:rowOff>
    </xdr:to>
    <xdr:sp macro="" textlink="">
      <xdr:nvSpPr>
        <xdr:cNvPr id="4100" name="Text Box 4"/>
        <xdr:cNvSpPr txBox="1">
          <a:spLocks noChangeArrowheads="1"/>
        </xdr:cNvSpPr>
      </xdr:nvSpPr>
      <xdr:spPr bwMode="auto">
        <a:xfrm>
          <a:off x="1143000" y="123825"/>
          <a:ext cx="2190750" cy="5048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Arial"/>
              <a:cs typeface="Arial"/>
            </a:rPr>
            <a:t>ORÇAMENTO</a:t>
          </a:r>
        </a:p>
        <a:p>
          <a:pPr algn="ctr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mão-de-obra e equipamentos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1</xdr:col>
      <xdr:colOff>276225</xdr:colOff>
      <xdr:row>3</xdr:row>
      <xdr:rowOff>285750</xdr:rowOff>
    </xdr:to>
    <xdr:sp macro="" textlink="">
      <xdr:nvSpPr>
        <xdr:cNvPr id="19293" name="AutoShape 1"/>
        <xdr:cNvSpPr>
          <a:spLocks noChangeArrowheads="1"/>
        </xdr:cNvSpPr>
      </xdr:nvSpPr>
      <xdr:spPr bwMode="auto">
        <a:xfrm>
          <a:off x="28575" y="28575"/>
          <a:ext cx="857250" cy="685800"/>
        </a:xfrm>
        <a:prstGeom prst="roundRect">
          <a:avLst>
            <a:gd name="adj" fmla="val 16667"/>
          </a:avLst>
        </a:prstGeom>
        <a:solidFill>
          <a:srgbClr val="FFFFFF"/>
        </a:solidFill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428625</xdr:colOff>
      <xdr:row>0</xdr:row>
      <xdr:rowOff>28575</xdr:rowOff>
    </xdr:from>
    <xdr:to>
      <xdr:col>5</xdr:col>
      <xdr:colOff>409575</xdr:colOff>
      <xdr:row>3</xdr:row>
      <xdr:rowOff>257175</xdr:rowOff>
    </xdr:to>
    <xdr:sp macro="" textlink="">
      <xdr:nvSpPr>
        <xdr:cNvPr id="19294" name="AutoShape 2"/>
        <xdr:cNvSpPr>
          <a:spLocks noChangeArrowheads="1"/>
        </xdr:cNvSpPr>
      </xdr:nvSpPr>
      <xdr:spPr bwMode="auto">
        <a:xfrm>
          <a:off x="1038225" y="28575"/>
          <a:ext cx="2419350" cy="685800"/>
        </a:xfrm>
        <a:prstGeom prst="roundRect">
          <a:avLst>
            <a:gd name="adj" fmla="val 16667"/>
          </a:avLst>
        </a:prstGeom>
        <a:solidFill>
          <a:srgbClr val="FFFFFF"/>
        </a:solidFill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114300</xdr:colOff>
      <xdr:row>0</xdr:row>
      <xdr:rowOff>121920</xdr:rowOff>
    </xdr:from>
    <xdr:to>
      <xdr:col>1</xdr:col>
      <xdr:colOff>180975</xdr:colOff>
      <xdr:row>3</xdr:row>
      <xdr:rowOff>127715</xdr:rowOff>
    </xdr:to>
    <xdr:sp macro="" textlink="">
      <xdr:nvSpPr>
        <xdr:cNvPr id="5123" name="Text Box 3"/>
        <xdr:cNvSpPr txBox="1">
          <a:spLocks noChangeArrowheads="1"/>
        </xdr:cNvSpPr>
      </xdr:nvSpPr>
      <xdr:spPr bwMode="auto">
        <a:xfrm>
          <a:off x="114300" y="114300"/>
          <a:ext cx="676275" cy="5429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/>
              <a:cs typeface="Arial"/>
            </a:rPr>
            <a:t>SAAE</a:t>
          </a:r>
        </a:p>
        <a:p>
          <a:pPr algn="ctr" rtl="0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/>
              <a:cs typeface="Arial"/>
            </a:rPr>
            <a:t>CAETÉ</a:t>
          </a:r>
        </a:p>
        <a:p>
          <a:pPr algn="ctr" rtl="0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/>
              <a:cs typeface="Arial"/>
            </a:rPr>
            <a:t>FNS / MS</a:t>
          </a:r>
        </a:p>
      </xdr:txBody>
    </xdr:sp>
    <xdr:clientData/>
  </xdr:twoCellAnchor>
  <xdr:twoCellAnchor>
    <xdr:from>
      <xdr:col>1</xdr:col>
      <xdr:colOff>533400</xdr:colOff>
      <xdr:row>0</xdr:row>
      <xdr:rowOff>131445</xdr:rowOff>
    </xdr:from>
    <xdr:to>
      <xdr:col>5</xdr:col>
      <xdr:colOff>285750</xdr:colOff>
      <xdr:row>3</xdr:row>
      <xdr:rowOff>106738</xdr:rowOff>
    </xdr:to>
    <xdr:sp macro="" textlink="">
      <xdr:nvSpPr>
        <xdr:cNvPr id="5124" name="Text Box 4"/>
        <xdr:cNvSpPr txBox="1">
          <a:spLocks noChangeArrowheads="1"/>
        </xdr:cNvSpPr>
      </xdr:nvSpPr>
      <xdr:spPr bwMode="auto">
        <a:xfrm>
          <a:off x="1143000" y="123825"/>
          <a:ext cx="2190750" cy="5048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Arial"/>
              <a:cs typeface="Arial"/>
            </a:rPr>
            <a:t>ORÇAMENTO</a:t>
          </a:r>
        </a:p>
        <a:p>
          <a:pPr algn="ctr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Arial"/>
              <a:cs typeface="Arial"/>
            </a:rPr>
            <a:t>materiais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542925</xdr:colOff>
      <xdr:row>19</xdr:row>
      <xdr:rowOff>133350</xdr:rowOff>
    </xdr:from>
    <xdr:to>
      <xdr:col>21</xdr:col>
      <xdr:colOff>561975</xdr:colOff>
      <xdr:row>86</xdr:row>
      <xdr:rowOff>133350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194" t="13362" r="33093" b="5411"/>
        <a:stretch>
          <a:fillRect/>
        </a:stretch>
      </xdr:blipFill>
      <xdr:spPr bwMode="auto">
        <a:xfrm>
          <a:off x="1152525" y="3752850"/>
          <a:ext cx="12211050" cy="1276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">
    <pageSetUpPr fitToPage="1"/>
  </sheetPr>
  <dimension ref="A1:AL57"/>
  <sheetViews>
    <sheetView tabSelected="1" view="pageBreakPreview" topLeftCell="K1" zoomScaleSheetLayoutView="100" workbookViewId="0">
      <selection activeCell="L1" sqref="L1:AG1048576"/>
    </sheetView>
  </sheetViews>
  <sheetFormatPr defaultRowHeight="12" x14ac:dyDescent="0.2"/>
  <cols>
    <col min="1" max="1" width="6.85546875" style="228" customWidth="1"/>
    <col min="2" max="2" width="7.28515625" style="232" customWidth="1"/>
    <col min="3" max="3" width="9.42578125" style="232" bestFit="1" customWidth="1"/>
    <col min="4" max="4" width="9.42578125" style="232" customWidth="1"/>
    <col min="5" max="5" width="78.28515625" style="240" customWidth="1"/>
    <col min="6" max="6" width="8.42578125" style="228" customWidth="1"/>
    <col min="7" max="7" width="11.42578125" style="231" bestFit="1" customWidth="1"/>
    <col min="8" max="9" width="12.42578125" style="231" bestFit="1" customWidth="1"/>
    <col min="10" max="10" width="16.7109375" style="231" customWidth="1"/>
    <col min="11" max="11" width="16.85546875" style="231" customWidth="1"/>
    <col min="12" max="12" width="14.5703125" style="228" hidden="1" customWidth="1"/>
    <col min="13" max="13" width="9.85546875" style="228" hidden="1" customWidth="1"/>
    <col min="14" max="33" width="0" style="228" hidden="1" customWidth="1"/>
    <col min="34" max="16384" width="9.140625" style="228"/>
  </cols>
  <sheetData>
    <row r="1" spans="1:38" ht="19.5" customHeight="1" x14ac:dyDescent="0.2">
      <c r="B1" s="454"/>
      <c r="C1" s="455"/>
      <c r="D1" s="455"/>
      <c r="E1" s="557" t="s">
        <v>461</v>
      </c>
      <c r="F1" s="557"/>
      <c r="G1" s="557"/>
      <c r="H1" s="557"/>
      <c r="I1" s="557"/>
      <c r="J1" s="557"/>
      <c r="K1" s="558"/>
    </row>
    <row r="2" spans="1:38" ht="13.5" customHeight="1" x14ac:dyDescent="0.2">
      <c r="B2" s="456"/>
      <c r="C2" s="281"/>
      <c r="D2" s="281"/>
      <c r="E2" s="561" t="s">
        <v>378</v>
      </c>
      <c r="F2" s="561"/>
      <c r="G2" s="561"/>
      <c r="H2" s="561"/>
      <c r="I2" s="561"/>
      <c r="J2" s="561"/>
      <c r="K2" s="562"/>
      <c r="L2" s="280"/>
    </row>
    <row r="3" spans="1:38" ht="18.75" customHeight="1" thickBot="1" x14ac:dyDescent="0.25">
      <c r="B3" s="457"/>
      <c r="C3" s="282"/>
      <c r="D3" s="282"/>
      <c r="E3" s="559" t="s">
        <v>501</v>
      </c>
      <c r="F3" s="559"/>
      <c r="G3" s="559"/>
      <c r="H3" s="559"/>
      <c r="I3" s="559"/>
      <c r="J3" s="559"/>
      <c r="K3" s="560"/>
    </row>
    <row r="4" spans="1:38" ht="31.5" customHeight="1" thickTop="1" x14ac:dyDescent="0.2">
      <c r="B4" s="458" t="s">
        <v>391</v>
      </c>
      <c r="C4" s="563" t="s">
        <v>492</v>
      </c>
      <c r="D4" s="563"/>
      <c r="E4" s="564"/>
      <c r="F4" s="312"/>
      <c r="G4" s="312"/>
      <c r="H4" s="312"/>
      <c r="I4" s="312"/>
      <c r="J4" s="318" t="s">
        <v>385</v>
      </c>
      <c r="K4" s="459">
        <f>'BDI-SERVIÇOS'!E28</f>
        <v>25.47</v>
      </c>
    </row>
    <row r="5" spans="1:38" ht="18.75" customHeight="1" x14ac:dyDescent="0.2">
      <c r="B5" s="569" t="s">
        <v>503</v>
      </c>
      <c r="C5" s="570"/>
      <c r="D5" s="570"/>
      <c r="E5" s="570"/>
      <c r="F5" s="285"/>
      <c r="G5" s="285"/>
      <c r="H5" s="285"/>
      <c r="I5" s="285"/>
      <c r="J5" s="285"/>
      <c r="K5" s="460"/>
    </row>
    <row r="6" spans="1:38" ht="18.75" customHeight="1" thickBot="1" x14ac:dyDescent="0.25">
      <c r="B6" s="571" t="s">
        <v>447</v>
      </c>
      <c r="C6" s="572"/>
      <c r="D6" s="572"/>
      <c r="E6" s="572"/>
      <c r="F6" s="286"/>
      <c r="G6" s="286"/>
      <c r="H6" s="286"/>
      <c r="I6" s="286"/>
      <c r="J6" s="286"/>
      <c r="K6" s="461"/>
    </row>
    <row r="7" spans="1:38" ht="20.25" customHeight="1" thickTop="1" x14ac:dyDescent="0.2">
      <c r="A7" s="229"/>
      <c r="B7" s="549" t="s">
        <v>292</v>
      </c>
      <c r="C7" s="551" t="s">
        <v>354</v>
      </c>
      <c r="D7" s="551" t="s">
        <v>384</v>
      </c>
      <c r="E7" s="551" t="s">
        <v>303</v>
      </c>
      <c r="F7" s="551" t="s">
        <v>309</v>
      </c>
      <c r="G7" s="567" t="s">
        <v>226</v>
      </c>
      <c r="H7" s="547" t="s">
        <v>379</v>
      </c>
      <c r="I7" s="548"/>
      <c r="J7" s="565" t="s">
        <v>380</v>
      </c>
      <c r="K7" s="566"/>
      <c r="M7" s="266" t="e">
        <f>#REF!</f>
        <v>#REF!</v>
      </c>
      <c r="N7" s="239"/>
    </row>
    <row r="8" spans="1:38" ht="19.5" customHeight="1" x14ac:dyDescent="0.2">
      <c r="A8" s="229"/>
      <c r="B8" s="550"/>
      <c r="C8" s="552"/>
      <c r="D8" s="552"/>
      <c r="E8" s="552"/>
      <c r="F8" s="552"/>
      <c r="G8" s="568"/>
      <c r="H8" s="230" t="s">
        <v>355</v>
      </c>
      <c r="I8" s="230" t="s">
        <v>356</v>
      </c>
      <c r="J8" s="230" t="s">
        <v>355</v>
      </c>
      <c r="K8" s="462" t="s">
        <v>356</v>
      </c>
      <c r="M8" s="238"/>
    </row>
    <row r="9" spans="1:38" s="291" customFormat="1" ht="15" customHeight="1" x14ac:dyDescent="0.2">
      <c r="A9" s="289"/>
      <c r="B9" s="463" t="s">
        <v>393</v>
      </c>
      <c r="C9" s="292"/>
      <c r="D9" s="292"/>
      <c r="E9" s="293" t="s">
        <v>100</v>
      </c>
      <c r="F9" s="294"/>
      <c r="G9" s="295"/>
      <c r="H9" s="296"/>
      <c r="I9" s="297"/>
      <c r="J9" s="299">
        <f>SUM(J10:J12)</f>
        <v>11391.18</v>
      </c>
      <c r="K9" s="464">
        <f>SUM(K10:K14)</f>
        <v>18508.689999999999</v>
      </c>
    </row>
    <row r="10" spans="1:38" s="354" customFormat="1" ht="13.5" customHeight="1" x14ac:dyDescent="0.2">
      <c r="A10" s="353"/>
      <c r="B10" s="465" t="s">
        <v>99</v>
      </c>
      <c r="C10" s="553" t="s">
        <v>325</v>
      </c>
      <c r="D10" s="554"/>
      <c r="E10" s="371" t="s">
        <v>374</v>
      </c>
      <c r="F10" s="372" t="s">
        <v>54</v>
      </c>
      <c r="G10" s="265">
        <f>'Memorial de Cálculo'!I17</f>
        <v>1</v>
      </c>
      <c r="H10" s="320">
        <f>CPU!I25</f>
        <v>4825.51</v>
      </c>
      <c r="I10" s="320">
        <f>ROUND(($K$4/100+1)*H10,2)</f>
        <v>6054.57</v>
      </c>
      <c r="J10" s="373">
        <f>ROUND(H10*G10,2)</f>
        <v>4825.51</v>
      </c>
      <c r="K10" s="466">
        <f>ROUND(I10*G10,2)</f>
        <v>6054.57</v>
      </c>
      <c r="N10" s="544" t="s">
        <v>377</v>
      </c>
      <c r="O10" s="545"/>
      <c r="P10" s="545"/>
      <c r="Q10" s="545"/>
      <c r="R10" s="545"/>
      <c r="S10" s="545"/>
      <c r="T10" s="545"/>
      <c r="U10" s="545"/>
      <c r="V10" s="546"/>
    </row>
    <row r="11" spans="1:38" s="354" customFormat="1" ht="13.5" customHeight="1" x14ac:dyDescent="0.2">
      <c r="A11" s="353"/>
      <c r="B11" s="465" t="s">
        <v>203</v>
      </c>
      <c r="C11" s="553" t="s">
        <v>325</v>
      </c>
      <c r="D11" s="554"/>
      <c r="E11" s="371" t="s">
        <v>358</v>
      </c>
      <c r="F11" s="372" t="s">
        <v>54</v>
      </c>
      <c r="G11" s="265">
        <f>'Memorial de Cálculo'!I23</f>
        <v>1</v>
      </c>
      <c r="H11" s="320">
        <f>CPU!I52</f>
        <v>5165.04</v>
      </c>
      <c r="I11" s="320">
        <f>ROUND(($K$4/100+1)*H11,2)</f>
        <v>6480.58</v>
      </c>
      <c r="J11" s="373">
        <f>ROUND(H11*G11,2)</f>
        <v>5165.04</v>
      </c>
      <c r="K11" s="466">
        <f>ROUND(I11*G11,2)</f>
        <v>6480.58</v>
      </c>
    </row>
    <row r="12" spans="1:38" s="354" customFormat="1" ht="12.75" customHeight="1" x14ac:dyDescent="0.2">
      <c r="A12" s="353"/>
      <c r="B12" s="465" t="s">
        <v>293</v>
      </c>
      <c r="C12" s="453" t="s">
        <v>324</v>
      </c>
      <c r="D12" s="374" t="s">
        <v>357</v>
      </c>
      <c r="E12" s="375" t="s">
        <v>383</v>
      </c>
      <c r="F12" s="372" t="s">
        <v>386</v>
      </c>
      <c r="G12" s="265">
        <f>'Memorial de Cálculo'!I29</f>
        <v>4.5</v>
      </c>
      <c r="H12" s="320">
        <v>311.25</v>
      </c>
      <c r="I12" s="320">
        <f>ROUND(($K$4/100+1)*H12,2)</f>
        <v>390.53</v>
      </c>
      <c r="J12" s="373">
        <f>ROUND(H12*G12,2)</f>
        <v>1400.63</v>
      </c>
      <c r="K12" s="466">
        <f>ROUND(I12*G12,2)</f>
        <v>1757.39</v>
      </c>
      <c r="N12" s="354">
        <f>1.5*3</f>
        <v>4.5</v>
      </c>
    </row>
    <row r="13" spans="1:38" s="354" customFormat="1" ht="12.75" customHeight="1" x14ac:dyDescent="0.2">
      <c r="A13" s="353"/>
      <c r="B13" s="465" t="s">
        <v>294</v>
      </c>
      <c r="C13" s="581" t="s">
        <v>325</v>
      </c>
      <c r="D13" s="582"/>
      <c r="E13" s="377" t="s">
        <v>457</v>
      </c>
      <c r="F13" s="372" t="s">
        <v>54</v>
      </c>
      <c r="G13" s="265">
        <f>'Memorial de Cálculo'!I35</f>
        <v>1</v>
      </c>
      <c r="H13" s="378">
        <f>CPU!I75</f>
        <v>2400</v>
      </c>
      <c r="I13" s="320">
        <f>ROUND(($K$4/100+1)*H13,2)</f>
        <v>3011.28</v>
      </c>
      <c r="J13" s="373">
        <f>ROUND(H13*G13,2)</f>
        <v>2400</v>
      </c>
      <c r="K13" s="466">
        <f>ROUND(I13*G13,2)</f>
        <v>3011.28</v>
      </c>
    </row>
    <row r="14" spans="1:38" s="354" customFormat="1" ht="25.5" customHeight="1" x14ac:dyDescent="0.2">
      <c r="A14" s="353"/>
      <c r="B14" s="465" t="s">
        <v>452</v>
      </c>
      <c r="C14" s="453" t="s">
        <v>324</v>
      </c>
      <c r="D14" s="376">
        <v>78472</v>
      </c>
      <c r="E14" s="377" t="s">
        <v>392</v>
      </c>
      <c r="F14" s="372" t="s">
        <v>386</v>
      </c>
      <c r="G14" s="265">
        <f>'Memorial de Cálculo'!I41</f>
        <v>2231.2399999999998</v>
      </c>
      <c r="H14" s="378">
        <v>0.43</v>
      </c>
      <c r="I14" s="320">
        <f>ROUND(($K$4/100+1)*H14,2)</f>
        <v>0.54</v>
      </c>
      <c r="J14" s="373">
        <f>ROUND(H14*G14,2)</f>
        <v>959.43</v>
      </c>
      <c r="K14" s="466">
        <f>ROUND(I14*G14,2)</f>
        <v>1204.8699999999999</v>
      </c>
    </row>
    <row r="15" spans="1:38" s="302" customFormat="1" ht="16.5" customHeight="1" x14ac:dyDescent="0.2">
      <c r="A15" s="300"/>
      <c r="B15" s="467">
        <v>2</v>
      </c>
      <c r="C15" s="303"/>
      <c r="D15" s="314"/>
      <c r="E15" s="290" t="s">
        <v>406</v>
      </c>
      <c r="F15" s="294"/>
      <c r="G15" s="295"/>
      <c r="H15" s="304"/>
      <c r="I15" s="304"/>
      <c r="J15" s="298">
        <f>SUM(J17:J21)</f>
        <v>109020.07999999999</v>
      </c>
      <c r="K15" s="464">
        <f>SUM(K16:K21)</f>
        <v>138183.26999999999</v>
      </c>
      <c r="Q15" s="300"/>
      <c r="R15" s="541"/>
      <c r="S15" s="542"/>
      <c r="T15" s="542"/>
      <c r="U15" s="542"/>
      <c r="V15" s="542"/>
      <c r="W15" s="542"/>
      <c r="X15" s="542"/>
      <c r="Y15" s="542"/>
      <c r="Z15" s="542"/>
      <c r="AA15" s="542"/>
      <c r="AB15" s="542"/>
      <c r="AC15" s="542"/>
      <c r="AD15" s="543"/>
      <c r="AE15" s="300"/>
      <c r="AF15" s="300"/>
      <c r="AG15" s="300"/>
      <c r="AH15" s="300"/>
      <c r="AI15" s="300"/>
      <c r="AJ15" s="300"/>
      <c r="AK15" s="300"/>
      <c r="AL15" s="300"/>
    </row>
    <row r="16" spans="1:38" s="302" customFormat="1" ht="24" x14ac:dyDescent="0.2">
      <c r="A16" s="300"/>
      <c r="B16" s="468" t="s">
        <v>286</v>
      </c>
      <c r="C16" s="233" t="s">
        <v>324</v>
      </c>
      <c r="D16" s="374" t="s">
        <v>454</v>
      </c>
      <c r="E16" s="375" t="s">
        <v>453</v>
      </c>
      <c r="F16" s="372" t="s">
        <v>387</v>
      </c>
      <c r="G16" s="265">
        <f>'Memorial de Cálculo'!I48</f>
        <v>357</v>
      </c>
      <c r="H16" s="320">
        <v>3.1</v>
      </c>
      <c r="I16" s="320">
        <f t="shared" ref="I16" si="0">ROUND(($K$4/100+1)*H16,2)</f>
        <v>3.89</v>
      </c>
      <c r="J16" s="320">
        <f t="shared" ref="J16:J19" si="1">ROUND(H16*G16,2)</f>
        <v>1106.7</v>
      </c>
      <c r="K16" s="469">
        <f t="shared" ref="K16:K19" si="2">ROUND(I16*G16,2)</f>
        <v>1388.73</v>
      </c>
      <c r="Q16" s="300"/>
      <c r="R16" s="362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364"/>
      <c r="AE16" s="300"/>
      <c r="AF16" s="300"/>
      <c r="AG16" s="300"/>
      <c r="AH16" s="300"/>
      <c r="AI16" s="300"/>
      <c r="AJ16" s="300"/>
      <c r="AK16" s="300"/>
      <c r="AL16" s="300"/>
    </row>
    <row r="17" spans="1:38" s="354" customFormat="1" ht="24" x14ac:dyDescent="0.2">
      <c r="A17" s="355"/>
      <c r="B17" s="468" t="s">
        <v>287</v>
      </c>
      <c r="C17" s="233" t="s">
        <v>324</v>
      </c>
      <c r="D17" s="374">
        <v>93591</v>
      </c>
      <c r="E17" s="375" t="s">
        <v>460</v>
      </c>
      <c r="F17" s="372" t="s">
        <v>455</v>
      </c>
      <c r="G17" s="265">
        <f>'Memorial de Cálculo'!I57</f>
        <v>2172.15</v>
      </c>
      <c r="H17" s="320">
        <v>1.41</v>
      </c>
      <c r="I17" s="320">
        <f t="shared" ref="I17:I21" si="3">ROUND(($K$4/100+1)*H17,2)</f>
        <v>1.77</v>
      </c>
      <c r="J17" s="320">
        <f t="shared" si="1"/>
        <v>3062.73</v>
      </c>
      <c r="K17" s="469">
        <f t="shared" si="2"/>
        <v>3844.71</v>
      </c>
      <c r="Q17" s="355"/>
      <c r="R17" s="532"/>
      <c r="S17" s="533"/>
      <c r="T17" s="533"/>
      <c r="U17" s="533"/>
      <c r="V17" s="533"/>
      <c r="W17" s="533"/>
      <c r="X17" s="533"/>
      <c r="Y17" s="533"/>
      <c r="Z17" s="533"/>
      <c r="AA17" s="533"/>
      <c r="AB17" s="533"/>
      <c r="AC17" s="533"/>
      <c r="AD17" s="534"/>
      <c r="AE17" s="355"/>
      <c r="AF17" s="355"/>
      <c r="AG17" s="355"/>
      <c r="AH17" s="355"/>
      <c r="AI17" s="355"/>
      <c r="AJ17" s="355"/>
      <c r="AK17" s="355"/>
      <c r="AL17" s="355"/>
    </row>
    <row r="18" spans="1:38" s="354" customFormat="1" ht="16.5" customHeight="1" x14ac:dyDescent="0.2">
      <c r="A18" s="355"/>
      <c r="B18" s="468" t="s">
        <v>288</v>
      </c>
      <c r="C18" s="233" t="s">
        <v>324</v>
      </c>
      <c r="D18" s="374">
        <v>72961</v>
      </c>
      <c r="E18" s="379" t="s">
        <v>407</v>
      </c>
      <c r="F18" s="372" t="s">
        <v>386</v>
      </c>
      <c r="G18" s="265">
        <f>'Memorial de Cálculo'!I63</f>
        <v>2231.2399999999998</v>
      </c>
      <c r="H18" s="320">
        <v>1.28</v>
      </c>
      <c r="I18" s="320">
        <f t="shared" si="3"/>
        <v>1.61</v>
      </c>
      <c r="J18" s="320">
        <f t="shared" si="1"/>
        <v>2855.99</v>
      </c>
      <c r="K18" s="469">
        <f t="shared" si="2"/>
        <v>3592.3</v>
      </c>
      <c r="Q18" s="355"/>
      <c r="R18" s="532"/>
      <c r="S18" s="533"/>
      <c r="T18" s="533"/>
      <c r="U18" s="533"/>
      <c r="V18" s="533"/>
      <c r="W18" s="533"/>
      <c r="X18" s="533"/>
      <c r="Y18" s="533"/>
      <c r="Z18" s="533"/>
      <c r="AA18" s="533"/>
      <c r="AB18" s="533"/>
      <c r="AC18" s="533"/>
      <c r="AD18" s="534"/>
      <c r="AE18" s="355"/>
      <c r="AF18" s="355"/>
      <c r="AG18" s="355"/>
      <c r="AH18" s="355"/>
      <c r="AI18" s="355"/>
      <c r="AJ18" s="355"/>
      <c r="AK18" s="355"/>
      <c r="AL18" s="355"/>
    </row>
    <row r="19" spans="1:38" s="354" customFormat="1" ht="24" x14ac:dyDescent="0.2">
      <c r="A19" s="355"/>
      <c r="B19" s="468" t="s">
        <v>289</v>
      </c>
      <c r="C19" s="233" t="s">
        <v>324</v>
      </c>
      <c r="D19" s="374">
        <v>96388</v>
      </c>
      <c r="E19" s="379" t="s">
        <v>459</v>
      </c>
      <c r="F19" s="372" t="s">
        <v>387</v>
      </c>
      <c r="G19" s="265">
        <f>'Memorial de Cálculo'!I69</f>
        <v>178.5</v>
      </c>
      <c r="H19" s="320">
        <v>6.44</v>
      </c>
      <c r="I19" s="320">
        <f t="shared" ref="I19" si="4">ROUND(($K$4/100+1)*H19,2)</f>
        <v>8.08</v>
      </c>
      <c r="J19" s="320">
        <f t="shared" si="1"/>
        <v>1149.54</v>
      </c>
      <c r="K19" s="469">
        <f t="shared" si="2"/>
        <v>1442.28</v>
      </c>
      <c r="M19" s="354">
        <f>K9/M20*100</f>
        <v>10.174266573657064</v>
      </c>
      <c r="Q19" s="355"/>
      <c r="R19" s="444"/>
      <c r="S19" s="445"/>
      <c r="T19" s="445"/>
      <c r="U19" s="445"/>
      <c r="V19" s="445"/>
      <c r="W19" s="445"/>
      <c r="X19" s="445"/>
      <c r="Y19" s="445"/>
      <c r="Z19" s="445"/>
      <c r="AA19" s="445"/>
      <c r="AB19" s="445"/>
      <c r="AC19" s="445"/>
      <c r="AD19" s="446"/>
      <c r="AE19" s="355"/>
      <c r="AF19" s="355"/>
      <c r="AG19" s="355"/>
      <c r="AH19" s="355"/>
      <c r="AI19" s="355"/>
      <c r="AJ19" s="355"/>
      <c r="AK19" s="355"/>
      <c r="AL19" s="355"/>
    </row>
    <row r="20" spans="1:38" s="354" customFormat="1" ht="36" x14ac:dyDescent="0.2">
      <c r="A20" s="355"/>
      <c r="B20" s="468" t="s">
        <v>290</v>
      </c>
      <c r="C20" s="233" t="s">
        <v>324</v>
      </c>
      <c r="D20" s="374" t="s">
        <v>325</v>
      </c>
      <c r="E20" s="379" t="s">
        <v>463</v>
      </c>
      <c r="F20" s="372" t="s">
        <v>386</v>
      </c>
      <c r="G20" s="265">
        <f>'Memorial de Cálculo'!I75</f>
        <v>1983.21</v>
      </c>
      <c r="H20" s="320">
        <f>CPU!I104</f>
        <v>48.81</v>
      </c>
      <c r="I20" s="320">
        <f t="shared" si="3"/>
        <v>61.24</v>
      </c>
      <c r="J20" s="320">
        <f t="shared" ref="J20:J21" si="5">ROUND(H20*G20,2)</f>
        <v>96800.48</v>
      </c>
      <c r="K20" s="469">
        <f t="shared" ref="K20:K21" si="6">ROUND(I20*G20,2)</f>
        <v>121451.78</v>
      </c>
      <c r="M20" s="354">
        <f>K26-K9</f>
        <v>181916.69999999998</v>
      </c>
      <c r="Q20" s="355"/>
      <c r="R20" s="356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8"/>
      <c r="AE20" s="355"/>
      <c r="AF20" s="355"/>
      <c r="AG20" s="355"/>
      <c r="AH20" s="355"/>
      <c r="AI20" s="355"/>
      <c r="AJ20" s="355"/>
      <c r="AK20" s="355"/>
      <c r="AL20" s="355"/>
    </row>
    <row r="21" spans="1:38" s="354" customFormat="1" ht="48" x14ac:dyDescent="0.2">
      <c r="A21" s="355"/>
      <c r="B21" s="468" t="s">
        <v>291</v>
      </c>
      <c r="C21" s="233" t="s">
        <v>324</v>
      </c>
      <c r="D21" s="374">
        <v>94273</v>
      </c>
      <c r="E21" s="379" t="s">
        <v>408</v>
      </c>
      <c r="F21" s="372" t="s">
        <v>382</v>
      </c>
      <c r="G21" s="265">
        <f>'Memorial de Cálculo'!I81</f>
        <v>138.85</v>
      </c>
      <c r="H21" s="320">
        <v>37.1</v>
      </c>
      <c r="I21" s="320">
        <f t="shared" si="3"/>
        <v>46.55</v>
      </c>
      <c r="J21" s="320">
        <f t="shared" si="5"/>
        <v>5151.34</v>
      </c>
      <c r="K21" s="469">
        <f t="shared" si="6"/>
        <v>6463.47</v>
      </c>
      <c r="Q21" s="355"/>
      <c r="R21" s="356"/>
      <c r="S21" s="357"/>
      <c r="T21" s="357"/>
      <c r="U21" s="357"/>
      <c r="V21" s="357"/>
      <c r="W21" s="357"/>
      <c r="X21" s="357"/>
      <c r="Y21" s="357"/>
      <c r="Z21" s="357"/>
      <c r="AA21" s="357"/>
      <c r="AB21" s="357"/>
      <c r="AC21" s="357"/>
      <c r="AD21" s="358"/>
      <c r="AE21" s="355"/>
      <c r="AF21" s="355"/>
      <c r="AG21" s="355"/>
      <c r="AH21" s="355"/>
      <c r="AI21" s="355"/>
      <c r="AJ21" s="355"/>
      <c r="AK21" s="355"/>
      <c r="AL21" s="355"/>
    </row>
    <row r="22" spans="1:38" s="291" customFormat="1" ht="15" customHeight="1" x14ac:dyDescent="0.2">
      <c r="A22" s="289"/>
      <c r="B22" s="470">
        <v>3</v>
      </c>
      <c r="C22" s="292"/>
      <c r="D22" s="315"/>
      <c r="E22" s="293" t="s">
        <v>409</v>
      </c>
      <c r="F22" s="294"/>
      <c r="G22" s="295"/>
      <c r="H22" s="296"/>
      <c r="I22" s="297"/>
      <c r="J22" s="298">
        <f>SUM(J23:J23)</f>
        <v>17327.560000000001</v>
      </c>
      <c r="K22" s="464">
        <f>SUM(K23:K23)</f>
        <v>21741.18</v>
      </c>
      <c r="R22" s="535"/>
      <c r="S22" s="536"/>
      <c r="T22" s="536"/>
      <c r="U22" s="536"/>
      <c r="V22" s="536"/>
      <c r="W22" s="536"/>
      <c r="X22" s="536"/>
      <c r="Y22" s="536"/>
      <c r="Z22" s="536"/>
      <c r="AA22" s="536"/>
      <c r="AB22" s="536"/>
      <c r="AC22" s="536"/>
      <c r="AD22" s="537"/>
    </row>
    <row r="23" spans="1:38" s="354" customFormat="1" ht="36" x14ac:dyDescent="0.2">
      <c r="A23" s="355"/>
      <c r="B23" s="468" t="s">
        <v>342</v>
      </c>
      <c r="C23" s="288" t="s">
        <v>324</v>
      </c>
      <c r="D23" s="316">
        <v>94273</v>
      </c>
      <c r="E23" s="287" t="s">
        <v>411</v>
      </c>
      <c r="F23" s="288" t="s">
        <v>382</v>
      </c>
      <c r="G23" s="380">
        <f>'Memorial de Cálculo'!I88</f>
        <v>467.05</v>
      </c>
      <c r="H23" s="381">
        <v>37.1</v>
      </c>
      <c r="I23" s="320">
        <f>ROUND(($K$4/100+1)*H23,2)</f>
        <v>46.55</v>
      </c>
      <c r="J23" s="320">
        <f>ROUND(H23*G23,2)</f>
        <v>17327.560000000001</v>
      </c>
      <c r="K23" s="469">
        <f>ROUND(I23*G23,2)</f>
        <v>21741.18</v>
      </c>
      <c r="L23" s="359"/>
      <c r="N23" s="354">
        <f>10*25</f>
        <v>250</v>
      </c>
      <c r="R23" s="538"/>
      <c r="S23" s="539"/>
      <c r="T23" s="539"/>
      <c r="U23" s="539"/>
      <c r="V23" s="539"/>
      <c r="W23" s="539"/>
      <c r="X23" s="539"/>
      <c r="Y23" s="539"/>
      <c r="Z23" s="539"/>
      <c r="AA23" s="539"/>
      <c r="AB23" s="539"/>
      <c r="AC23" s="539"/>
      <c r="AD23" s="540"/>
    </row>
    <row r="24" spans="1:38" s="302" customFormat="1" ht="16.5" customHeight="1" x14ac:dyDescent="0.2">
      <c r="A24" s="300"/>
      <c r="B24" s="471">
        <v>4</v>
      </c>
      <c r="C24" s="301"/>
      <c r="D24" s="317"/>
      <c r="E24" s="306" t="s">
        <v>410</v>
      </c>
      <c r="F24" s="294"/>
      <c r="G24" s="295"/>
      <c r="H24" s="309"/>
      <c r="I24" s="310"/>
      <c r="J24" s="308">
        <f>SUM(J25:J25)</f>
        <v>17529.75</v>
      </c>
      <c r="K24" s="472">
        <f>SUM(K25:K25)</f>
        <v>21992.25</v>
      </c>
      <c r="L24" s="307">
        <f>1920*1.2547</f>
        <v>2409.0239999999999</v>
      </c>
      <c r="R24" s="528"/>
      <c r="S24" s="529"/>
      <c r="T24" s="529"/>
      <c r="U24" s="529"/>
      <c r="V24" s="529"/>
      <c r="W24" s="529"/>
      <c r="X24" s="529"/>
      <c r="Y24" s="529"/>
      <c r="Z24" s="529"/>
      <c r="AA24" s="529"/>
      <c r="AB24" s="529"/>
      <c r="AC24" s="529"/>
      <c r="AD24" s="529"/>
    </row>
    <row r="25" spans="1:38" s="354" customFormat="1" ht="24" x14ac:dyDescent="0.2">
      <c r="A25" s="355"/>
      <c r="B25" s="468" t="s">
        <v>373</v>
      </c>
      <c r="C25" s="288" t="s">
        <v>324</v>
      </c>
      <c r="D25" s="382">
        <v>94289</v>
      </c>
      <c r="E25" s="383" t="s">
        <v>412</v>
      </c>
      <c r="F25" s="384" t="s">
        <v>382</v>
      </c>
      <c r="G25" s="385">
        <f>'Memorial de Cálculo'!I95</f>
        <v>525</v>
      </c>
      <c r="H25" s="386">
        <v>33.39</v>
      </c>
      <c r="I25" s="387">
        <f>ROUND(($K$4/100+1)*H25,2)</f>
        <v>41.89</v>
      </c>
      <c r="J25" s="320">
        <f>ROUND(H25*G25,2)</f>
        <v>17529.75</v>
      </c>
      <c r="K25" s="466">
        <f>ROUND(I25*G25,2)</f>
        <v>21992.25</v>
      </c>
      <c r="L25" s="359"/>
      <c r="R25" s="530"/>
      <c r="S25" s="531"/>
      <c r="T25" s="531"/>
      <c r="U25" s="531"/>
      <c r="V25" s="531"/>
      <c r="W25" s="531"/>
      <c r="X25" s="531"/>
      <c r="Y25" s="531"/>
      <c r="Z25" s="531"/>
      <c r="AA25" s="531"/>
      <c r="AB25" s="531"/>
      <c r="AC25" s="531"/>
      <c r="AD25" s="531"/>
    </row>
    <row r="26" spans="1:38" ht="12.75" customHeight="1" x14ac:dyDescent="0.2">
      <c r="A26" s="229"/>
      <c r="B26" s="575" t="s">
        <v>381</v>
      </c>
      <c r="C26" s="576"/>
      <c r="D26" s="576"/>
      <c r="E26" s="576"/>
      <c r="F26" s="576"/>
      <c r="G26" s="576"/>
      <c r="H26" s="576"/>
      <c r="I26" s="577"/>
      <c r="J26" s="573">
        <f>J9+J15+J22+J24</f>
        <v>155268.56999999998</v>
      </c>
      <c r="K26" s="555">
        <f>K9+K15+K22+K24</f>
        <v>200425.38999999998</v>
      </c>
      <c r="L26" s="283">
        <v>48320</v>
      </c>
      <c r="R26" s="528"/>
      <c r="S26" s="529"/>
      <c r="T26" s="529"/>
      <c r="U26" s="529"/>
      <c r="V26" s="529"/>
      <c r="W26" s="529"/>
      <c r="X26" s="529"/>
      <c r="Y26" s="529"/>
      <c r="Z26" s="529"/>
      <c r="AA26" s="529"/>
      <c r="AB26" s="529"/>
      <c r="AC26" s="529"/>
      <c r="AD26" s="529"/>
    </row>
    <row r="27" spans="1:38" ht="15.75" customHeight="1" thickBot="1" x14ac:dyDescent="0.25">
      <c r="A27" s="229"/>
      <c r="B27" s="578"/>
      <c r="C27" s="579"/>
      <c r="D27" s="579"/>
      <c r="E27" s="579"/>
      <c r="F27" s="579"/>
      <c r="G27" s="579"/>
      <c r="H27" s="579"/>
      <c r="I27" s="580"/>
      <c r="J27" s="574"/>
      <c r="K27" s="556"/>
      <c r="L27" s="283">
        <v>39457</v>
      </c>
      <c r="R27" s="528"/>
      <c r="S27" s="529"/>
      <c r="T27" s="529"/>
      <c r="U27" s="529"/>
      <c r="V27" s="529"/>
      <c r="W27" s="529"/>
      <c r="X27" s="529"/>
      <c r="Y27" s="529"/>
      <c r="Z27" s="529"/>
      <c r="AA27" s="529"/>
      <c r="AB27" s="529"/>
      <c r="AC27" s="529"/>
      <c r="AD27" s="529"/>
    </row>
    <row r="28" spans="1:38" x14ac:dyDescent="0.2">
      <c r="A28" s="229"/>
      <c r="R28" s="528"/>
      <c r="S28" s="529"/>
      <c r="T28" s="529"/>
      <c r="U28" s="529"/>
      <c r="V28" s="529"/>
      <c r="W28" s="529"/>
      <c r="X28" s="529"/>
      <c r="Y28" s="529"/>
      <c r="Z28" s="529"/>
      <c r="AA28" s="529"/>
      <c r="AB28" s="529"/>
      <c r="AC28" s="529"/>
      <c r="AD28" s="529"/>
    </row>
    <row r="29" spans="1:38" x14ac:dyDescent="0.2">
      <c r="A29" s="229"/>
      <c r="R29" s="528"/>
      <c r="S29" s="529"/>
      <c r="T29" s="529"/>
      <c r="U29" s="529"/>
      <c r="V29" s="529"/>
      <c r="W29" s="529"/>
      <c r="X29" s="529"/>
      <c r="Y29" s="529"/>
      <c r="Z29" s="529"/>
      <c r="AA29" s="529"/>
      <c r="AB29" s="529"/>
      <c r="AC29" s="529"/>
      <c r="AD29" s="529"/>
    </row>
    <row r="30" spans="1:38" x14ac:dyDescent="0.2">
      <c r="A30" s="229"/>
      <c r="J30" s="305"/>
      <c r="K30" s="284"/>
      <c r="R30" s="528"/>
      <c r="S30" s="529"/>
      <c r="T30" s="529"/>
      <c r="U30" s="529"/>
      <c r="V30" s="529"/>
      <c r="W30" s="529"/>
      <c r="X30" s="529"/>
      <c r="Y30" s="529"/>
      <c r="Z30" s="529"/>
      <c r="AA30" s="529"/>
      <c r="AB30" s="529"/>
      <c r="AC30" s="529"/>
      <c r="AD30" s="529"/>
    </row>
    <row r="31" spans="1:38" x14ac:dyDescent="0.2">
      <c r="A31" s="229"/>
      <c r="R31" s="528"/>
      <c r="S31" s="529"/>
      <c r="T31" s="529"/>
      <c r="U31" s="529"/>
      <c r="V31" s="529"/>
      <c r="W31" s="529"/>
      <c r="X31" s="529"/>
      <c r="Y31" s="529"/>
      <c r="Z31" s="529"/>
      <c r="AA31" s="529"/>
      <c r="AB31" s="529"/>
      <c r="AC31" s="529"/>
      <c r="AD31" s="529"/>
    </row>
    <row r="32" spans="1:38" x14ac:dyDescent="0.2">
      <c r="A32" s="229"/>
      <c r="R32" s="528"/>
      <c r="S32" s="529"/>
      <c r="T32" s="529"/>
      <c r="U32" s="529"/>
      <c r="V32" s="529"/>
      <c r="W32" s="529"/>
      <c r="X32" s="529"/>
      <c r="Y32" s="529"/>
      <c r="Z32" s="529"/>
      <c r="AA32" s="529"/>
      <c r="AB32" s="529"/>
      <c r="AC32" s="529"/>
      <c r="AD32" s="529"/>
    </row>
    <row r="33" spans="1:30" x14ac:dyDescent="0.2">
      <c r="A33" s="229"/>
      <c r="R33" s="528"/>
      <c r="S33" s="529"/>
      <c r="T33" s="529"/>
      <c r="U33" s="529"/>
      <c r="V33" s="529"/>
      <c r="W33" s="529"/>
      <c r="X33" s="529"/>
      <c r="Y33" s="529"/>
      <c r="Z33" s="529"/>
      <c r="AA33" s="529"/>
      <c r="AB33" s="529"/>
      <c r="AC33" s="529"/>
      <c r="AD33" s="529"/>
    </row>
    <row r="34" spans="1:30" x14ac:dyDescent="0.2">
      <c r="A34" s="229"/>
      <c r="R34" s="528"/>
      <c r="S34" s="529"/>
      <c r="T34" s="529"/>
      <c r="U34" s="529"/>
      <c r="V34" s="529"/>
      <c r="W34" s="529"/>
      <c r="X34" s="529"/>
      <c r="Y34" s="529"/>
      <c r="Z34" s="529"/>
      <c r="AA34" s="529"/>
      <c r="AB34" s="529"/>
      <c r="AC34" s="529"/>
      <c r="AD34" s="529"/>
    </row>
    <row r="35" spans="1:30" x14ac:dyDescent="0.2">
      <c r="A35" s="229"/>
      <c r="R35" s="528"/>
      <c r="S35" s="529"/>
      <c r="T35" s="529"/>
      <c r="U35" s="529"/>
      <c r="V35" s="529"/>
      <c r="W35" s="529"/>
      <c r="X35" s="529"/>
      <c r="Y35" s="529"/>
      <c r="Z35" s="529"/>
      <c r="AA35" s="529"/>
      <c r="AB35" s="529"/>
      <c r="AC35" s="529"/>
      <c r="AD35" s="529"/>
    </row>
    <row r="36" spans="1:30" x14ac:dyDescent="0.2">
      <c r="A36" s="229"/>
      <c r="R36" s="528"/>
      <c r="S36" s="529"/>
      <c r="T36" s="529"/>
      <c r="U36" s="529"/>
      <c r="V36" s="529"/>
      <c r="W36" s="529"/>
      <c r="X36" s="529"/>
      <c r="Y36" s="529"/>
      <c r="Z36" s="529"/>
      <c r="AA36" s="529"/>
      <c r="AB36" s="529"/>
      <c r="AC36" s="529"/>
      <c r="AD36" s="529"/>
    </row>
    <row r="37" spans="1:30" x14ac:dyDescent="0.2">
      <c r="A37" s="229"/>
      <c r="R37" s="528"/>
      <c r="S37" s="529"/>
      <c r="T37" s="529"/>
      <c r="U37" s="529"/>
      <c r="V37" s="529"/>
      <c r="W37" s="529"/>
      <c r="X37" s="529"/>
      <c r="Y37" s="529"/>
      <c r="Z37" s="529"/>
      <c r="AA37" s="529"/>
      <c r="AB37" s="529"/>
      <c r="AC37" s="529"/>
      <c r="AD37" s="529"/>
    </row>
    <row r="38" spans="1:30" x14ac:dyDescent="0.2">
      <c r="A38" s="229"/>
      <c r="R38" s="528"/>
      <c r="S38" s="529"/>
      <c r="T38" s="529"/>
      <c r="U38" s="529"/>
      <c r="V38" s="529"/>
      <c r="W38" s="529"/>
      <c r="X38" s="529"/>
      <c r="Y38" s="529"/>
      <c r="Z38" s="529"/>
      <c r="AA38" s="529"/>
      <c r="AB38" s="529"/>
      <c r="AC38" s="529"/>
      <c r="AD38" s="529"/>
    </row>
    <row r="39" spans="1:30" x14ac:dyDescent="0.2">
      <c r="A39" s="229"/>
      <c r="R39" s="528"/>
      <c r="S39" s="529"/>
      <c r="T39" s="529"/>
      <c r="U39" s="529"/>
      <c r="V39" s="529"/>
      <c r="W39" s="529"/>
      <c r="X39" s="529"/>
      <c r="Y39" s="529"/>
      <c r="Z39" s="529"/>
      <c r="AA39" s="529"/>
      <c r="AB39" s="529"/>
      <c r="AC39" s="529"/>
      <c r="AD39" s="529"/>
    </row>
    <row r="40" spans="1:30" x14ac:dyDescent="0.2">
      <c r="A40" s="229"/>
      <c r="R40" s="528"/>
      <c r="S40" s="529"/>
      <c r="T40" s="529"/>
      <c r="U40" s="529"/>
      <c r="V40" s="529"/>
      <c r="W40" s="529"/>
      <c r="X40" s="529"/>
      <c r="Y40" s="529"/>
      <c r="Z40" s="529"/>
      <c r="AA40" s="529"/>
      <c r="AB40" s="529"/>
      <c r="AC40" s="529"/>
      <c r="AD40" s="529"/>
    </row>
    <row r="41" spans="1:30" x14ac:dyDescent="0.2">
      <c r="A41" s="229"/>
      <c r="R41" s="528"/>
      <c r="S41" s="529"/>
      <c r="T41" s="529"/>
      <c r="U41" s="529"/>
      <c r="V41" s="529"/>
      <c r="W41" s="529"/>
      <c r="X41" s="529"/>
      <c r="Y41" s="529"/>
      <c r="Z41" s="529"/>
      <c r="AA41" s="529"/>
      <c r="AB41" s="529"/>
      <c r="AC41" s="529"/>
      <c r="AD41" s="529"/>
    </row>
    <row r="42" spans="1:30" x14ac:dyDescent="0.2">
      <c r="A42" s="229"/>
      <c r="R42" s="528"/>
      <c r="S42" s="529"/>
      <c r="T42" s="529"/>
      <c r="U42" s="529"/>
      <c r="V42" s="529"/>
      <c r="W42" s="529"/>
      <c r="X42" s="529"/>
      <c r="Y42" s="529"/>
      <c r="Z42" s="529"/>
      <c r="AA42" s="529"/>
      <c r="AB42" s="529"/>
      <c r="AC42" s="529"/>
      <c r="AD42" s="529"/>
    </row>
    <row r="43" spans="1:30" x14ac:dyDescent="0.2">
      <c r="A43" s="229"/>
      <c r="R43" s="528"/>
      <c r="S43" s="529"/>
      <c r="T43" s="529"/>
      <c r="U43" s="529"/>
      <c r="V43" s="529"/>
      <c r="W43" s="529"/>
      <c r="X43" s="529"/>
      <c r="Y43" s="529"/>
      <c r="Z43" s="529"/>
      <c r="AA43" s="529"/>
      <c r="AB43" s="529"/>
      <c r="AC43" s="529"/>
      <c r="AD43" s="529"/>
    </row>
    <row r="44" spans="1:30" x14ac:dyDescent="0.2">
      <c r="A44" s="229"/>
      <c r="R44" s="528"/>
      <c r="S44" s="529"/>
      <c r="T44" s="529"/>
      <c r="U44" s="529"/>
      <c r="V44" s="529"/>
      <c r="W44" s="529"/>
      <c r="X44" s="529"/>
      <c r="Y44" s="529"/>
      <c r="Z44" s="529"/>
      <c r="AA44" s="529"/>
      <c r="AB44" s="529"/>
      <c r="AC44" s="529"/>
      <c r="AD44" s="529"/>
    </row>
    <row r="45" spans="1:30" s="235" customFormat="1" x14ac:dyDescent="0.2">
      <c r="A45" s="234"/>
      <c r="B45" s="232"/>
      <c r="C45" s="232"/>
      <c r="D45" s="232"/>
      <c r="E45" s="240"/>
      <c r="F45" s="228"/>
      <c r="G45" s="231"/>
      <c r="H45" s="231"/>
      <c r="I45" s="231"/>
      <c r="J45" s="231"/>
      <c r="K45" s="231"/>
      <c r="R45" s="528"/>
      <c r="S45" s="529"/>
      <c r="T45" s="529"/>
      <c r="U45" s="529"/>
      <c r="V45" s="529"/>
      <c r="W45" s="529"/>
      <c r="X45" s="529"/>
      <c r="Y45" s="529"/>
      <c r="Z45" s="529"/>
      <c r="AA45" s="529"/>
      <c r="AB45" s="529"/>
      <c r="AC45" s="529"/>
      <c r="AD45" s="529"/>
    </row>
    <row r="46" spans="1:30" s="237" customFormat="1" x14ac:dyDescent="0.2">
      <c r="A46" s="236"/>
      <c r="B46" s="232"/>
      <c r="C46" s="232"/>
      <c r="D46" s="232"/>
      <c r="E46" s="240"/>
      <c r="F46" s="228"/>
      <c r="G46" s="231"/>
      <c r="H46" s="231"/>
      <c r="I46" s="231"/>
      <c r="J46" s="231"/>
      <c r="K46" s="231"/>
      <c r="R46" s="528"/>
      <c r="S46" s="529"/>
      <c r="T46" s="529"/>
      <c r="U46" s="529"/>
      <c r="V46" s="529"/>
      <c r="W46" s="529"/>
      <c r="X46" s="529"/>
      <c r="Y46" s="529"/>
      <c r="Z46" s="529"/>
      <c r="AA46" s="529"/>
      <c r="AB46" s="529"/>
      <c r="AC46" s="529"/>
      <c r="AD46" s="529"/>
    </row>
    <row r="47" spans="1:30" s="237" customFormat="1" x14ac:dyDescent="0.2">
      <c r="A47" s="236"/>
      <c r="B47" s="232"/>
      <c r="C47" s="232"/>
      <c r="D47" s="232"/>
      <c r="E47" s="240"/>
      <c r="F47" s="228"/>
      <c r="G47" s="231"/>
      <c r="H47" s="231"/>
      <c r="I47" s="231"/>
      <c r="J47" s="231"/>
      <c r="K47" s="231"/>
      <c r="R47" s="528"/>
      <c r="S47" s="529"/>
      <c r="T47" s="529"/>
      <c r="U47" s="529"/>
      <c r="V47" s="529"/>
      <c r="W47" s="529"/>
      <c r="X47" s="529"/>
      <c r="Y47" s="529"/>
      <c r="Z47" s="529"/>
      <c r="AA47" s="529"/>
      <c r="AB47" s="529"/>
      <c r="AC47" s="529"/>
      <c r="AD47" s="529"/>
    </row>
    <row r="48" spans="1:30" s="237" customFormat="1" x14ac:dyDescent="0.2">
      <c r="A48" s="236"/>
      <c r="B48" s="232"/>
      <c r="C48" s="232"/>
      <c r="D48" s="232"/>
      <c r="E48" s="240"/>
      <c r="F48" s="228"/>
      <c r="G48" s="231"/>
      <c r="H48" s="231"/>
      <c r="I48" s="231"/>
      <c r="J48" s="231"/>
      <c r="K48" s="231"/>
      <c r="R48" s="528"/>
      <c r="S48" s="529"/>
      <c r="T48" s="529"/>
      <c r="U48" s="529"/>
      <c r="V48" s="529"/>
      <c r="W48" s="529"/>
      <c r="X48" s="529"/>
      <c r="Y48" s="529"/>
      <c r="Z48" s="529"/>
      <c r="AA48" s="529"/>
      <c r="AB48" s="529"/>
      <c r="AC48" s="529"/>
      <c r="AD48" s="529"/>
    </row>
    <row r="49" spans="1:30" s="237" customFormat="1" x14ac:dyDescent="0.2">
      <c r="A49" s="236"/>
      <c r="B49" s="232"/>
      <c r="C49" s="232"/>
      <c r="D49" s="232"/>
      <c r="E49" s="240"/>
      <c r="F49" s="228"/>
      <c r="G49" s="231"/>
      <c r="H49" s="231"/>
      <c r="I49" s="231"/>
      <c r="J49" s="231"/>
      <c r="K49" s="231"/>
      <c r="R49" s="528"/>
      <c r="S49" s="529"/>
      <c r="T49" s="529"/>
      <c r="U49" s="529"/>
      <c r="V49" s="529"/>
      <c r="W49" s="529"/>
      <c r="X49" s="529"/>
      <c r="Y49" s="529"/>
      <c r="Z49" s="529"/>
      <c r="AA49" s="529"/>
      <c r="AB49" s="529"/>
      <c r="AC49" s="529"/>
      <c r="AD49" s="529"/>
    </row>
    <row r="50" spans="1:30" s="237" customFormat="1" x14ac:dyDescent="0.2">
      <c r="A50" s="236"/>
      <c r="B50" s="232"/>
      <c r="C50" s="232"/>
      <c r="D50" s="232"/>
      <c r="E50" s="240"/>
      <c r="F50" s="228"/>
      <c r="G50" s="231"/>
      <c r="H50" s="231"/>
      <c r="I50" s="231"/>
      <c r="J50" s="231"/>
      <c r="K50" s="231"/>
      <c r="R50" s="528"/>
      <c r="S50" s="529"/>
      <c r="T50" s="529"/>
      <c r="U50" s="529"/>
      <c r="V50" s="529"/>
      <c r="W50" s="529"/>
      <c r="X50" s="529"/>
      <c r="Y50" s="529"/>
      <c r="Z50" s="529"/>
      <c r="AA50" s="529"/>
      <c r="AB50" s="529"/>
      <c r="AC50" s="529"/>
      <c r="AD50" s="529"/>
    </row>
    <row r="51" spans="1:30" s="237" customFormat="1" x14ac:dyDescent="0.2">
      <c r="A51" s="236"/>
      <c r="B51" s="232"/>
      <c r="C51" s="232"/>
      <c r="D51" s="232"/>
      <c r="E51" s="240"/>
      <c r="F51" s="228"/>
      <c r="G51" s="231"/>
      <c r="H51" s="231"/>
      <c r="I51" s="231"/>
      <c r="J51" s="231"/>
      <c r="K51" s="231"/>
      <c r="R51" s="528"/>
      <c r="S51" s="529"/>
      <c r="T51" s="529"/>
      <c r="U51" s="529"/>
      <c r="V51" s="529"/>
      <c r="W51" s="529"/>
      <c r="X51" s="529"/>
      <c r="Y51" s="529"/>
      <c r="Z51" s="529"/>
      <c r="AA51" s="529"/>
      <c r="AB51" s="529"/>
      <c r="AC51" s="529"/>
      <c r="AD51" s="529"/>
    </row>
    <row r="52" spans="1:30" s="237" customFormat="1" x14ac:dyDescent="0.2">
      <c r="A52" s="236"/>
      <c r="B52" s="232"/>
      <c r="C52" s="232"/>
      <c r="D52" s="232"/>
      <c r="E52" s="240"/>
      <c r="F52" s="228"/>
      <c r="G52" s="231"/>
      <c r="H52" s="231"/>
      <c r="I52" s="231"/>
      <c r="J52" s="231"/>
      <c r="K52" s="231"/>
      <c r="R52" s="528"/>
      <c r="S52" s="529"/>
      <c r="T52" s="529"/>
      <c r="U52" s="529"/>
      <c r="V52" s="529"/>
      <c r="W52" s="529"/>
      <c r="X52" s="529"/>
      <c r="Y52" s="529"/>
      <c r="Z52" s="529"/>
      <c r="AA52" s="529"/>
      <c r="AB52" s="529"/>
      <c r="AC52" s="529"/>
      <c r="AD52" s="529"/>
    </row>
    <row r="53" spans="1:30" s="237" customFormat="1" x14ac:dyDescent="0.2">
      <c r="A53" s="236"/>
      <c r="B53" s="232"/>
      <c r="C53" s="232"/>
      <c r="D53" s="232"/>
      <c r="E53" s="240"/>
      <c r="F53" s="228"/>
      <c r="G53" s="231"/>
      <c r="H53" s="231"/>
      <c r="I53" s="231"/>
      <c r="J53" s="231"/>
      <c r="K53" s="231"/>
    </row>
    <row r="54" spans="1:30" s="237" customFormat="1" x14ac:dyDescent="0.2">
      <c r="A54" s="236"/>
      <c r="B54" s="232"/>
      <c r="C54" s="232"/>
      <c r="D54" s="232"/>
      <c r="E54" s="240"/>
      <c r="F54" s="228"/>
      <c r="G54" s="231"/>
      <c r="H54" s="231"/>
      <c r="I54" s="231"/>
      <c r="J54" s="231"/>
      <c r="K54" s="231"/>
    </row>
    <row r="55" spans="1:30" x14ac:dyDescent="0.2">
      <c r="A55" s="229"/>
    </row>
    <row r="56" spans="1:30" s="235" customFormat="1" x14ac:dyDescent="0.2">
      <c r="A56" s="234"/>
      <c r="B56" s="232"/>
      <c r="C56" s="232"/>
      <c r="D56" s="232"/>
      <c r="E56" s="240"/>
      <c r="F56" s="228"/>
      <c r="G56" s="231"/>
      <c r="H56" s="231"/>
      <c r="I56" s="231"/>
      <c r="J56" s="231"/>
      <c r="K56" s="231"/>
    </row>
    <row r="57" spans="1:30" x14ac:dyDescent="0.2">
      <c r="A57" s="229"/>
    </row>
  </sheetData>
  <mergeCells count="55">
    <mergeCell ref="K26:K27"/>
    <mergeCell ref="E1:K1"/>
    <mergeCell ref="E3:K3"/>
    <mergeCell ref="E2:K2"/>
    <mergeCell ref="C4:E4"/>
    <mergeCell ref="J7:K7"/>
    <mergeCell ref="E7:E8"/>
    <mergeCell ref="C7:C8"/>
    <mergeCell ref="F7:F8"/>
    <mergeCell ref="G7:G8"/>
    <mergeCell ref="B5:E5"/>
    <mergeCell ref="B6:E6"/>
    <mergeCell ref="C11:D11"/>
    <mergeCell ref="J26:J27"/>
    <mergeCell ref="B26:I27"/>
    <mergeCell ref="C13:D13"/>
    <mergeCell ref="N10:V10"/>
    <mergeCell ref="H7:I7"/>
    <mergeCell ref="B7:B8"/>
    <mergeCell ref="D7:D8"/>
    <mergeCell ref="C10:D10"/>
    <mergeCell ref="R18:AD18"/>
    <mergeCell ref="R22:AD22"/>
    <mergeCell ref="R23:AD23"/>
    <mergeCell ref="R15:AD15"/>
    <mergeCell ref="R17:AD17"/>
    <mergeCell ref="R26:AD26"/>
    <mergeCell ref="R27:AD27"/>
    <mergeCell ref="R28:AD28"/>
    <mergeCell ref="R29:AD29"/>
    <mergeCell ref="R24:AD24"/>
    <mergeCell ref="R25:AD25"/>
    <mergeCell ref="R30:AD30"/>
    <mergeCell ref="R31:AD31"/>
    <mergeCell ref="R32:AD32"/>
    <mergeCell ref="R33:AD33"/>
    <mergeCell ref="R34:AD34"/>
    <mergeCell ref="R35:AD35"/>
    <mergeCell ref="R36:AD36"/>
    <mergeCell ref="R37:AD37"/>
    <mergeCell ref="R38:AD38"/>
    <mergeCell ref="R39:AD39"/>
    <mergeCell ref="R40:AD40"/>
    <mergeCell ref="R41:AD41"/>
    <mergeCell ref="R42:AD42"/>
    <mergeCell ref="R43:AD43"/>
    <mergeCell ref="R44:AD44"/>
    <mergeCell ref="R50:AD50"/>
    <mergeCell ref="R51:AD51"/>
    <mergeCell ref="R52:AD52"/>
    <mergeCell ref="R45:AD45"/>
    <mergeCell ref="R46:AD46"/>
    <mergeCell ref="R47:AD47"/>
    <mergeCell ref="R48:AD48"/>
    <mergeCell ref="R49:AD49"/>
  </mergeCells>
  <phoneticPr fontId="15" type="noConversion"/>
  <printOptions gridLines="1"/>
  <pageMargins left="0.82677165354330717" right="0.43307086614173229" top="0.6692913385826772" bottom="0.23622047244094491" header="0.31496062992125984" footer="0.31496062992125984"/>
  <pageSetup paperSize="9" scale="73" orientation="landscape" horizontalDpi="1200" verticalDpi="1200" r:id="rId1"/>
  <drawing r:id="rId2"/>
  <legacyDrawing r:id="rId3"/>
  <oleObjects>
    <mc:AlternateContent xmlns:mc="http://schemas.openxmlformats.org/markup-compatibility/2006">
      <mc:Choice Requires="x14">
        <oleObject shapeId="6153" r:id="rId4">
          <objectPr defaultSize="0" autoPict="0" r:id="rId5">
            <anchor moveWithCells="1" sizeWithCells="1">
              <from>
                <xdr:col>1</xdr:col>
                <xdr:colOff>28575</xdr:colOff>
                <xdr:row>0</xdr:row>
                <xdr:rowOff>0</xdr:rowOff>
              </from>
              <to>
                <xdr:col>4</xdr:col>
                <xdr:colOff>1238250</xdr:colOff>
                <xdr:row>0</xdr:row>
                <xdr:rowOff>0</xdr:rowOff>
              </to>
            </anchor>
          </objectPr>
        </oleObject>
      </mc:Choice>
      <mc:Fallback>
        <oleObject shapeId="6153" r:id="rId4"/>
      </mc:Fallback>
    </mc:AlternateContent>
    <mc:AlternateContent xmlns:mc="http://schemas.openxmlformats.org/markup-compatibility/2006">
      <mc:Choice Requires="x14">
        <oleObject shapeId="6171" r:id="rId6">
          <objectPr defaultSize="0" autoPict="0" r:id="rId5">
            <anchor moveWithCells="1" sizeWithCells="1">
              <from>
                <xdr:col>1</xdr:col>
                <xdr:colOff>161925</xdr:colOff>
                <xdr:row>0</xdr:row>
                <xdr:rowOff>114300</xdr:rowOff>
              </from>
              <to>
                <xdr:col>4</xdr:col>
                <xdr:colOff>800100</xdr:colOff>
                <xdr:row>2</xdr:row>
                <xdr:rowOff>114300</xdr:rowOff>
              </to>
            </anchor>
          </objectPr>
        </oleObject>
      </mc:Choice>
      <mc:Fallback>
        <oleObject shapeId="6171" r:id="rId6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4"/>
  <sheetViews>
    <sheetView view="pageBreakPreview" topLeftCell="A46" zoomScaleNormal="75" zoomScaleSheetLayoutView="100" workbookViewId="0">
      <selection activeCell="N26" sqref="N26"/>
    </sheetView>
  </sheetViews>
  <sheetFormatPr defaultRowHeight="12.75" x14ac:dyDescent="0.2"/>
  <cols>
    <col min="1" max="1" width="54.5703125" customWidth="1"/>
    <col min="2" max="2" width="9.85546875" bestFit="1" customWidth="1"/>
    <col min="3" max="3" width="10.85546875" bestFit="1" customWidth="1"/>
    <col min="4" max="4" width="13.5703125" style="361" bestFit="1" customWidth="1"/>
    <col min="6" max="6" width="9" customWidth="1"/>
    <col min="7" max="7" width="11.85546875" customWidth="1"/>
    <col min="8" max="8" width="13.140625" customWidth="1"/>
    <col min="9" max="9" width="12.7109375" bestFit="1" customWidth="1"/>
    <col min="13" max="13" width="6.7109375" bestFit="1" customWidth="1"/>
    <col min="14" max="14" width="44" customWidth="1"/>
  </cols>
  <sheetData>
    <row r="1" spans="1:9" ht="16.149999999999999" customHeight="1" x14ac:dyDescent="0.2">
      <c r="A1" s="241" t="s">
        <v>304</v>
      </c>
      <c r="B1" s="721" t="s">
        <v>305</v>
      </c>
      <c r="C1" s="722"/>
      <c r="D1" s="722"/>
      <c r="E1" s="722"/>
      <c r="F1" s="722"/>
      <c r="G1" s="722"/>
      <c r="H1" s="722"/>
      <c r="I1" s="723"/>
    </row>
    <row r="2" spans="1:9" ht="33" customHeight="1" x14ac:dyDescent="0.2">
      <c r="A2" s="724" t="s">
        <v>493</v>
      </c>
      <c r="B2" s="727"/>
      <c r="C2" s="727"/>
      <c r="D2" s="727"/>
      <c r="E2" s="727"/>
      <c r="F2" s="727"/>
      <c r="G2" s="728"/>
      <c r="H2" s="242" t="s">
        <v>306</v>
      </c>
      <c r="I2" s="321">
        <v>43647</v>
      </c>
    </row>
    <row r="3" spans="1:9" ht="13.15" customHeight="1" x14ac:dyDescent="0.2">
      <c r="A3" s="724" t="s">
        <v>395</v>
      </c>
      <c r="B3" s="727"/>
      <c r="C3" s="727"/>
      <c r="D3" s="727"/>
      <c r="E3" s="727"/>
      <c r="F3" s="727"/>
      <c r="G3" s="728"/>
      <c r="H3" s="243" t="s">
        <v>307</v>
      </c>
      <c r="I3" s="244" t="s">
        <v>54</v>
      </c>
    </row>
    <row r="4" spans="1:9" x14ac:dyDescent="0.2">
      <c r="A4" s="717" t="s">
        <v>308</v>
      </c>
      <c r="B4" s="718"/>
      <c r="C4" s="718"/>
      <c r="D4" s="718"/>
      <c r="E4" s="718"/>
      <c r="F4" s="718"/>
      <c r="G4" s="718"/>
      <c r="H4" s="718"/>
      <c r="I4" s="719"/>
    </row>
    <row r="5" spans="1:9" x14ac:dyDescent="0.2">
      <c r="A5" s="245" t="s">
        <v>303</v>
      </c>
      <c r="B5" s="246" t="s">
        <v>309</v>
      </c>
      <c r="C5" s="246" t="s">
        <v>384</v>
      </c>
      <c r="D5" s="248" t="s">
        <v>226</v>
      </c>
      <c r="E5" s="248" t="s">
        <v>310</v>
      </c>
      <c r="F5" s="248" t="s">
        <v>311</v>
      </c>
      <c r="G5" s="249" t="s">
        <v>312</v>
      </c>
      <c r="H5" s="249" t="s">
        <v>313</v>
      </c>
      <c r="I5" s="246" t="s">
        <v>314</v>
      </c>
    </row>
    <row r="6" spans="1:9" ht="25.5" x14ac:dyDescent="0.2">
      <c r="A6" s="253" t="s">
        <v>502</v>
      </c>
      <c r="B6" s="245" t="s">
        <v>396</v>
      </c>
      <c r="C6" s="326" t="s">
        <v>416</v>
      </c>
      <c r="D6" s="327">
        <v>12</v>
      </c>
      <c r="E6" s="249">
        <v>0.83</v>
      </c>
      <c r="F6" s="329">
        <v>0.17</v>
      </c>
      <c r="G6" s="370">
        <v>254.37</v>
      </c>
      <c r="H6" s="344">
        <v>68.569999999999993</v>
      </c>
      <c r="I6" s="333">
        <f>ROUND(D6*E6*G6+D6*F6*H6,2)</f>
        <v>2673.41</v>
      </c>
    </row>
    <row r="7" spans="1:9" ht="16.5" customHeight="1" x14ac:dyDescent="0.2">
      <c r="A7" s="253" t="s">
        <v>414</v>
      </c>
      <c r="B7" s="365" t="s">
        <v>396</v>
      </c>
      <c r="C7" s="366" t="s">
        <v>417</v>
      </c>
      <c r="D7" s="367">
        <v>8</v>
      </c>
      <c r="E7" s="368">
        <v>0.83</v>
      </c>
      <c r="F7" s="369">
        <v>0.17</v>
      </c>
      <c r="G7" s="370">
        <v>134.97</v>
      </c>
      <c r="H7" s="344">
        <v>42.18</v>
      </c>
      <c r="I7" s="333">
        <f>ROUND(D7*E7*G7+D7*F7*H7,2)</f>
        <v>953.57</v>
      </c>
    </row>
    <row r="8" spans="1:9" ht="17.25" customHeight="1" x14ac:dyDescent="0.2">
      <c r="A8" s="253" t="s">
        <v>415</v>
      </c>
      <c r="B8" s="322" t="s">
        <v>396</v>
      </c>
      <c r="C8" s="331" t="s">
        <v>418</v>
      </c>
      <c r="D8" s="328">
        <v>8</v>
      </c>
      <c r="E8" s="323">
        <v>0.83</v>
      </c>
      <c r="F8" s="330">
        <v>0.17</v>
      </c>
      <c r="G8" s="370">
        <v>112.73</v>
      </c>
      <c r="H8" s="344">
        <v>36.770000000000003</v>
      </c>
      <c r="I8" s="333">
        <f>ROUND(D8*E8*G8+D8*F8*H8,2)</f>
        <v>798.53</v>
      </c>
    </row>
    <row r="9" spans="1:9" x14ac:dyDescent="0.2">
      <c r="A9" s="701" t="s">
        <v>315</v>
      </c>
      <c r="B9" s="702"/>
      <c r="C9" s="702"/>
      <c r="D9" s="702"/>
      <c r="E9" s="702"/>
      <c r="F9" s="702"/>
      <c r="G9" s="702"/>
      <c r="H9" s="703"/>
      <c r="I9" s="334">
        <f>SUM(I6:I8)</f>
        <v>4425.51</v>
      </c>
    </row>
    <row r="10" spans="1:9" x14ac:dyDescent="0.2">
      <c r="A10" s="717" t="s">
        <v>316</v>
      </c>
      <c r="B10" s="718"/>
      <c r="C10" s="718"/>
      <c r="D10" s="718"/>
      <c r="E10" s="718"/>
      <c r="F10" s="718"/>
      <c r="G10" s="718"/>
      <c r="H10" s="718"/>
      <c r="I10" s="719"/>
    </row>
    <row r="11" spans="1:9" x14ac:dyDescent="0.2">
      <c r="A11" s="245" t="s">
        <v>303</v>
      </c>
      <c r="B11" s="246" t="s">
        <v>309</v>
      </c>
      <c r="C11" s="246" t="s">
        <v>384</v>
      </c>
      <c r="D11" s="248" t="s">
        <v>226</v>
      </c>
      <c r="E11" s="247"/>
      <c r="F11" s="247"/>
      <c r="G11" s="247"/>
      <c r="H11" s="246" t="s">
        <v>317</v>
      </c>
      <c r="I11" s="246" t="s">
        <v>314</v>
      </c>
    </row>
    <row r="12" spans="1:9" x14ac:dyDescent="0.2">
      <c r="A12" s="254" t="s">
        <v>397</v>
      </c>
      <c r="B12" s="255" t="s">
        <v>77</v>
      </c>
      <c r="C12" s="255"/>
      <c r="D12" s="251">
        <v>8</v>
      </c>
      <c r="E12" s="256"/>
      <c r="F12" s="256"/>
      <c r="G12" s="256"/>
      <c r="H12" s="257">
        <v>50</v>
      </c>
      <c r="I12" s="335">
        <f>D12*H12</f>
        <v>400</v>
      </c>
    </row>
    <row r="13" spans="1:9" x14ac:dyDescent="0.2">
      <c r="A13" s="720" t="s">
        <v>315</v>
      </c>
      <c r="B13" s="720"/>
      <c r="C13" s="720"/>
      <c r="D13" s="720"/>
      <c r="E13" s="720"/>
      <c r="F13" s="720"/>
      <c r="G13" s="720"/>
      <c r="H13" s="720"/>
      <c r="I13" s="336">
        <f>SUM(I12:I12)</f>
        <v>400</v>
      </c>
    </row>
    <row r="14" spans="1:9" x14ac:dyDescent="0.2">
      <c r="A14" s="717" t="s">
        <v>318</v>
      </c>
      <c r="B14" s="718"/>
      <c r="C14" s="718"/>
      <c r="D14" s="718"/>
      <c r="E14" s="718"/>
      <c r="F14" s="718"/>
      <c r="G14" s="718"/>
      <c r="H14" s="718"/>
      <c r="I14" s="719"/>
    </row>
    <row r="15" spans="1:9" x14ac:dyDescent="0.2">
      <c r="A15" s="246" t="s">
        <v>303</v>
      </c>
      <c r="B15" s="259" t="s">
        <v>309</v>
      </c>
      <c r="C15" s="246" t="s">
        <v>384</v>
      </c>
      <c r="D15" s="246" t="s">
        <v>226</v>
      </c>
      <c r="E15" s="259"/>
      <c r="F15" s="259"/>
      <c r="G15" s="259"/>
      <c r="H15" s="246" t="s">
        <v>317</v>
      </c>
      <c r="I15" s="258" t="s">
        <v>314</v>
      </c>
    </row>
    <row r="16" spans="1:9" x14ac:dyDescent="0.2">
      <c r="A16" s="260"/>
      <c r="B16" s="246"/>
      <c r="C16" s="246"/>
      <c r="D16" s="360"/>
      <c r="E16" s="259"/>
      <c r="F16" s="259"/>
      <c r="G16" s="259"/>
      <c r="H16" s="258"/>
      <c r="I16" s="337">
        <f>D16*H16</f>
        <v>0</v>
      </c>
    </row>
    <row r="17" spans="1:9" x14ac:dyDescent="0.2">
      <c r="A17" s="720" t="s">
        <v>315</v>
      </c>
      <c r="B17" s="720"/>
      <c r="C17" s="720"/>
      <c r="D17" s="720"/>
      <c r="E17" s="720"/>
      <c r="F17" s="720"/>
      <c r="G17" s="720"/>
      <c r="H17" s="720"/>
      <c r="I17" s="336">
        <f>SUM(I16:I16)</f>
        <v>0</v>
      </c>
    </row>
    <row r="18" spans="1:9" x14ac:dyDescent="0.2">
      <c r="A18" s="717" t="s">
        <v>319</v>
      </c>
      <c r="B18" s="718"/>
      <c r="C18" s="718"/>
      <c r="D18" s="718"/>
      <c r="E18" s="718"/>
      <c r="F18" s="718"/>
      <c r="G18" s="718"/>
      <c r="H18" s="718"/>
      <c r="I18" s="719"/>
    </row>
    <row r="19" spans="1:9" x14ac:dyDescent="0.2">
      <c r="A19" s="245" t="s">
        <v>303</v>
      </c>
      <c r="B19" s="246" t="s">
        <v>309</v>
      </c>
      <c r="C19" s="246" t="s">
        <v>384</v>
      </c>
      <c r="D19" s="248" t="s">
        <v>226</v>
      </c>
      <c r="E19" s="247"/>
      <c r="F19" s="247"/>
      <c r="G19" s="247"/>
      <c r="H19" s="246" t="s">
        <v>317</v>
      </c>
      <c r="I19" s="246" t="s">
        <v>314</v>
      </c>
    </row>
    <row r="20" spans="1:9" ht="14.25" customHeight="1" x14ac:dyDescent="0.2">
      <c r="A20" s="319"/>
      <c r="B20" s="246"/>
      <c r="C20" s="246"/>
      <c r="D20" s="249"/>
      <c r="E20" s="247"/>
      <c r="F20" s="247"/>
      <c r="G20" s="247"/>
      <c r="H20" s="258"/>
      <c r="I20" s="335"/>
    </row>
    <row r="21" spans="1:9" x14ac:dyDescent="0.2">
      <c r="A21" s="701" t="s">
        <v>315</v>
      </c>
      <c r="B21" s="702"/>
      <c r="C21" s="702"/>
      <c r="D21" s="702"/>
      <c r="E21" s="702"/>
      <c r="F21" s="702"/>
      <c r="G21" s="702"/>
      <c r="H21" s="703"/>
      <c r="I21" s="338">
        <f>SUM(I20:I20)</f>
        <v>0</v>
      </c>
    </row>
    <row r="22" spans="1:9" x14ac:dyDescent="0.2">
      <c r="A22" s="262" t="s">
        <v>320</v>
      </c>
      <c r="B22" s="261">
        <v>1</v>
      </c>
      <c r="C22" s="325"/>
      <c r="D22" s="704" t="s">
        <v>321</v>
      </c>
      <c r="E22" s="705"/>
      <c r="F22" s="705"/>
      <c r="G22" s="705"/>
      <c r="H22" s="706"/>
      <c r="I22" s="339">
        <f>I21+I17+I13+I9</f>
        <v>4825.51</v>
      </c>
    </row>
    <row r="23" spans="1:9" x14ac:dyDescent="0.2">
      <c r="A23" s="707" t="s">
        <v>326</v>
      </c>
      <c r="B23" s="708"/>
      <c r="C23" s="708"/>
      <c r="D23" s="708"/>
      <c r="E23" s="708"/>
      <c r="F23" s="708"/>
      <c r="G23" s="709"/>
      <c r="H23" s="710"/>
      <c r="I23" s="340">
        <f>I22/B22</f>
        <v>4825.51</v>
      </c>
    </row>
    <row r="24" spans="1:9" x14ac:dyDescent="0.2">
      <c r="A24" s="711" t="s">
        <v>322</v>
      </c>
      <c r="B24" s="712"/>
      <c r="C24" s="712"/>
      <c r="D24" s="712"/>
      <c r="E24" s="712"/>
      <c r="F24" s="712"/>
      <c r="G24" s="712"/>
      <c r="H24" s="713"/>
      <c r="I24" s="341">
        <v>1</v>
      </c>
    </row>
    <row r="25" spans="1:9" x14ac:dyDescent="0.2">
      <c r="A25" s="714" t="s">
        <v>323</v>
      </c>
      <c r="B25" s="715"/>
      <c r="C25" s="715"/>
      <c r="D25" s="715"/>
      <c r="E25" s="715"/>
      <c r="F25" s="715"/>
      <c r="G25" s="715"/>
      <c r="H25" s="716"/>
      <c r="I25" s="337">
        <f>I23*I24</f>
        <v>4825.51</v>
      </c>
    </row>
    <row r="26" spans="1:9" ht="15.75" x14ac:dyDescent="0.2">
      <c r="A26" s="241" t="s">
        <v>304</v>
      </c>
      <c r="B26" s="721" t="s">
        <v>305</v>
      </c>
      <c r="C26" s="722"/>
      <c r="D26" s="722"/>
      <c r="E26" s="722"/>
      <c r="F26" s="722"/>
      <c r="G26" s="722"/>
      <c r="H26" s="722"/>
      <c r="I26" s="723"/>
    </row>
    <row r="27" spans="1:9" ht="27.75" customHeight="1" x14ac:dyDescent="0.2">
      <c r="A27" s="724" t="s">
        <v>491</v>
      </c>
      <c r="B27" s="727"/>
      <c r="C27" s="727"/>
      <c r="D27" s="727"/>
      <c r="E27" s="727"/>
      <c r="F27" s="727"/>
      <c r="G27" s="728"/>
      <c r="H27" s="242" t="s">
        <v>306</v>
      </c>
      <c r="I27" s="321">
        <v>43647</v>
      </c>
    </row>
    <row r="28" spans="1:9" x14ac:dyDescent="0.2">
      <c r="A28" s="724" t="s">
        <v>398</v>
      </c>
      <c r="B28" s="727"/>
      <c r="C28" s="727"/>
      <c r="D28" s="727"/>
      <c r="E28" s="727"/>
      <c r="F28" s="727"/>
      <c r="G28" s="728"/>
      <c r="H28" s="243" t="s">
        <v>307</v>
      </c>
      <c r="I28" s="244" t="s">
        <v>54</v>
      </c>
    </row>
    <row r="29" spans="1:9" x14ac:dyDescent="0.2">
      <c r="A29" s="717" t="s">
        <v>308</v>
      </c>
      <c r="B29" s="718"/>
      <c r="C29" s="718"/>
      <c r="D29" s="718"/>
      <c r="E29" s="718"/>
      <c r="F29" s="718"/>
      <c r="G29" s="718"/>
      <c r="H29" s="718"/>
      <c r="I29" s="719"/>
    </row>
    <row r="30" spans="1:9" x14ac:dyDescent="0.2">
      <c r="A30" s="245" t="s">
        <v>303</v>
      </c>
      <c r="B30" s="246" t="s">
        <v>309</v>
      </c>
      <c r="C30" s="246" t="s">
        <v>384</v>
      </c>
      <c r="D30" s="248" t="s">
        <v>226</v>
      </c>
      <c r="E30" s="248" t="s">
        <v>310</v>
      </c>
      <c r="F30" s="248" t="s">
        <v>311</v>
      </c>
      <c r="G30" s="249" t="s">
        <v>312</v>
      </c>
      <c r="H30" s="249" t="s">
        <v>313</v>
      </c>
      <c r="I30" s="246" t="s">
        <v>314</v>
      </c>
    </row>
    <row r="31" spans="1:9" x14ac:dyDescent="0.2">
      <c r="A31" s="263"/>
      <c r="B31" s="250"/>
      <c r="C31" s="250"/>
      <c r="D31" s="264"/>
      <c r="E31" s="252"/>
      <c r="F31" s="252"/>
      <c r="G31" s="249"/>
      <c r="H31" s="249"/>
      <c r="I31" s="267">
        <f>D31*E31*G31+D31*F31*H31</f>
        <v>0</v>
      </c>
    </row>
    <row r="32" spans="1:9" x14ac:dyDescent="0.2">
      <c r="A32" s="729" t="s">
        <v>315</v>
      </c>
      <c r="B32" s="730"/>
      <c r="C32" s="730"/>
      <c r="D32" s="730"/>
      <c r="E32" s="730"/>
      <c r="F32" s="730"/>
      <c r="G32" s="730"/>
      <c r="H32" s="731"/>
      <c r="I32" s="324">
        <f>SUM(I31:I31)</f>
        <v>0</v>
      </c>
    </row>
    <row r="33" spans="1:9" x14ac:dyDescent="0.2">
      <c r="A33" s="717" t="s">
        <v>316</v>
      </c>
      <c r="B33" s="718"/>
      <c r="C33" s="718"/>
      <c r="D33" s="718"/>
      <c r="E33" s="718"/>
      <c r="F33" s="718"/>
      <c r="G33" s="718"/>
      <c r="H33" s="718"/>
      <c r="I33" s="719"/>
    </row>
    <row r="34" spans="1:9" x14ac:dyDescent="0.2">
      <c r="A34" s="245" t="s">
        <v>303</v>
      </c>
      <c r="B34" s="246" t="s">
        <v>309</v>
      </c>
      <c r="C34" s="246" t="s">
        <v>384</v>
      </c>
      <c r="D34" s="248" t="s">
        <v>226</v>
      </c>
      <c r="E34" s="247"/>
      <c r="F34" s="247"/>
      <c r="G34" s="247"/>
      <c r="H34" s="246" t="s">
        <v>317</v>
      </c>
      <c r="I34" s="246" t="s">
        <v>314</v>
      </c>
    </row>
    <row r="35" spans="1:9" x14ac:dyDescent="0.2">
      <c r="A35" s="242" t="s">
        <v>403</v>
      </c>
      <c r="B35" s="246" t="s">
        <v>400</v>
      </c>
      <c r="C35" s="246"/>
      <c r="D35" s="249">
        <v>6</v>
      </c>
      <c r="E35" s="247"/>
      <c r="F35" s="247"/>
      <c r="G35" s="247"/>
      <c r="H35" s="344">
        <v>70</v>
      </c>
      <c r="I35" s="346">
        <f>D35*H35</f>
        <v>420</v>
      </c>
    </row>
    <row r="36" spans="1:9" x14ac:dyDescent="0.2">
      <c r="A36" s="254" t="s">
        <v>404</v>
      </c>
      <c r="B36" s="255" t="s">
        <v>400</v>
      </c>
      <c r="C36" s="255"/>
      <c r="D36" s="251">
        <v>6</v>
      </c>
      <c r="E36" s="256"/>
      <c r="F36" s="256"/>
      <c r="G36" s="256"/>
      <c r="H36" s="347">
        <v>50</v>
      </c>
      <c r="I36" s="346">
        <f>D36*H36</f>
        <v>300</v>
      </c>
    </row>
    <row r="37" spans="1:9" x14ac:dyDescent="0.2">
      <c r="A37" s="254" t="s">
        <v>405</v>
      </c>
      <c r="B37" s="255" t="s">
        <v>400</v>
      </c>
      <c r="C37" s="255"/>
      <c r="D37" s="251">
        <v>6</v>
      </c>
      <c r="E37" s="256"/>
      <c r="F37" s="256"/>
      <c r="G37" s="256"/>
      <c r="H37" s="347">
        <v>70</v>
      </c>
      <c r="I37" s="346">
        <f>D37*H37</f>
        <v>420</v>
      </c>
    </row>
    <row r="38" spans="1:9" x14ac:dyDescent="0.2">
      <c r="A38" s="720" t="s">
        <v>315</v>
      </c>
      <c r="B38" s="720"/>
      <c r="C38" s="720"/>
      <c r="D38" s="720"/>
      <c r="E38" s="720"/>
      <c r="F38" s="720"/>
      <c r="G38" s="720"/>
      <c r="H38" s="720"/>
      <c r="I38" s="349">
        <f>SUM(I35:I37)</f>
        <v>1140</v>
      </c>
    </row>
    <row r="39" spans="1:9" x14ac:dyDescent="0.2">
      <c r="A39" s="717" t="s">
        <v>318</v>
      </c>
      <c r="B39" s="718"/>
      <c r="C39" s="718"/>
      <c r="D39" s="718"/>
      <c r="E39" s="718"/>
      <c r="F39" s="718"/>
      <c r="G39" s="718"/>
      <c r="H39" s="718"/>
      <c r="I39" s="719"/>
    </row>
    <row r="40" spans="1:9" x14ac:dyDescent="0.2">
      <c r="A40" s="246" t="s">
        <v>303</v>
      </c>
      <c r="B40" s="259" t="s">
        <v>309</v>
      </c>
      <c r="C40" s="246" t="s">
        <v>384</v>
      </c>
      <c r="D40" s="246" t="s">
        <v>226</v>
      </c>
      <c r="E40" s="259"/>
      <c r="F40" s="259"/>
      <c r="G40" s="259"/>
      <c r="H40" s="246" t="s">
        <v>317</v>
      </c>
      <c r="I40" s="258" t="s">
        <v>314</v>
      </c>
    </row>
    <row r="41" spans="1:9" x14ac:dyDescent="0.2">
      <c r="A41" s="260"/>
      <c r="B41" s="246"/>
      <c r="C41" s="246"/>
      <c r="D41" s="360"/>
      <c r="E41" s="259"/>
      <c r="F41" s="259"/>
      <c r="G41" s="259"/>
      <c r="H41" s="258"/>
      <c r="I41" s="268">
        <f>D41*H41</f>
        <v>0</v>
      </c>
    </row>
    <row r="42" spans="1:9" x14ac:dyDescent="0.2">
      <c r="A42" s="720" t="s">
        <v>315</v>
      </c>
      <c r="B42" s="720"/>
      <c r="C42" s="720"/>
      <c r="D42" s="720"/>
      <c r="E42" s="720"/>
      <c r="F42" s="720"/>
      <c r="G42" s="720"/>
      <c r="H42" s="720"/>
      <c r="I42" s="332">
        <f>SUM(I41:I41)</f>
        <v>0</v>
      </c>
    </row>
    <row r="43" spans="1:9" x14ac:dyDescent="0.2">
      <c r="A43" s="717" t="s">
        <v>319</v>
      </c>
      <c r="B43" s="718"/>
      <c r="C43" s="718"/>
      <c r="D43" s="718"/>
      <c r="E43" s="718"/>
      <c r="F43" s="718"/>
      <c r="G43" s="718"/>
      <c r="H43" s="718"/>
      <c r="I43" s="719"/>
    </row>
    <row r="44" spans="1:9" x14ac:dyDescent="0.2">
      <c r="A44" s="245" t="s">
        <v>303</v>
      </c>
      <c r="B44" s="246" t="s">
        <v>309</v>
      </c>
      <c r="C44" s="246" t="s">
        <v>384</v>
      </c>
      <c r="D44" s="248" t="s">
        <v>226</v>
      </c>
      <c r="E44" s="247"/>
      <c r="F44" s="247"/>
      <c r="G44" s="247"/>
      <c r="H44" s="246" t="s">
        <v>317</v>
      </c>
      <c r="I44" s="246" t="s">
        <v>314</v>
      </c>
    </row>
    <row r="45" spans="1:9" ht="25.5" x14ac:dyDescent="0.2">
      <c r="A45" s="319" t="s">
        <v>399</v>
      </c>
      <c r="B45" s="246" t="s">
        <v>400</v>
      </c>
      <c r="C45" s="342">
        <v>93572</v>
      </c>
      <c r="D45" s="249">
        <v>0.15</v>
      </c>
      <c r="E45" s="247"/>
      <c r="F45" s="247"/>
      <c r="G45" s="247"/>
      <c r="H45" s="344">
        <v>6263.45</v>
      </c>
      <c r="I45" s="345">
        <f t="shared" ref="I45:I46" si="0">ROUND(D45*H45,2)</f>
        <v>939.52</v>
      </c>
    </row>
    <row r="46" spans="1:9" ht="25.5" x14ac:dyDescent="0.2">
      <c r="A46" s="343" t="s">
        <v>401</v>
      </c>
      <c r="B46" s="246" t="s">
        <v>400</v>
      </c>
      <c r="C46" s="342">
        <v>93567</v>
      </c>
      <c r="D46" s="249">
        <v>0.15</v>
      </c>
      <c r="E46" s="247"/>
      <c r="F46" s="247"/>
      <c r="G46" s="247"/>
      <c r="H46" s="344">
        <v>17125.419999999998</v>
      </c>
      <c r="I46" s="345">
        <f t="shared" si="0"/>
        <v>2568.81</v>
      </c>
    </row>
    <row r="47" spans="1:9" ht="25.5" x14ac:dyDescent="0.2">
      <c r="A47" s="343" t="s">
        <v>402</v>
      </c>
      <c r="B47" s="246" t="s">
        <v>400</v>
      </c>
      <c r="C47" s="342">
        <v>93566</v>
      </c>
      <c r="D47" s="249">
        <v>0.15</v>
      </c>
      <c r="E47" s="247"/>
      <c r="F47" s="247"/>
      <c r="G47" s="247"/>
      <c r="H47" s="344">
        <v>3444.71</v>
      </c>
      <c r="I47" s="345">
        <f>ROUND(D47*H47,2)</f>
        <v>516.71</v>
      </c>
    </row>
    <row r="48" spans="1:9" x14ac:dyDescent="0.2">
      <c r="A48" s="701" t="s">
        <v>315</v>
      </c>
      <c r="B48" s="702"/>
      <c r="C48" s="702"/>
      <c r="D48" s="702"/>
      <c r="E48" s="702"/>
      <c r="F48" s="702"/>
      <c r="G48" s="702"/>
      <c r="H48" s="703"/>
      <c r="I48" s="350">
        <f>SUM(I45:I47)</f>
        <v>4025.04</v>
      </c>
    </row>
    <row r="49" spans="1:9" x14ac:dyDescent="0.2">
      <c r="A49" s="262" t="s">
        <v>320</v>
      </c>
      <c r="B49" s="261">
        <v>1</v>
      </c>
      <c r="C49" s="325"/>
      <c r="D49" s="704" t="s">
        <v>321</v>
      </c>
      <c r="E49" s="705"/>
      <c r="F49" s="705"/>
      <c r="G49" s="705"/>
      <c r="H49" s="706"/>
      <c r="I49" s="351">
        <f>I48+I42+I38+I32</f>
        <v>5165.04</v>
      </c>
    </row>
    <row r="50" spans="1:9" x14ac:dyDescent="0.2">
      <c r="A50" s="707" t="s">
        <v>326</v>
      </c>
      <c r="B50" s="708"/>
      <c r="C50" s="708"/>
      <c r="D50" s="708"/>
      <c r="E50" s="708"/>
      <c r="F50" s="708"/>
      <c r="G50" s="709"/>
      <c r="H50" s="710"/>
      <c r="I50" s="352">
        <f>I49/B49</f>
        <v>5165.04</v>
      </c>
    </row>
    <row r="51" spans="1:9" x14ac:dyDescent="0.2">
      <c r="A51" s="711" t="s">
        <v>322</v>
      </c>
      <c r="B51" s="712"/>
      <c r="C51" s="712"/>
      <c r="D51" s="712"/>
      <c r="E51" s="712"/>
      <c r="F51" s="712"/>
      <c r="G51" s="712"/>
      <c r="H51" s="713"/>
      <c r="I51" s="268">
        <v>1</v>
      </c>
    </row>
    <row r="52" spans="1:9" x14ac:dyDescent="0.2">
      <c r="A52" s="714" t="s">
        <v>323</v>
      </c>
      <c r="B52" s="715"/>
      <c r="C52" s="715"/>
      <c r="D52" s="715"/>
      <c r="E52" s="715"/>
      <c r="F52" s="715"/>
      <c r="G52" s="715"/>
      <c r="H52" s="716"/>
      <c r="I52" s="348">
        <f>I50*I51</f>
        <v>5165.04</v>
      </c>
    </row>
    <row r="53" spans="1:9" ht="15.75" x14ac:dyDescent="0.2">
      <c r="A53" s="241" t="s">
        <v>304</v>
      </c>
      <c r="B53" s="721" t="s">
        <v>305</v>
      </c>
      <c r="C53" s="722"/>
      <c r="D53" s="722"/>
      <c r="E53" s="722"/>
      <c r="F53" s="722"/>
      <c r="G53" s="722"/>
      <c r="H53" s="722"/>
      <c r="I53" s="723"/>
    </row>
    <row r="54" spans="1:9" ht="28.5" customHeight="1" x14ac:dyDescent="0.2">
      <c r="A54" s="724" t="s">
        <v>491</v>
      </c>
      <c r="B54" s="725"/>
      <c r="C54" s="725"/>
      <c r="D54" s="725"/>
      <c r="E54" s="725"/>
      <c r="F54" s="725"/>
      <c r="G54" s="726"/>
      <c r="H54" s="242" t="s">
        <v>306</v>
      </c>
      <c r="I54" s="321">
        <v>43647</v>
      </c>
    </row>
    <row r="55" spans="1:9" x14ac:dyDescent="0.2">
      <c r="A55" s="724" t="s">
        <v>458</v>
      </c>
      <c r="B55" s="727"/>
      <c r="C55" s="727"/>
      <c r="D55" s="727"/>
      <c r="E55" s="727"/>
      <c r="F55" s="727"/>
      <c r="G55" s="728"/>
      <c r="H55" s="243" t="s">
        <v>307</v>
      </c>
      <c r="I55" s="244" t="s">
        <v>54</v>
      </c>
    </row>
    <row r="56" spans="1:9" x14ac:dyDescent="0.2">
      <c r="A56" s="717" t="s">
        <v>308</v>
      </c>
      <c r="B56" s="718"/>
      <c r="C56" s="718"/>
      <c r="D56" s="718"/>
      <c r="E56" s="718"/>
      <c r="F56" s="718"/>
      <c r="G56" s="718"/>
      <c r="H56" s="718"/>
      <c r="I56" s="719"/>
    </row>
    <row r="57" spans="1:9" x14ac:dyDescent="0.2">
      <c r="A57" s="245" t="s">
        <v>303</v>
      </c>
      <c r="B57" s="246" t="s">
        <v>309</v>
      </c>
      <c r="C57" s="246" t="s">
        <v>384</v>
      </c>
      <c r="D57" s="248" t="s">
        <v>226</v>
      </c>
      <c r="E57" s="248" t="s">
        <v>310</v>
      </c>
      <c r="F57" s="248" t="s">
        <v>311</v>
      </c>
      <c r="G57" s="249" t="s">
        <v>312</v>
      </c>
      <c r="H57" s="249" t="s">
        <v>313</v>
      </c>
      <c r="I57" s="246" t="s">
        <v>314</v>
      </c>
    </row>
    <row r="58" spans="1:9" ht="25.5" x14ac:dyDescent="0.2">
      <c r="A58" s="263" t="s">
        <v>498</v>
      </c>
      <c r="B58" s="250" t="s">
        <v>400</v>
      </c>
      <c r="C58" s="250"/>
      <c r="D58" s="425">
        <v>6</v>
      </c>
      <c r="E58" s="249">
        <v>1</v>
      </c>
      <c r="F58" s="252"/>
      <c r="G58" s="344">
        <v>400</v>
      </c>
      <c r="H58" s="249"/>
      <c r="I58" s="346">
        <f>ROUND(D58*E58*G58+D58*F58*H58,2)</f>
        <v>2400</v>
      </c>
    </row>
    <row r="59" spans="1:9" x14ac:dyDescent="0.2">
      <c r="A59" s="729" t="s">
        <v>315</v>
      </c>
      <c r="B59" s="730"/>
      <c r="C59" s="730"/>
      <c r="D59" s="730"/>
      <c r="E59" s="730"/>
      <c r="F59" s="730"/>
      <c r="G59" s="730"/>
      <c r="H59" s="731"/>
      <c r="I59" s="350">
        <f>SUM(I58:I58)</f>
        <v>2400</v>
      </c>
    </row>
    <row r="60" spans="1:9" x14ac:dyDescent="0.2">
      <c r="A60" s="717" t="s">
        <v>316</v>
      </c>
      <c r="B60" s="718"/>
      <c r="C60" s="718"/>
      <c r="D60" s="718"/>
      <c r="E60" s="718"/>
      <c r="F60" s="718"/>
      <c r="G60" s="718"/>
      <c r="H60" s="718"/>
      <c r="I60" s="719"/>
    </row>
    <row r="61" spans="1:9" x14ac:dyDescent="0.2">
      <c r="A61" s="245" t="s">
        <v>303</v>
      </c>
      <c r="B61" s="246" t="s">
        <v>309</v>
      </c>
      <c r="C61" s="246" t="s">
        <v>384</v>
      </c>
      <c r="D61" s="248" t="s">
        <v>226</v>
      </c>
      <c r="E61" s="247"/>
      <c r="F61" s="247"/>
      <c r="G61" s="247"/>
      <c r="H61" s="246" t="s">
        <v>317</v>
      </c>
      <c r="I61" s="246" t="s">
        <v>314</v>
      </c>
    </row>
    <row r="62" spans="1:9" x14ac:dyDescent="0.2">
      <c r="A62" s="242"/>
      <c r="B62" s="246"/>
      <c r="C62" s="246"/>
      <c r="D62" s="249"/>
      <c r="E62" s="247"/>
      <c r="F62" s="247"/>
      <c r="G62" s="247"/>
      <c r="H62" s="344"/>
      <c r="I62" s="346">
        <f>D62*H62</f>
        <v>0</v>
      </c>
    </row>
    <row r="63" spans="1:9" x14ac:dyDescent="0.2">
      <c r="A63" s="720" t="s">
        <v>315</v>
      </c>
      <c r="B63" s="720"/>
      <c r="C63" s="720"/>
      <c r="D63" s="720"/>
      <c r="E63" s="720"/>
      <c r="F63" s="720"/>
      <c r="G63" s="720"/>
      <c r="H63" s="720"/>
      <c r="I63" s="349">
        <f>SUM(I62:I62)</f>
        <v>0</v>
      </c>
    </row>
    <row r="64" spans="1:9" x14ac:dyDescent="0.2">
      <c r="A64" s="717" t="s">
        <v>318</v>
      </c>
      <c r="B64" s="718"/>
      <c r="C64" s="718"/>
      <c r="D64" s="718"/>
      <c r="E64" s="718"/>
      <c r="F64" s="718"/>
      <c r="G64" s="718"/>
      <c r="H64" s="718"/>
      <c r="I64" s="719"/>
    </row>
    <row r="65" spans="1:9" x14ac:dyDescent="0.2">
      <c r="A65" s="246" t="s">
        <v>303</v>
      </c>
      <c r="B65" s="259" t="s">
        <v>309</v>
      </c>
      <c r="C65" s="246" t="s">
        <v>384</v>
      </c>
      <c r="D65" s="246" t="s">
        <v>226</v>
      </c>
      <c r="E65" s="259"/>
      <c r="F65" s="259"/>
      <c r="G65" s="259"/>
      <c r="H65" s="246" t="s">
        <v>317</v>
      </c>
      <c r="I65" s="258" t="s">
        <v>314</v>
      </c>
    </row>
    <row r="66" spans="1:9" x14ac:dyDescent="0.2">
      <c r="A66" s="260"/>
      <c r="B66" s="246"/>
      <c r="C66" s="246"/>
      <c r="D66" s="360"/>
      <c r="E66" s="259"/>
      <c r="F66" s="259"/>
      <c r="G66" s="259"/>
      <c r="H66" s="258"/>
      <c r="I66" s="268">
        <f>D66*H66</f>
        <v>0</v>
      </c>
    </row>
    <row r="67" spans="1:9" x14ac:dyDescent="0.2">
      <c r="A67" s="720" t="s">
        <v>315</v>
      </c>
      <c r="B67" s="720"/>
      <c r="C67" s="720"/>
      <c r="D67" s="720"/>
      <c r="E67" s="720"/>
      <c r="F67" s="720"/>
      <c r="G67" s="720"/>
      <c r="H67" s="720"/>
      <c r="I67" s="332">
        <f>SUM(I66:I66)</f>
        <v>0</v>
      </c>
    </row>
    <row r="68" spans="1:9" x14ac:dyDescent="0.2">
      <c r="A68" s="717" t="s">
        <v>319</v>
      </c>
      <c r="B68" s="718"/>
      <c r="C68" s="718"/>
      <c r="D68" s="718"/>
      <c r="E68" s="718"/>
      <c r="F68" s="718"/>
      <c r="G68" s="718"/>
      <c r="H68" s="718"/>
      <c r="I68" s="719"/>
    </row>
    <row r="69" spans="1:9" x14ac:dyDescent="0.2">
      <c r="A69" s="245" t="s">
        <v>303</v>
      </c>
      <c r="B69" s="246" t="s">
        <v>309</v>
      </c>
      <c r="C69" s="246" t="s">
        <v>384</v>
      </c>
      <c r="D69" s="248" t="s">
        <v>226</v>
      </c>
      <c r="E69" s="247"/>
      <c r="F69" s="247"/>
      <c r="G69" s="247"/>
      <c r="H69" s="246" t="s">
        <v>317</v>
      </c>
      <c r="I69" s="246" t="s">
        <v>314</v>
      </c>
    </row>
    <row r="70" spans="1:9" x14ac:dyDescent="0.2">
      <c r="A70" s="391"/>
      <c r="B70" s="246"/>
      <c r="C70" s="342"/>
      <c r="D70" s="249"/>
      <c r="E70" s="247"/>
      <c r="F70" s="247"/>
      <c r="G70" s="247"/>
      <c r="H70" s="344"/>
      <c r="I70" s="345">
        <f t="shared" ref="I70" si="1">ROUND(D70*H70,2)</f>
        <v>0</v>
      </c>
    </row>
    <row r="71" spans="1:9" x14ac:dyDescent="0.2">
      <c r="A71" s="701" t="s">
        <v>315</v>
      </c>
      <c r="B71" s="702"/>
      <c r="C71" s="702"/>
      <c r="D71" s="702"/>
      <c r="E71" s="702"/>
      <c r="F71" s="702"/>
      <c r="G71" s="702"/>
      <c r="H71" s="703"/>
      <c r="I71" s="350">
        <f>SUM(I70:I70)</f>
        <v>0</v>
      </c>
    </row>
    <row r="72" spans="1:9" x14ac:dyDescent="0.2">
      <c r="A72" s="262" t="s">
        <v>320</v>
      </c>
      <c r="B72" s="261">
        <v>1</v>
      </c>
      <c r="C72" s="325"/>
      <c r="D72" s="704" t="s">
        <v>321</v>
      </c>
      <c r="E72" s="705"/>
      <c r="F72" s="705"/>
      <c r="G72" s="705"/>
      <c r="H72" s="706"/>
      <c r="I72" s="351">
        <f>I71+I67+I63+I59</f>
        <v>2400</v>
      </c>
    </row>
    <row r="73" spans="1:9" x14ac:dyDescent="0.2">
      <c r="A73" s="707" t="s">
        <v>326</v>
      </c>
      <c r="B73" s="708"/>
      <c r="C73" s="708"/>
      <c r="D73" s="708"/>
      <c r="E73" s="708"/>
      <c r="F73" s="708"/>
      <c r="G73" s="709"/>
      <c r="H73" s="710"/>
      <c r="I73" s="352">
        <f>I72/B72</f>
        <v>2400</v>
      </c>
    </row>
    <row r="74" spans="1:9" x14ac:dyDescent="0.2">
      <c r="A74" s="711" t="s">
        <v>322</v>
      </c>
      <c r="B74" s="712"/>
      <c r="C74" s="712"/>
      <c r="D74" s="712"/>
      <c r="E74" s="712"/>
      <c r="F74" s="712"/>
      <c r="G74" s="712"/>
      <c r="H74" s="713"/>
      <c r="I74" s="268">
        <v>1</v>
      </c>
    </row>
    <row r="75" spans="1:9" x14ac:dyDescent="0.2">
      <c r="A75" s="714" t="s">
        <v>323</v>
      </c>
      <c r="B75" s="715"/>
      <c r="C75" s="715"/>
      <c r="D75" s="715"/>
      <c r="E75" s="715"/>
      <c r="F75" s="715"/>
      <c r="G75" s="715"/>
      <c r="H75" s="716"/>
      <c r="I75" s="348">
        <f>I73*I74</f>
        <v>2400</v>
      </c>
    </row>
    <row r="76" spans="1:9" ht="15.75" x14ac:dyDescent="0.2">
      <c r="A76" s="241" t="s">
        <v>304</v>
      </c>
      <c r="B76" s="721" t="s">
        <v>305</v>
      </c>
      <c r="C76" s="722"/>
      <c r="D76" s="722"/>
      <c r="E76" s="722"/>
      <c r="F76" s="722"/>
      <c r="G76" s="722"/>
      <c r="H76" s="722"/>
      <c r="I76" s="723"/>
    </row>
    <row r="77" spans="1:9" ht="28.5" customHeight="1" x14ac:dyDescent="0.2">
      <c r="A77" s="724" t="s">
        <v>491</v>
      </c>
      <c r="B77" s="725"/>
      <c r="C77" s="725"/>
      <c r="D77" s="725"/>
      <c r="E77" s="725"/>
      <c r="F77" s="725"/>
      <c r="G77" s="726"/>
      <c r="H77" s="242" t="s">
        <v>306</v>
      </c>
      <c r="I77" s="321">
        <v>43647</v>
      </c>
    </row>
    <row r="78" spans="1:9" ht="28.5" customHeight="1" x14ac:dyDescent="0.2">
      <c r="A78" s="724" t="s">
        <v>464</v>
      </c>
      <c r="B78" s="727"/>
      <c r="C78" s="727"/>
      <c r="D78" s="727"/>
      <c r="E78" s="727"/>
      <c r="F78" s="727"/>
      <c r="G78" s="728"/>
      <c r="H78" s="243" t="s">
        <v>307</v>
      </c>
      <c r="I78" s="244" t="s">
        <v>386</v>
      </c>
    </row>
    <row r="79" spans="1:9" x14ac:dyDescent="0.2">
      <c r="A79" s="717" t="s">
        <v>308</v>
      </c>
      <c r="B79" s="718"/>
      <c r="C79" s="718"/>
      <c r="D79" s="718"/>
      <c r="E79" s="718"/>
      <c r="F79" s="718"/>
      <c r="G79" s="718"/>
      <c r="H79" s="718"/>
      <c r="I79" s="719"/>
    </row>
    <row r="80" spans="1:9" x14ac:dyDescent="0.2">
      <c r="A80" s="245" t="s">
        <v>303</v>
      </c>
      <c r="B80" s="246" t="s">
        <v>309</v>
      </c>
      <c r="C80" s="246" t="s">
        <v>384</v>
      </c>
      <c r="D80" s="248" t="s">
        <v>226</v>
      </c>
      <c r="E80" s="248" t="s">
        <v>310</v>
      </c>
      <c r="F80" s="248" t="s">
        <v>311</v>
      </c>
      <c r="G80" s="249" t="s">
        <v>312</v>
      </c>
      <c r="H80" s="249" t="s">
        <v>313</v>
      </c>
      <c r="I80" s="246" t="s">
        <v>314</v>
      </c>
    </row>
    <row r="81" spans="1:14" ht="38.25" x14ac:dyDescent="0.2">
      <c r="A81" s="448" t="s">
        <v>465</v>
      </c>
      <c r="B81" s="245" t="s">
        <v>469</v>
      </c>
      <c r="C81" s="245" t="s">
        <v>471</v>
      </c>
      <c r="D81" s="449" t="s">
        <v>475</v>
      </c>
      <c r="E81" s="249">
        <v>1</v>
      </c>
      <c r="F81" s="248"/>
      <c r="G81" s="452">
        <v>5.59</v>
      </c>
      <c r="H81" s="452"/>
      <c r="I81" s="346">
        <f t="shared" ref="I81:I83" si="2">ROUND(D81*E81*G81+D81*F81*H81,2)</f>
        <v>0.03</v>
      </c>
    </row>
    <row r="82" spans="1:14" ht="38.25" x14ac:dyDescent="0.2">
      <c r="A82" s="448" t="s">
        <v>466</v>
      </c>
      <c r="B82" s="245" t="s">
        <v>470</v>
      </c>
      <c r="C82" s="245" t="s">
        <v>472</v>
      </c>
      <c r="D82" s="449" t="s">
        <v>476</v>
      </c>
      <c r="E82" s="248"/>
      <c r="F82" s="249">
        <v>1</v>
      </c>
      <c r="G82" s="452"/>
      <c r="H82" s="452">
        <v>0.84</v>
      </c>
      <c r="I82" s="346">
        <f t="shared" si="2"/>
        <v>7.0000000000000007E-2</v>
      </c>
    </row>
    <row r="83" spans="1:14" ht="51" x14ac:dyDescent="0.2">
      <c r="A83" s="448" t="s">
        <v>467</v>
      </c>
      <c r="B83" s="245" t="s">
        <v>469</v>
      </c>
      <c r="C83" s="245" t="s">
        <v>473</v>
      </c>
      <c r="D83" s="449" t="s">
        <v>477</v>
      </c>
      <c r="E83" s="249">
        <v>1</v>
      </c>
      <c r="F83" s="248"/>
      <c r="G83" s="452">
        <v>10.7</v>
      </c>
      <c r="H83" s="452"/>
      <c r="I83" s="346">
        <f t="shared" si="2"/>
        <v>0.14000000000000001</v>
      </c>
      <c r="N83">
        <f>250/14</f>
        <v>17.857142857142858</v>
      </c>
    </row>
    <row r="84" spans="1:14" ht="51" x14ac:dyDescent="0.2">
      <c r="A84" s="263" t="s">
        <v>468</v>
      </c>
      <c r="B84" s="250" t="s">
        <v>470</v>
      </c>
      <c r="C84" s="250" t="s">
        <v>474</v>
      </c>
      <c r="D84" s="425" t="s">
        <v>478</v>
      </c>
      <c r="E84" s="249"/>
      <c r="F84" s="249">
        <v>1</v>
      </c>
      <c r="G84" s="452"/>
      <c r="H84" s="452">
        <v>0.65</v>
      </c>
      <c r="I84" s="346">
        <f>ROUND(D84*E84*G84+D84*F84*H84,2)</f>
        <v>0.05</v>
      </c>
    </row>
    <row r="85" spans="1:14" x14ac:dyDescent="0.2">
      <c r="A85" s="729" t="s">
        <v>315</v>
      </c>
      <c r="B85" s="730"/>
      <c r="C85" s="730"/>
      <c r="D85" s="730"/>
      <c r="E85" s="730"/>
      <c r="F85" s="730"/>
      <c r="G85" s="730"/>
      <c r="H85" s="731"/>
      <c r="I85" s="350">
        <f>SUM(I81:I84)</f>
        <v>0.29000000000000004</v>
      </c>
    </row>
    <row r="86" spans="1:14" x14ac:dyDescent="0.2">
      <c r="A86" s="717" t="s">
        <v>316</v>
      </c>
      <c r="B86" s="718"/>
      <c r="C86" s="718"/>
      <c r="D86" s="718"/>
      <c r="E86" s="718"/>
      <c r="F86" s="718"/>
      <c r="G86" s="718"/>
      <c r="H86" s="718"/>
      <c r="I86" s="719"/>
    </row>
    <row r="87" spans="1:14" x14ac:dyDescent="0.2">
      <c r="A87" s="245" t="s">
        <v>303</v>
      </c>
      <c r="B87" s="246" t="s">
        <v>309</v>
      </c>
      <c r="C87" s="246" t="s">
        <v>384</v>
      </c>
      <c r="D87" s="248" t="s">
        <v>226</v>
      </c>
      <c r="E87" s="247"/>
      <c r="F87" s="247"/>
      <c r="G87" s="247"/>
      <c r="H87" s="246" t="s">
        <v>317</v>
      </c>
      <c r="I87" s="246" t="s">
        <v>314</v>
      </c>
    </row>
    <row r="88" spans="1:14" ht="25.5" x14ac:dyDescent="0.2">
      <c r="A88" s="448" t="s">
        <v>481</v>
      </c>
      <c r="B88" s="246" t="s">
        <v>431</v>
      </c>
      <c r="C88" s="246"/>
      <c r="D88" s="248">
        <v>0.09</v>
      </c>
      <c r="E88" s="247"/>
      <c r="F88" s="247"/>
      <c r="G88" s="247"/>
      <c r="H88" s="344">
        <v>20</v>
      </c>
      <c r="I88" s="346">
        <f>ROUND(D88*H88,2)</f>
        <v>1.8</v>
      </c>
    </row>
    <row r="89" spans="1:14" ht="38.25" x14ac:dyDescent="0.2">
      <c r="A89" s="448" t="s">
        <v>479</v>
      </c>
      <c r="B89" s="246" t="s">
        <v>429</v>
      </c>
      <c r="C89" s="246">
        <v>712</v>
      </c>
      <c r="D89" s="248" t="s">
        <v>482</v>
      </c>
      <c r="E89" s="247"/>
      <c r="F89" s="247"/>
      <c r="G89" s="247"/>
      <c r="H89" s="452">
        <v>40</v>
      </c>
      <c r="I89" s="346">
        <f t="shared" ref="I89:I90" si="3">ROUND(D89*H89,2)</f>
        <v>40.700000000000003</v>
      </c>
    </row>
    <row r="90" spans="1:14" x14ac:dyDescent="0.2">
      <c r="A90" s="448" t="s">
        <v>480</v>
      </c>
      <c r="B90" s="246" t="s">
        <v>431</v>
      </c>
      <c r="C90" s="246" t="s">
        <v>484</v>
      </c>
      <c r="D90" s="249" t="s">
        <v>483</v>
      </c>
      <c r="E90" s="247"/>
      <c r="F90" s="247"/>
      <c r="G90" s="247"/>
      <c r="H90" s="344">
        <v>65.099999999999994</v>
      </c>
      <c r="I90" s="346">
        <f t="shared" si="3"/>
        <v>0.42</v>
      </c>
    </row>
    <row r="91" spans="1:14" x14ac:dyDescent="0.2">
      <c r="A91" s="720" t="s">
        <v>315</v>
      </c>
      <c r="B91" s="720"/>
      <c r="C91" s="720"/>
      <c r="D91" s="720"/>
      <c r="E91" s="720"/>
      <c r="F91" s="720"/>
      <c r="G91" s="720"/>
      <c r="H91" s="720"/>
      <c r="I91" s="349">
        <f>SUM(I88:I90)</f>
        <v>42.92</v>
      </c>
    </row>
    <row r="92" spans="1:14" x14ac:dyDescent="0.2">
      <c r="A92" s="717" t="s">
        <v>318</v>
      </c>
      <c r="B92" s="718"/>
      <c r="C92" s="718"/>
      <c r="D92" s="718"/>
      <c r="E92" s="718"/>
      <c r="F92" s="718"/>
      <c r="G92" s="718"/>
      <c r="H92" s="718"/>
      <c r="I92" s="719"/>
    </row>
    <row r="93" spans="1:14" x14ac:dyDescent="0.2">
      <c r="A93" s="246" t="s">
        <v>303</v>
      </c>
      <c r="B93" s="259" t="s">
        <v>309</v>
      </c>
      <c r="C93" s="246" t="s">
        <v>384</v>
      </c>
      <c r="D93" s="246" t="s">
        <v>226</v>
      </c>
      <c r="E93" s="259"/>
      <c r="F93" s="259"/>
      <c r="G93" s="259"/>
      <c r="H93" s="246" t="s">
        <v>317</v>
      </c>
      <c r="I93" s="258" t="s">
        <v>314</v>
      </c>
    </row>
    <row r="94" spans="1:14" x14ac:dyDescent="0.2">
      <c r="A94" s="260"/>
      <c r="B94" s="246"/>
      <c r="C94" s="246"/>
      <c r="D94" s="360"/>
      <c r="E94" s="259"/>
      <c r="F94" s="259"/>
      <c r="G94" s="259"/>
      <c r="H94" s="258"/>
      <c r="I94" s="268">
        <f>D94*H94</f>
        <v>0</v>
      </c>
    </row>
    <row r="95" spans="1:14" x14ac:dyDescent="0.2">
      <c r="A95" s="720" t="s">
        <v>315</v>
      </c>
      <c r="B95" s="720"/>
      <c r="C95" s="720"/>
      <c r="D95" s="720"/>
      <c r="E95" s="720"/>
      <c r="F95" s="720"/>
      <c r="G95" s="720"/>
      <c r="H95" s="720"/>
      <c r="I95" s="332">
        <f>SUM(I94:I94)</f>
        <v>0</v>
      </c>
    </row>
    <row r="96" spans="1:14" x14ac:dyDescent="0.2">
      <c r="A96" s="717" t="s">
        <v>319</v>
      </c>
      <c r="B96" s="718"/>
      <c r="C96" s="718"/>
      <c r="D96" s="718"/>
      <c r="E96" s="718"/>
      <c r="F96" s="718"/>
      <c r="G96" s="718"/>
      <c r="H96" s="718"/>
      <c r="I96" s="719"/>
    </row>
    <row r="97" spans="1:9" x14ac:dyDescent="0.2">
      <c r="A97" s="245" t="s">
        <v>303</v>
      </c>
      <c r="B97" s="246" t="s">
        <v>309</v>
      </c>
      <c r="C97" s="246" t="s">
        <v>384</v>
      </c>
      <c r="D97" s="248" t="s">
        <v>226</v>
      </c>
      <c r="E97" s="247"/>
      <c r="F97" s="247"/>
      <c r="G97" s="247"/>
      <c r="H97" s="246" t="s">
        <v>317</v>
      </c>
      <c r="I97" s="246" t="s">
        <v>314</v>
      </c>
    </row>
    <row r="98" spans="1:9" x14ac:dyDescent="0.2">
      <c r="A98" s="242" t="s">
        <v>485</v>
      </c>
      <c r="B98" s="246" t="s">
        <v>396</v>
      </c>
      <c r="C98" s="450" t="s">
        <v>487</v>
      </c>
      <c r="D98" s="246" t="s">
        <v>489</v>
      </c>
      <c r="E98" s="247"/>
      <c r="F98" s="247"/>
      <c r="G98" s="247"/>
      <c r="H98" s="344">
        <v>15.44</v>
      </c>
      <c r="I98" s="345">
        <f>ROUND(D98*H98,2)</f>
        <v>2.86</v>
      </c>
    </row>
    <row r="99" spans="1:9" x14ac:dyDescent="0.2">
      <c r="A99" s="448" t="s">
        <v>486</v>
      </c>
      <c r="B99" s="246" t="s">
        <v>396</v>
      </c>
      <c r="C99" s="451" t="s">
        <v>488</v>
      </c>
      <c r="D99" s="342" t="s">
        <v>489</v>
      </c>
      <c r="E99" s="247"/>
      <c r="F99" s="247"/>
      <c r="G99" s="247"/>
      <c r="H99" s="344">
        <v>14.76</v>
      </c>
      <c r="I99" s="345">
        <f>ROUND(D99*H99,2)</f>
        <v>2.74</v>
      </c>
    </row>
    <row r="100" spans="1:9" x14ac:dyDescent="0.2">
      <c r="A100" s="701" t="s">
        <v>315</v>
      </c>
      <c r="B100" s="702"/>
      <c r="C100" s="702"/>
      <c r="D100" s="702"/>
      <c r="E100" s="702"/>
      <c r="F100" s="702"/>
      <c r="G100" s="702"/>
      <c r="H100" s="703"/>
      <c r="I100" s="350">
        <f>SUM(I98:I99)</f>
        <v>5.6</v>
      </c>
    </row>
    <row r="101" spans="1:9" x14ac:dyDescent="0.2">
      <c r="A101" s="262" t="s">
        <v>320</v>
      </c>
      <c r="B101" s="261">
        <v>1</v>
      </c>
      <c r="C101" s="325"/>
      <c r="D101" s="704" t="s">
        <v>321</v>
      </c>
      <c r="E101" s="705"/>
      <c r="F101" s="705"/>
      <c r="G101" s="705"/>
      <c r="H101" s="706"/>
      <c r="I101" s="351">
        <f>I100+I95+I91+I85</f>
        <v>48.81</v>
      </c>
    </row>
    <row r="102" spans="1:9" x14ac:dyDescent="0.2">
      <c r="A102" s="707" t="s">
        <v>326</v>
      </c>
      <c r="B102" s="708"/>
      <c r="C102" s="708"/>
      <c r="D102" s="708"/>
      <c r="E102" s="708"/>
      <c r="F102" s="708"/>
      <c r="G102" s="709"/>
      <c r="H102" s="710"/>
      <c r="I102" s="352">
        <f>I101/B101</f>
        <v>48.81</v>
      </c>
    </row>
    <row r="103" spans="1:9" x14ac:dyDescent="0.2">
      <c r="A103" s="711" t="s">
        <v>322</v>
      </c>
      <c r="B103" s="712"/>
      <c r="C103" s="712"/>
      <c r="D103" s="712"/>
      <c r="E103" s="712"/>
      <c r="F103" s="712"/>
      <c r="G103" s="712"/>
      <c r="H103" s="713"/>
      <c r="I103" s="268">
        <v>1</v>
      </c>
    </row>
    <row r="104" spans="1:9" x14ac:dyDescent="0.2">
      <c r="A104" s="714" t="s">
        <v>323</v>
      </c>
      <c r="B104" s="715"/>
      <c r="C104" s="715"/>
      <c r="D104" s="715"/>
      <c r="E104" s="715"/>
      <c r="F104" s="715"/>
      <c r="G104" s="715"/>
      <c r="H104" s="716"/>
      <c r="I104" s="348">
        <f>I102*I103</f>
        <v>48.81</v>
      </c>
    </row>
  </sheetData>
  <mergeCells count="60">
    <mergeCell ref="D49:H49"/>
    <mergeCell ref="A50:H50"/>
    <mergeCell ref="A51:H51"/>
    <mergeCell ref="A52:H52"/>
    <mergeCell ref="A33:I33"/>
    <mergeCell ref="A38:H38"/>
    <mergeCell ref="A39:I39"/>
    <mergeCell ref="A42:H42"/>
    <mergeCell ref="A28:G28"/>
    <mergeCell ref="A29:I29"/>
    <mergeCell ref="A32:H32"/>
    <mergeCell ref="A43:I43"/>
    <mergeCell ref="A48:H48"/>
    <mergeCell ref="B1:I1"/>
    <mergeCell ref="A3:G3"/>
    <mergeCell ref="A4:I4"/>
    <mergeCell ref="A9:H9"/>
    <mergeCell ref="A10:I10"/>
    <mergeCell ref="B26:I26"/>
    <mergeCell ref="A2:G2"/>
    <mergeCell ref="A27:G27"/>
    <mergeCell ref="A13:H13"/>
    <mergeCell ref="A24:H24"/>
    <mergeCell ref="A25:H25"/>
    <mergeCell ref="A14:I14"/>
    <mergeCell ref="A17:H17"/>
    <mergeCell ref="A18:I18"/>
    <mergeCell ref="A21:H21"/>
    <mergeCell ref="D22:H22"/>
    <mergeCell ref="A23:H23"/>
    <mergeCell ref="B53:I53"/>
    <mergeCell ref="A55:G55"/>
    <mergeCell ref="A56:I56"/>
    <mergeCell ref="A59:H59"/>
    <mergeCell ref="A60:I60"/>
    <mergeCell ref="A54:G54"/>
    <mergeCell ref="D72:H72"/>
    <mergeCell ref="A73:H73"/>
    <mergeCell ref="A74:H74"/>
    <mergeCell ref="A75:H75"/>
    <mergeCell ref="A63:H63"/>
    <mergeCell ref="A64:I64"/>
    <mergeCell ref="A67:H67"/>
    <mergeCell ref="A68:I68"/>
    <mergeCell ref="A71:H71"/>
    <mergeCell ref="B76:I76"/>
    <mergeCell ref="A77:G77"/>
    <mergeCell ref="A78:G78"/>
    <mergeCell ref="A79:I79"/>
    <mergeCell ref="A85:H85"/>
    <mergeCell ref="A86:I86"/>
    <mergeCell ref="A91:H91"/>
    <mergeCell ref="A92:I92"/>
    <mergeCell ref="A95:H95"/>
    <mergeCell ref="A96:I96"/>
    <mergeCell ref="A100:H100"/>
    <mergeCell ref="D101:H101"/>
    <mergeCell ref="A102:H102"/>
    <mergeCell ref="A103:H103"/>
    <mergeCell ref="A104:H104"/>
  </mergeCells>
  <pageMargins left="0.51181102362204722" right="0.51181102362204722" top="0.43307086614173229" bottom="0.39370078740157483" header="0.31496062992125984" footer="0.31496062992125984"/>
  <pageSetup paperSize="9" scale="65" fitToHeight="4" orientation="portrait" r:id="rId1"/>
  <rowBreaks count="2" manualBreakCount="2">
    <brk id="52" max="8" man="1"/>
    <brk id="104" max="8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7"/>
  <sheetViews>
    <sheetView workbookViewId="0">
      <selection activeCell="K1" sqref="K1:S1048576"/>
    </sheetView>
  </sheetViews>
  <sheetFormatPr defaultRowHeight="15" x14ac:dyDescent="0.2"/>
  <cols>
    <col min="1" max="1" width="3.7109375" style="474" customWidth="1"/>
    <col min="2" max="2" width="10.42578125" style="474" customWidth="1"/>
    <col min="3" max="3" width="33.7109375" style="474" customWidth="1"/>
    <col min="4" max="4" width="13.28515625" style="474" customWidth="1"/>
    <col min="5" max="5" width="13.42578125" style="474" customWidth="1"/>
    <col min="6" max="6" width="12.42578125" style="474" customWidth="1"/>
    <col min="7" max="7" width="12.28515625" style="474" customWidth="1"/>
    <col min="8" max="8" width="3.7109375" style="474" customWidth="1"/>
    <col min="9" max="9" width="7.7109375" style="474" customWidth="1"/>
    <col min="10" max="10" width="9.140625" style="474" customWidth="1"/>
    <col min="11" max="11" width="9.28515625" style="474" hidden="1" customWidth="1"/>
    <col min="12" max="12" width="5.7109375" style="474" hidden="1" customWidth="1"/>
    <col min="13" max="19" width="0" style="474" hidden="1" customWidth="1"/>
    <col min="20" max="256" width="9.140625" style="474"/>
    <col min="257" max="257" width="3.7109375" style="474" customWidth="1"/>
    <col min="258" max="258" width="10.42578125" style="474" customWidth="1"/>
    <col min="259" max="259" width="33.7109375" style="474" customWidth="1"/>
    <col min="260" max="260" width="13.28515625" style="474" customWidth="1"/>
    <col min="261" max="261" width="13.42578125" style="474" customWidth="1"/>
    <col min="262" max="262" width="12.42578125" style="474" customWidth="1"/>
    <col min="263" max="263" width="12.28515625" style="474" customWidth="1"/>
    <col min="264" max="264" width="3.7109375" style="474" customWidth="1"/>
    <col min="265" max="265" width="7.7109375" style="474" customWidth="1"/>
    <col min="266" max="266" width="9.140625" style="474" customWidth="1"/>
    <col min="267" max="267" width="9.28515625" style="474" customWidth="1"/>
    <col min="268" max="268" width="5.7109375" style="474" customWidth="1"/>
    <col min="269" max="512" width="9.140625" style="474"/>
    <col min="513" max="513" width="3.7109375" style="474" customWidth="1"/>
    <col min="514" max="514" width="10.42578125" style="474" customWidth="1"/>
    <col min="515" max="515" width="33.7109375" style="474" customWidth="1"/>
    <col min="516" max="516" width="13.28515625" style="474" customWidth="1"/>
    <col min="517" max="517" width="13.42578125" style="474" customWidth="1"/>
    <col min="518" max="518" width="12.42578125" style="474" customWidth="1"/>
    <col min="519" max="519" width="12.28515625" style="474" customWidth="1"/>
    <col min="520" max="520" width="3.7109375" style="474" customWidth="1"/>
    <col min="521" max="521" width="7.7109375" style="474" customWidth="1"/>
    <col min="522" max="522" width="9.140625" style="474" customWidth="1"/>
    <col min="523" max="523" width="9.28515625" style="474" customWidth="1"/>
    <col min="524" max="524" width="5.7109375" style="474" customWidth="1"/>
    <col min="525" max="768" width="9.140625" style="474"/>
    <col min="769" max="769" width="3.7109375" style="474" customWidth="1"/>
    <col min="770" max="770" width="10.42578125" style="474" customWidth="1"/>
    <col min="771" max="771" width="33.7109375" style="474" customWidth="1"/>
    <col min="772" max="772" width="13.28515625" style="474" customWidth="1"/>
    <col min="773" max="773" width="13.42578125" style="474" customWidth="1"/>
    <col min="774" max="774" width="12.42578125" style="474" customWidth="1"/>
    <col min="775" max="775" width="12.28515625" style="474" customWidth="1"/>
    <col min="776" max="776" width="3.7109375" style="474" customWidth="1"/>
    <col min="777" max="777" width="7.7109375" style="474" customWidth="1"/>
    <col min="778" max="778" width="9.140625" style="474" customWidth="1"/>
    <col min="779" max="779" width="9.28515625" style="474" customWidth="1"/>
    <col min="780" max="780" width="5.7109375" style="474" customWidth="1"/>
    <col min="781" max="1024" width="9.140625" style="474"/>
    <col min="1025" max="1025" width="3.7109375" style="474" customWidth="1"/>
    <col min="1026" max="1026" width="10.42578125" style="474" customWidth="1"/>
    <col min="1027" max="1027" width="33.7109375" style="474" customWidth="1"/>
    <col min="1028" max="1028" width="13.28515625" style="474" customWidth="1"/>
    <col min="1029" max="1029" width="13.42578125" style="474" customWidth="1"/>
    <col min="1030" max="1030" width="12.42578125" style="474" customWidth="1"/>
    <col min="1031" max="1031" width="12.28515625" style="474" customWidth="1"/>
    <col min="1032" max="1032" width="3.7109375" style="474" customWidth="1"/>
    <col min="1033" max="1033" width="7.7109375" style="474" customWidth="1"/>
    <col min="1034" max="1034" width="9.140625" style="474" customWidth="1"/>
    <col min="1035" max="1035" width="9.28515625" style="474" customWidth="1"/>
    <col min="1036" max="1036" width="5.7109375" style="474" customWidth="1"/>
    <col min="1037" max="1280" width="9.140625" style="474"/>
    <col min="1281" max="1281" width="3.7109375" style="474" customWidth="1"/>
    <col min="1282" max="1282" width="10.42578125" style="474" customWidth="1"/>
    <col min="1283" max="1283" width="33.7109375" style="474" customWidth="1"/>
    <col min="1284" max="1284" width="13.28515625" style="474" customWidth="1"/>
    <col min="1285" max="1285" width="13.42578125" style="474" customWidth="1"/>
    <col min="1286" max="1286" width="12.42578125" style="474" customWidth="1"/>
    <col min="1287" max="1287" width="12.28515625" style="474" customWidth="1"/>
    <col min="1288" max="1288" width="3.7109375" style="474" customWidth="1"/>
    <col min="1289" max="1289" width="7.7109375" style="474" customWidth="1"/>
    <col min="1290" max="1290" width="9.140625" style="474" customWidth="1"/>
    <col min="1291" max="1291" width="9.28515625" style="474" customWidth="1"/>
    <col min="1292" max="1292" width="5.7109375" style="474" customWidth="1"/>
    <col min="1293" max="1536" width="9.140625" style="474"/>
    <col min="1537" max="1537" width="3.7109375" style="474" customWidth="1"/>
    <col min="1538" max="1538" width="10.42578125" style="474" customWidth="1"/>
    <col min="1539" max="1539" width="33.7109375" style="474" customWidth="1"/>
    <col min="1540" max="1540" width="13.28515625" style="474" customWidth="1"/>
    <col min="1541" max="1541" width="13.42578125" style="474" customWidth="1"/>
    <col min="1542" max="1542" width="12.42578125" style="474" customWidth="1"/>
    <col min="1543" max="1543" width="12.28515625" style="474" customWidth="1"/>
    <col min="1544" max="1544" width="3.7109375" style="474" customWidth="1"/>
    <col min="1545" max="1545" width="7.7109375" style="474" customWidth="1"/>
    <col min="1546" max="1546" width="9.140625" style="474" customWidth="1"/>
    <col min="1547" max="1547" width="9.28515625" style="474" customWidth="1"/>
    <col min="1548" max="1548" width="5.7109375" style="474" customWidth="1"/>
    <col min="1549" max="1792" width="9.140625" style="474"/>
    <col min="1793" max="1793" width="3.7109375" style="474" customWidth="1"/>
    <col min="1794" max="1794" width="10.42578125" style="474" customWidth="1"/>
    <col min="1795" max="1795" width="33.7109375" style="474" customWidth="1"/>
    <col min="1796" max="1796" width="13.28515625" style="474" customWidth="1"/>
    <col min="1797" max="1797" width="13.42578125" style="474" customWidth="1"/>
    <col min="1798" max="1798" width="12.42578125" style="474" customWidth="1"/>
    <col min="1799" max="1799" width="12.28515625" style="474" customWidth="1"/>
    <col min="1800" max="1800" width="3.7109375" style="474" customWidth="1"/>
    <col min="1801" max="1801" width="7.7109375" style="474" customWidth="1"/>
    <col min="1802" max="1802" width="9.140625" style="474" customWidth="1"/>
    <col min="1803" max="1803" width="9.28515625" style="474" customWidth="1"/>
    <col min="1804" max="1804" width="5.7109375" style="474" customWidth="1"/>
    <col min="1805" max="2048" width="9.140625" style="474"/>
    <col min="2049" max="2049" width="3.7109375" style="474" customWidth="1"/>
    <col min="2050" max="2050" width="10.42578125" style="474" customWidth="1"/>
    <col min="2051" max="2051" width="33.7109375" style="474" customWidth="1"/>
    <col min="2052" max="2052" width="13.28515625" style="474" customWidth="1"/>
    <col min="2053" max="2053" width="13.42578125" style="474" customWidth="1"/>
    <col min="2054" max="2054" width="12.42578125" style="474" customWidth="1"/>
    <col min="2055" max="2055" width="12.28515625" style="474" customWidth="1"/>
    <col min="2056" max="2056" width="3.7109375" style="474" customWidth="1"/>
    <col min="2057" max="2057" width="7.7109375" style="474" customWidth="1"/>
    <col min="2058" max="2058" width="9.140625" style="474" customWidth="1"/>
    <col min="2059" max="2059" width="9.28515625" style="474" customWidth="1"/>
    <col min="2060" max="2060" width="5.7109375" style="474" customWidth="1"/>
    <col min="2061" max="2304" width="9.140625" style="474"/>
    <col min="2305" max="2305" width="3.7109375" style="474" customWidth="1"/>
    <col min="2306" max="2306" width="10.42578125" style="474" customWidth="1"/>
    <col min="2307" max="2307" width="33.7109375" style="474" customWidth="1"/>
    <col min="2308" max="2308" width="13.28515625" style="474" customWidth="1"/>
    <col min="2309" max="2309" width="13.42578125" style="474" customWidth="1"/>
    <col min="2310" max="2310" width="12.42578125" style="474" customWidth="1"/>
    <col min="2311" max="2311" width="12.28515625" style="474" customWidth="1"/>
    <col min="2312" max="2312" width="3.7109375" style="474" customWidth="1"/>
    <col min="2313" max="2313" width="7.7109375" style="474" customWidth="1"/>
    <col min="2314" max="2314" width="9.140625" style="474" customWidth="1"/>
    <col min="2315" max="2315" width="9.28515625" style="474" customWidth="1"/>
    <col min="2316" max="2316" width="5.7109375" style="474" customWidth="1"/>
    <col min="2317" max="2560" width="9.140625" style="474"/>
    <col min="2561" max="2561" width="3.7109375" style="474" customWidth="1"/>
    <col min="2562" max="2562" width="10.42578125" style="474" customWidth="1"/>
    <col min="2563" max="2563" width="33.7109375" style="474" customWidth="1"/>
    <col min="2564" max="2564" width="13.28515625" style="474" customWidth="1"/>
    <col min="2565" max="2565" width="13.42578125" style="474" customWidth="1"/>
    <col min="2566" max="2566" width="12.42578125" style="474" customWidth="1"/>
    <col min="2567" max="2567" width="12.28515625" style="474" customWidth="1"/>
    <col min="2568" max="2568" width="3.7109375" style="474" customWidth="1"/>
    <col min="2569" max="2569" width="7.7109375" style="474" customWidth="1"/>
    <col min="2570" max="2570" width="9.140625" style="474" customWidth="1"/>
    <col min="2571" max="2571" width="9.28515625" style="474" customWidth="1"/>
    <col min="2572" max="2572" width="5.7109375" style="474" customWidth="1"/>
    <col min="2573" max="2816" width="9.140625" style="474"/>
    <col min="2817" max="2817" width="3.7109375" style="474" customWidth="1"/>
    <col min="2818" max="2818" width="10.42578125" style="474" customWidth="1"/>
    <col min="2819" max="2819" width="33.7109375" style="474" customWidth="1"/>
    <col min="2820" max="2820" width="13.28515625" style="474" customWidth="1"/>
    <col min="2821" max="2821" width="13.42578125" style="474" customWidth="1"/>
    <col min="2822" max="2822" width="12.42578125" style="474" customWidth="1"/>
    <col min="2823" max="2823" width="12.28515625" style="474" customWidth="1"/>
    <col min="2824" max="2824" width="3.7109375" style="474" customWidth="1"/>
    <col min="2825" max="2825" width="7.7109375" style="474" customWidth="1"/>
    <col min="2826" max="2826" width="9.140625" style="474" customWidth="1"/>
    <col min="2827" max="2827" width="9.28515625" style="474" customWidth="1"/>
    <col min="2828" max="2828" width="5.7109375" style="474" customWidth="1"/>
    <col min="2829" max="3072" width="9.140625" style="474"/>
    <col min="3073" max="3073" width="3.7109375" style="474" customWidth="1"/>
    <col min="3074" max="3074" width="10.42578125" style="474" customWidth="1"/>
    <col min="3075" max="3075" width="33.7109375" style="474" customWidth="1"/>
    <col min="3076" max="3076" width="13.28515625" style="474" customWidth="1"/>
    <col min="3077" max="3077" width="13.42578125" style="474" customWidth="1"/>
    <col min="3078" max="3078" width="12.42578125" style="474" customWidth="1"/>
    <col min="3079" max="3079" width="12.28515625" style="474" customWidth="1"/>
    <col min="3080" max="3080" width="3.7109375" style="474" customWidth="1"/>
    <col min="3081" max="3081" width="7.7109375" style="474" customWidth="1"/>
    <col min="3082" max="3082" width="9.140625" style="474" customWidth="1"/>
    <col min="3083" max="3083" width="9.28515625" style="474" customWidth="1"/>
    <col min="3084" max="3084" width="5.7109375" style="474" customWidth="1"/>
    <col min="3085" max="3328" width="9.140625" style="474"/>
    <col min="3329" max="3329" width="3.7109375" style="474" customWidth="1"/>
    <col min="3330" max="3330" width="10.42578125" style="474" customWidth="1"/>
    <col min="3331" max="3331" width="33.7109375" style="474" customWidth="1"/>
    <col min="3332" max="3332" width="13.28515625" style="474" customWidth="1"/>
    <col min="3333" max="3333" width="13.42578125" style="474" customWidth="1"/>
    <col min="3334" max="3334" width="12.42578125" style="474" customWidth="1"/>
    <col min="3335" max="3335" width="12.28515625" style="474" customWidth="1"/>
    <col min="3336" max="3336" width="3.7109375" style="474" customWidth="1"/>
    <col min="3337" max="3337" width="7.7109375" style="474" customWidth="1"/>
    <col min="3338" max="3338" width="9.140625" style="474" customWidth="1"/>
    <col min="3339" max="3339" width="9.28515625" style="474" customWidth="1"/>
    <col min="3340" max="3340" width="5.7109375" style="474" customWidth="1"/>
    <col min="3341" max="3584" width="9.140625" style="474"/>
    <col min="3585" max="3585" width="3.7109375" style="474" customWidth="1"/>
    <col min="3586" max="3586" width="10.42578125" style="474" customWidth="1"/>
    <col min="3587" max="3587" width="33.7109375" style="474" customWidth="1"/>
    <col min="3588" max="3588" width="13.28515625" style="474" customWidth="1"/>
    <col min="3589" max="3589" width="13.42578125" style="474" customWidth="1"/>
    <col min="3590" max="3590" width="12.42578125" style="474" customWidth="1"/>
    <col min="3591" max="3591" width="12.28515625" style="474" customWidth="1"/>
    <col min="3592" max="3592" width="3.7109375" style="474" customWidth="1"/>
    <col min="3593" max="3593" width="7.7109375" style="474" customWidth="1"/>
    <col min="3594" max="3594" width="9.140625" style="474" customWidth="1"/>
    <col min="3595" max="3595" width="9.28515625" style="474" customWidth="1"/>
    <col min="3596" max="3596" width="5.7109375" style="474" customWidth="1"/>
    <col min="3597" max="3840" width="9.140625" style="474"/>
    <col min="3841" max="3841" width="3.7109375" style="474" customWidth="1"/>
    <col min="3842" max="3842" width="10.42578125" style="474" customWidth="1"/>
    <col min="3843" max="3843" width="33.7109375" style="474" customWidth="1"/>
    <col min="3844" max="3844" width="13.28515625" style="474" customWidth="1"/>
    <col min="3845" max="3845" width="13.42578125" style="474" customWidth="1"/>
    <col min="3846" max="3846" width="12.42578125" style="474" customWidth="1"/>
    <col min="3847" max="3847" width="12.28515625" style="474" customWidth="1"/>
    <col min="3848" max="3848" width="3.7109375" style="474" customWidth="1"/>
    <col min="3849" max="3849" width="7.7109375" style="474" customWidth="1"/>
    <col min="3850" max="3850" width="9.140625" style="474" customWidth="1"/>
    <col min="3851" max="3851" width="9.28515625" style="474" customWidth="1"/>
    <col min="3852" max="3852" width="5.7109375" style="474" customWidth="1"/>
    <col min="3853" max="4096" width="9.140625" style="474"/>
    <col min="4097" max="4097" width="3.7109375" style="474" customWidth="1"/>
    <col min="4098" max="4098" width="10.42578125" style="474" customWidth="1"/>
    <col min="4099" max="4099" width="33.7109375" style="474" customWidth="1"/>
    <col min="4100" max="4100" width="13.28515625" style="474" customWidth="1"/>
    <col min="4101" max="4101" width="13.42578125" style="474" customWidth="1"/>
    <col min="4102" max="4102" width="12.42578125" style="474" customWidth="1"/>
    <col min="4103" max="4103" width="12.28515625" style="474" customWidth="1"/>
    <col min="4104" max="4104" width="3.7109375" style="474" customWidth="1"/>
    <col min="4105" max="4105" width="7.7109375" style="474" customWidth="1"/>
    <col min="4106" max="4106" width="9.140625" style="474" customWidth="1"/>
    <col min="4107" max="4107" width="9.28515625" style="474" customWidth="1"/>
    <col min="4108" max="4108" width="5.7109375" style="474" customWidth="1"/>
    <col min="4109" max="4352" width="9.140625" style="474"/>
    <col min="4353" max="4353" width="3.7109375" style="474" customWidth="1"/>
    <col min="4354" max="4354" width="10.42578125" style="474" customWidth="1"/>
    <col min="4355" max="4355" width="33.7109375" style="474" customWidth="1"/>
    <col min="4356" max="4356" width="13.28515625" style="474" customWidth="1"/>
    <col min="4357" max="4357" width="13.42578125" style="474" customWidth="1"/>
    <col min="4358" max="4358" width="12.42578125" style="474" customWidth="1"/>
    <col min="4359" max="4359" width="12.28515625" style="474" customWidth="1"/>
    <col min="4360" max="4360" width="3.7109375" style="474" customWidth="1"/>
    <col min="4361" max="4361" width="7.7109375" style="474" customWidth="1"/>
    <col min="4362" max="4362" width="9.140625" style="474" customWidth="1"/>
    <col min="4363" max="4363" width="9.28515625" style="474" customWidth="1"/>
    <col min="4364" max="4364" width="5.7109375" style="474" customWidth="1"/>
    <col min="4365" max="4608" width="9.140625" style="474"/>
    <col min="4609" max="4609" width="3.7109375" style="474" customWidth="1"/>
    <col min="4610" max="4610" width="10.42578125" style="474" customWidth="1"/>
    <col min="4611" max="4611" width="33.7109375" style="474" customWidth="1"/>
    <col min="4612" max="4612" width="13.28515625" style="474" customWidth="1"/>
    <col min="4613" max="4613" width="13.42578125" style="474" customWidth="1"/>
    <col min="4614" max="4614" width="12.42578125" style="474" customWidth="1"/>
    <col min="4615" max="4615" width="12.28515625" style="474" customWidth="1"/>
    <col min="4616" max="4616" width="3.7109375" style="474" customWidth="1"/>
    <col min="4617" max="4617" width="7.7109375" style="474" customWidth="1"/>
    <col min="4618" max="4618" width="9.140625" style="474" customWidth="1"/>
    <col min="4619" max="4619" width="9.28515625" style="474" customWidth="1"/>
    <col min="4620" max="4620" width="5.7109375" style="474" customWidth="1"/>
    <col min="4621" max="4864" width="9.140625" style="474"/>
    <col min="4865" max="4865" width="3.7109375" style="474" customWidth="1"/>
    <col min="4866" max="4866" width="10.42578125" style="474" customWidth="1"/>
    <col min="4867" max="4867" width="33.7109375" style="474" customWidth="1"/>
    <col min="4868" max="4868" width="13.28515625" style="474" customWidth="1"/>
    <col min="4869" max="4869" width="13.42578125" style="474" customWidth="1"/>
    <col min="4870" max="4870" width="12.42578125" style="474" customWidth="1"/>
    <col min="4871" max="4871" width="12.28515625" style="474" customWidth="1"/>
    <col min="4872" max="4872" width="3.7109375" style="474" customWidth="1"/>
    <col min="4873" max="4873" width="7.7109375" style="474" customWidth="1"/>
    <col min="4874" max="4874" width="9.140625" style="474" customWidth="1"/>
    <col min="4875" max="4875" width="9.28515625" style="474" customWidth="1"/>
    <col min="4876" max="4876" width="5.7109375" style="474" customWidth="1"/>
    <col min="4877" max="5120" width="9.140625" style="474"/>
    <col min="5121" max="5121" width="3.7109375" style="474" customWidth="1"/>
    <col min="5122" max="5122" width="10.42578125" style="474" customWidth="1"/>
    <col min="5123" max="5123" width="33.7109375" style="474" customWidth="1"/>
    <col min="5124" max="5124" width="13.28515625" style="474" customWidth="1"/>
    <col min="5125" max="5125" width="13.42578125" style="474" customWidth="1"/>
    <col min="5126" max="5126" width="12.42578125" style="474" customWidth="1"/>
    <col min="5127" max="5127" width="12.28515625" style="474" customWidth="1"/>
    <col min="5128" max="5128" width="3.7109375" style="474" customWidth="1"/>
    <col min="5129" max="5129" width="7.7109375" style="474" customWidth="1"/>
    <col min="5130" max="5130" width="9.140625" style="474" customWidth="1"/>
    <col min="5131" max="5131" width="9.28515625" style="474" customWidth="1"/>
    <col min="5132" max="5132" width="5.7109375" style="474" customWidth="1"/>
    <col min="5133" max="5376" width="9.140625" style="474"/>
    <col min="5377" max="5377" width="3.7109375" style="474" customWidth="1"/>
    <col min="5378" max="5378" width="10.42578125" style="474" customWidth="1"/>
    <col min="5379" max="5379" width="33.7109375" style="474" customWidth="1"/>
    <col min="5380" max="5380" width="13.28515625" style="474" customWidth="1"/>
    <col min="5381" max="5381" width="13.42578125" style="474" customWidth="1"/>
    <col min="5382" max="5382" width="12.42578125" style="474" customWidth="1"/>
    <col min="5383" max="5383" width="12.28515625" style="474" customWidth="1"/>
    <col min="5384" max="5384" width="3.7109375" style="474" customWidth="1"/>
    <col min="5385" max="5385" width="7.7109375" style="474" customWidth="1"/>
    <col min="5386" max="5386" width="9.140625" style="474" customWidth="1"/>
    <col min="5387" max="5387" width="9.28515625" style="474" customWidth="1"/>
    <col min="5388" max="5388" width="5.7109375" style="474" customWidth="1"/>
    <col min="5389" max="5632" width="9.140625" style="474"/>
    <col min="5633" max="5633" width="3.7109375" style="474" customWidth="1"/>
    <col min="5634" max="5634" width="10.42578125" style="474" customWidth="1"/>
    <col min="5635" max="5635" width="33.7109375" style="474" customWidth="1"/>
    <col min="5636" max="5636" width="13.28515625" style="474" customWidth="1"/>
    <col min="5637" max="5637" width="13.42578125" style="474" customWidth="1"/>
    <col min="5638" max="5638" width="12.42578125" style="474" customWidth="1"/>
    <col min="5639" max="5639" width="12.28515625" style="474" customWidth="1"/>
    <col min="5640" max="5640" width="3.7109375" style="474" customWidth="1"/>
    <col min="5641" max="5641" width="7.7109375" style="474" customWidth="1"/>
    <col min="5642" max="5642" width="9.140625" style="474" customWidth="1"/>
    <col min="5643" max="5643" width="9.28515625" style="474" customWidth="1"/>
    <col min="5644" max="5644" width="5.7109375" style="474" customWidth="1"/>
    <col min="5645" max="5888" width="9.140625" style="474"/>
    <col min="5889" max="5889" width="3.7109375" style="474" customWidth="1"/>
    <col min="5890" max="5890" width="10.42578125" style="474" customWidth="1"/>
    <col min="5891" max="5891" width="33.7109375" style="474" customWidth="1"/>
    <col min="5892" max="5892" width="13.28515625" style="474" customWidth="1"/>
    <col min="5893" max="5893" width="13.42578125" style="474" customWidth="1"/>
    <col min="5894" max="5894" width="12.42578125" style="474" customWidth="1"/>
    <col min="5895" max="5895" width="12.28515625" style="474" customWidth="1"/>
    <col min="5896" max="5896" width="3.7109375" style="474" customWidth="1"/>
    <col min="5897" max="5897" width="7.7109375" style="474" customWidth="1"/>
    <col min="5898" max="5898" width="9.140625" style="474" customWidth="1"/>
    <col min="5899" max="5899" width="9.28515625" style="474" customWidth="1"/>
    <col min="5900" max="5900" width="5.7109375" style="474" customWidth="1"/>
    <col min="5901" max="6144" width="9.140625" style="474"/>
    <col min="6145" max="6145" width="3.7109375" style="474" customWidth="1"/>
    <col min="6146" max="6146" width="10.42578125" style="474" customWidth="1"/>
    <col min="6147" max="6147" width="33.7109375" style="474" customWidth="1"/>
    <col min="6148" max="6148" width="13.28515625" style="474" customWidth="1"/>
    <col min="6149" max="6149" width="13.42578125" style="474" customWidth="1"/>
    <col min="6150" max="6150" width="12.42578125" style="474" customWidth="1"/>
    <col min="6151" max="6151" width="12.28515625" style="474" customWidth="1"/>
    <col min="6152" max="6152" width="3.7109375" style="474" customWidth="1"/>
    <col min="6153" max="6153" width="7.7109375" style="474" customWidth="1"/>
    <col min="6154" max="6154" width="9.140625" style="474" customWidth="1"/>
    <col min="6155" max="6155" width="9.28515625" style="474" customWidth="1"/>
    <col min="6156" max="6156" width="5.7109375" style="474" customWidth="1"/>
    <col min="6157" max="6400" width="9.140625" style="474"/>
    <col min="6401" max="6401" width="3.7109375" style="474" customWidth="1"/>
    <col min="6402" max="6402" width="10.42578125" style="474" customWidth="1"/>
    <col min="6403" max="6403" width="33.7109375" style="474" customWidth="1"/>
    <col min="6404" max="6404" width="13.28515625" style="474" customWidth="1"/>
    <col min="6405" max="6405" width="13.42578125" style="474" customWidth="1"/>
    <col min="6406" max="6406" width="12.42578125" style="474" customWidth="1"/>
    <col min="6407" max="6407" width="12.28515625" style="474" customWidth="1"/>
    <col min="6408" max="6408" width="3.7109375" style="474" customWidth="1"/>
    <col min="6409" max="6409" width="7.7109375" style="474" customWidth="1"/>
    <col min="6410" max="6410" width="9.140625" style="474" customWidth="1"/>
    <col min="6411" max="6411" width="9.28515625" style="474" customWidth="1"/>
    <col min="6412" max="6412" width="5.7109375" style="474" customWidth="1"/>
    <col min="6413" max="6656" width="9.140625" style="474"/>
    <col min="6657" max="6657" width="3.7109375" style="474" customWidth="1"/>
    <col min="6658" max="6658" width="10.42578125" style="474" customWidth="1"/>
    <col min="6659" max="6659" width="33.7109375" style="474" customWidth="1"/>
    <col min="6660" max="6660" width="13.28515625" style="474" customWidth="1"/>
    <col min="6661" max="6661" width="13.42578125" style="474" customWidth="1"/>
    <col min="6662" max="6662" width="12.42578125" style="474" customWidth="1"/>
    <col min="6663" max="6663" width="12.28515625" style="474" customWidth="1"/>
    <col min="6664" max="6664" width="3.7109375" style="474" customWidth="1"/>
    <col min="6665" max="6665" width="7.7109375" style="474" customWidth="1"/>
    <col min="6666" max="6666" width="9.140625" style="474" customWidth="1"/>
    <col min="6667" max="6667" width="9.28515625" style="474" customWidth="1"/>
    <col min="6668" max="6668" width="5.7109375" style="474" customWidth="1"/>
    <col min="6669" max="6912" width="9.140625" style="474"/>
    <col min="6913" max="6913" width="3.7109375" style="474" customWidth="1"/>
    <col min="6914" max="6914" width="10.42578125" style="474" customWidth="1"/>
    <col min="6915" max="6915" width="33.7109375" style="474" customWidth="1"/>
    <col min="6916" max="6916" width="13.28515625" style="474" customWidth="1"/>
    <col min="6917" max="6917" width="13.42578125" style="474" customWidth="1"/>
    <col min="6918" max="6918" width="12.42578125" style="474" customWidth="1"/>
    <col min="6919" max="6919" width="12.28515625" style="474" customWidth="1"/>
    <col min="6920" max="6920" width="3.7109375" style="474" customWidth="1"/>
    <col min="6921" max="6921" width="7.7109375" style="474" customWidth="1"/>
    <col min="6922" max="6922" width="9.140625" style="474" customWidth="1"/>
    <col min="6923" max="6923" width="9.28515625" style="474" customWidth="1"/>
    <col min="6924" max="6924" width="5.7109375" style="474" customWidth="1"/>
    <col min="6925" max="7168" width="9.140625" style="474"/>
    <col min="7169" max="7169" width="3.7109375" style="474" customWidth="1"/>
    <col min="7170" max="7170" width="10.42578125" style="474" customWidth="1"/>
    <col min="7171" max="7171" width="33.7109375" style="474" customWidth="1"/>
    <col min="7172" max="7172" width="13.28515625" style="474" customWidth="1"/>
    <col min="7173" max="7173" width="13.42578125" style="474" customWidth="1"/>
    <col min="7174" max="7174" width="12.42578125" style="474" customWidth="1"/>
    <col min="7175" max="7175" width="12.28515625" style="474" customWidth="1"/>
    <col min="7176" max="7176" width="3.7109375" style="474" customWidth="1"/>
    <col min="7177" max="7177" width="7.7109375" style="474" customWidth="1"/>
    <col min="7178" max="7178" width="9.140625" style="474" customWidth="1"/>
    <col min="7179" max="7179" width="9.28515625" style="474" customWidth="1"/>
    <col min="7180" max="7180" width="5.7109375" style="474" customWidth="1"/>
    <col min="7181" max="7424" width="9.140625" style="474"/>
    <col min="7425" max="7425" width="3.7109375" style="474" customWidth="1"/>
    <col min="7426" max="7426" width="10.42578125" style="474" customWidth="1"/>
    <col min="7427" max="7427" width="33.7109375" style="474" customWidth="1"/>
    <col min="7428" max="7428" width="13.28515625" style="474" customWidth="1"/>
    <col min="7429" max="7429" width="13.42578125" style="474" customWidth="1"/>
    <col min="7430" max="7430" width="12.42578125" style="474" customWidth="1"/>
    <col min="7431" max="7431" width="12.28515625" style="474" customWidth="1"/>
    <col min="7432" max="7432" width="3.7109375" style="474" customWidth="1"/>
    <col min="7433" max="7433" width="7.7109375" style="474" customWidth="1"/>
    <col min="7434" max="7434" width="9.140625" style="474" customWidth="1"/>
    <col min="7435" max="7435" width="9.28515625" style="474" customWidth="1"/>
    <col min="7436" max="7436" width="5.7109375" style="474" customWidth="1"/>
    <col min="7437" max="7680" width="9.140625" style="474"/>
    <col min="7681" max="7681" width="3.7109375" style="474" customWidth="1"/>
    <col min="7682" max="7682" width="10.42578125" style="474" customWidth="1"/>
    <col min="7683" max="7683" width="33.7109375" style="474" customWidth="1"/>
    <col min="7684" max="7684" width="13.28515625" style="474" customWidth="1"/>
    <col min="7685" max="7685" width="13.42578125" style="474" customWidth="1"/>
    <col min="7686" max="7686" width="12.42578125" style="474" customWidth="1"/>
    <col min="7687" max="7687" width="12.28515625" style="474" customWidth="1"/>
    <col min="7688" max="7688" width="3.7109375" style="474" customWidth="1"/>
    <col min="7689" max="7689" width="7.7109375" style="474" customWidth="1"/>
    <col min="7690" max="7690" width="9.140625" style="474" customWidth="1"/>
    <col min="7691" max="7691" width="9.28515625" style="474" customWidth="1"/>
    <col min="7692" max="7692" width="5.7109375" style="474" customWidth="1"/>
    <col min="7693" max="7936" width="9.140625" style="474"/>
    <col min="7937" max="7937" width="3.7109375" style="474" customWidth="1"/>
    <col min="7938" max="7938" width="10.42578125" style="474" customWidth="1"/>
    <col min="7939" max="7939" width="33.7109375" style="474" customWidth="1"/>
    <col min="7940" max="7940" width="13.28515625" style="474" customWidth="1"/>
    <col min="7941" max="7941" width="13.42578125" style="474" customWidth="1"/>
    <col min="7942" max="7942" width="12.42578125" style="474" customWidth="1"/>
    <col min="7943" max="7943" width="12.28515625" style="474" customWidth="1"/>
    <col min="7944" max="7944" width="3.7109375" style="474" customWidth="1"/>
    <col min="7945" max="7945" width="7.7109375" style="474" customWidth="1"/>
    <col min="7946" max="7946" width="9.140625" style="474" customWidth="1"/>
    <col min="7947" max="7947" width="9.28515625" style="474" customWidth="1"/>
    <col min="7948" max="7948" width="5.7109375" style="474" customWidth="1"/>
    <col min="7949" max="8192" width="9.140625" style="474"/>
    <col min="8193" max="8193" width="3.7109375" style="474" customWidth="1"/>
    <col min="8194" max="8194" width="10.42578125" style="474" customWidth="1"/>
    <col min="8195" max="8195" width="33.7109375" style="474" customWidth="1"/>
    <col min="8196" max="8196" width="13.28515625" style="474" customWidth="1"/>
    <col min="8197" max="8197" width="13.42578125" style="474" customWidth="1"/>
    <col min="8198" max="8198" width="12.42578125" style="474" customWidth="1"/>
    <col min="8199" max="8199" width="12.28515625" style="474" customWidth="1"/>
    <col min="8200" max="8200" width="3.7109375" style="474" customWidth="1"/>
    <col min="8201" max="8201" width="7.7109375" style="474" customWidth="1"/>
    <col min="8202" max="8202" width="9.140625" style="474" customWidth="1"/>
    <col min="8203" max="8203" width="9.28515625" style="474" customWidth="1"/>
    <col min="8204" max="8204" width="5.7109375" style="474" customWidth="1"/>
    <col min="8205" max="8448" width="9.140625" style="474"/>
    <col min="8449" max="8449" width="3.7109375" style="474" customWidth="1"/>
    <col min="8450" max="8450" width="10.42578125" style="474" customWidth="1"/>
    <col min="8451" max="8451" width="33.7109375" style="474" customWidth="1"/>
    <col min="8452" max="8452" width="13.28515625" style="474" customWidth="1"/>
    <col min="8453" max="8453" width="13.42578125" style="474" customWidth="1"/>
    <col min="8454" max="8454" width="12.42578125" style="474" customWidth="1"/>
    <col min="8455" max="8455" width="12.28515625" style="474" customWidth="1"/>
    <col min="8456" max="8456" width="3.7109375" style="474" customWidth="1"/>
    <col min="8457" max="8457" width="7.7109375" style="474" customWidth="1"/>
    <col min="8458" max="8458" width="9.140625" style="474" customWidth="1"/>
    <col min="8459" max="8459" width="9.28515625" style="474" customWidth="1"/>
    <col min="8460" max="8460" width="5.7109375" style="474" customWidth="1"/>
    <col min="8461" max="8704" width="9.140625" style="474"/>
    <col min="8705" max="8705" width="3.7109375" style="474" customWidth="1"/>
    <col min="8706" max="8706" width="10.42578125" style="474" customWidth="1"/>
    <col min="8707" max="8707" width="33.7109375" style="474" customWidth="1"/>
    <col min="8708" max="8708" width="13.28515625" style="474" customWidth="1"/>
    <col min="8709" max="8709" width="13.42578125" style="474" customWidth="1"/>
    <col min="8710" max="8710" width="12.42578125" style="474" customWidth="1"/>
    <col min="8711" max="8711" width="12.28515625" style="474" customWidth="1"/>
    <col min="8712" max="8712" width="3.7109375" style="474" customWidth="1"/>
    <col min="8713" max="8713" width="7.7109375" style="474" customWidth="1"/>
    <col min="8714" max="8714" width="9.140625" style="474" customWidth="1"/>
    <col min="8715" max="8715" width="9.28515625" style="474" customWidth="1"/>
    <col min="8716" max="8716" width="5.7109375" style="474" customWidth="1"/>
    <col min="8717" max="8960" width="9.140625" style="474"/>
    <col min="8961" max="8961" width="3.7109375" style="474" customWidth="1"/>
    <col min="8962" max="8962" width="10.42578125" style="474" customWidth="1"/>
    <col min="8963" max="8963" width="33.7109375" style="474" customWidth="1"/>
    <col min="8964" max="8964" width="13.28515625" style="474" customWidth="1"/>
    <col min="8965" max="8965" width="13.42578125" style="474" customWidth="1"/>
    <col min="8966" max="8966" width="12.42578125" style="474" customWidth="1"/>
    <col min="8967" max="8967" width="12.28515625" style="474" customWidth="1"/>
    <col min="8968" max="8968" width="3.7109375" style="474" customWidth="1"/>
    <col min="8969" max="8969" width="7.7109375" style="474" customWidth="1"/>
    <col min="8970" max="8970" width="9.140625" style="474" customWidth="1"/>
    <col min="8971" max="8971" width="9.28515625" style="474" customWidth="1"/>
    <col min="8972" max="8972" width="5.7109375" style="474" customWidth="1"/>
    <col min="8973" max="9216" width="9.140625" style="474"/>
    <col min="9217" max="9217" width="3.7109375" style="474" customWidth="1"/>
    <col min="9218" max="9218" width="10.42578125" style="474" customWidth="1"/>
    <col min="9219" max="9219" width="33.7109375" style="474" customWidth="1"/>
    <col min="9220" max="9220" width="13.28515625" style="474" customWidth="1"/>
    <col min="9221" max="9221" width="13.42578125" style="474" customWidth="1"/>
    <col min="9222" max="9222" width="12.42578125" style="474" customWidth="1"/>
    <col min="9223" max="9223" width="12.28515625" style="474" customWidth="1"/>
    <col min="9224" max="9224" width="3.7109375" style="474" customWidth="1"/>
    <col min="9225" max="9225" width="7.7109375" style="474" customWidth="1"/>
    <col min="9226" max="9226" width="9.140625" style="474" customWidth="1"/>
    <col min="9227" max="9227" width="9.28515625" style="474" customWidth="1"/>
    <col min="9228" max="9228" width="5.7109375" style="474" customWidth="1"/>
    <col min="9229" max="9472" width="9.140625" style="474"/>
    <col min="9473" max="9473" width="3.7109375" style="474" customWidth="1"/>
    <col min="9474" max="9474" width="10.42578125" style="474" customWidth="1"/>
    <col min="9475" max="9475" width="33.7109375" style="474" customWidth="1"/>
    <col min="9476" max="9476" width="13.28515625" style="474" customWidth="1"/>
    <col min="9477" max="9477" width="13.42578125" style="474" customWidth="1"/>
    <col min="9478" max="9478" width="12.42578125" style="474" customWidth="1"/>
    <col min="9479" max="9479" width="12.28515625" style="474" customWidth="1"/>
    <col min="9480" max="9480" width="3.7109375" style="474" customWidth="1"/>
    <col min="9481" max="9481" width="7.7109375" style="474" customWidth="1"/>
    <col min="9482" max="9482" width="9.140625" style="474" customWidth="1"/>
    <col min="9483" max="9483" width="9.28515625" style="474" customWidth="1"/>
    <col min="9484" max="9484" width="5.7109375" style="474" customWidth="1"/>
    <col min="9485" max="9728" width="9.140625" style="474"/>
    <col min="9729" max="9729" width="3.7109375" style="474" customWidth="1"/>
    <col min="9730" max="9730" width="10.42578125" style="474" customWidth="1"/>
    <col min="9731" max="9731" width="33.7109375" style="474" customWidth="1"/>
    <col min="9732" max="9732" width="13.28515625" style="474" customWidth="1"/>
    <col min="9733" max="9733" width="13.42578125" style="474" customWidth="1"/>
    <col min="9734" max="9734" width="12.42578125" style="474" customWidth="1"/>
    <col min="9735" max="9735" width="12.28515625" style="474" customWidth="1"/>
    <col min="9736" max="9736" width="3.7109375" style="474" customWidth="1"/>
    <col min="9737" max="9737" width="7.7109375" style="474" customWidth="1"/>
    <col min="9738" max="9738" width="9.140625" style="474" customWidth="1"/>
    <col min="9739" max="9739" width="9.28515625" style="474" customWidth="1"/>
    <col min="9740" max="9740" width="5.7109375" style="474" customWidth="1"/>
    <col min="9741" max="9984" width="9.140625" style="474"/>
    <col min="9985" max="9985" width="3.7109375" style="474" customWidth="1"/>
    <col min="9986" max="9986" width="10.42578125" style="474" customWidth="1"/>
    <col min="9987" max="9987" width="33.7109375" style="474" customWidth="1"/>
    <col min="9988" max="9988" width="13.28515625" style="474" customWidth="1"/>
    <col min="9989" max="9989" width="13.42578125" style="474" customWidth="1"/>
    <col min="9990" max="9990" width="12.42578125" style="474" customWidth="1"/>
    <col min="9991" max="9991" width="12.28515625" style="474" customWidth="1"/>
    <col min="9992" max="9992" width="3.7109375" style="474" customWidth="1"/>
    <col min="9993" max="9993" width="7.7109375" style="474" customWidth="1"/>
    <col min="9994" max="9994" width="9.140625" style="474" customWidth="1"/>
    <col min="9995" max="9995" width="9.28515625" style="474" customWidth="1"/>
    <col min="9996" max="9996" width="5.7109375" style="474" customWidth="1"/>
    <col min="9997" max="10240" width="9.140625" style="474"/>
    <col min="10241" max="10241" width="3.7109375" style="474" customWidth="1"/>
    <col min="10242" max="10242" width="10.42578125" style="474" customWidth="1"/>
    <col min="10243" max="10243" width="33.7109375" style="474" customWidth="1"/>
    <col min="10244" max="10244" width="13.28515625" style="474" customWidth="1"/>
    <col min="10245" max="10245" width="13.42578125" style="474" customWidth="1"/>
    <col min="10246" max="10246" width="12.42578125" style="474" customWidth="1"/>
    <col min="10247" max="10247" width="12.28515625" style="474" customWidth="1"/>
    <col min="10248" max="10248" width="3.7109375" style="474" customWidth="1"/>
    <col min="10249" max="10249" width="7.7109375" style="474" customWidth="1"/>
    <col min="10250" max="10250" width="9.140625" style="474" customWidth="1"/>
    <col min="10251" max="10251" width="9.28515625" style="474" customWidth="1"/>
    <col min="10252" max="10252" width="5.7109375" style="474" customWidth="1"/>
    <col min="10253" max="10496" width="9.140625" style="474"/>
    <col min="10497" max="10497" width="3.7109375" style="474" customWidth="1"/>
    <col min="10498" max="10498" width="10.42578125" style="474" customWidth="1"/>
    <col min="10499" max="10499" width="33.7109375" style="474" customWidth="1"/>
    <col min="10500" max="10500" width="13.28515625" style="474" customWidth="1"/>
    <col min="10501" max="10501" width="13.42578125" style="474" customWidth="1"/>
    <col min="10502" max="10502" width="12.42578125" style="474" customWidth="1"/>
    <col min="10503" max="10503" width="12.28515625" style="474" customWidth="1"/>
    <col min="10504" max="10504" width="3.7109375" style="474" customWidth="1"/>
    <col min="10505" max="10505" width="7.7109375" style="474" customWidth="1"/>
    <col min="10506" max="10506" width="9.140625" style="474" customWidth="1"/>
    <col min="10507" max="10507" width="9.28515625" style="474" customWidth="1"/>
    <col min="10508" max="10508" width="5.7109375" style="474" customWidth="1"/>
    <col min="10509" max="10752" width="9.140625" style="474"/>
    <col min="10753" max="10753" width="3.7109375" style="474" customWidth="1"/>
    <col min="10754" max="10754" width="10.42578125" style="474" customWidth="1"/>
    <col min="10755" max="10755" width="33.7109375" style="474" customWidth="1"/>
    <col min="10756" max="10756" width="13.28515625" style="474" customWidth="1"/>
    <col min="10757" max="10757" width="13.42578125" style="474" customWidth="1"/>
    <col min="10758" max="10758" width="12.42578125" style="474" customWidth="1"/>
    <col min="10759" max="10759" width="12.28515625" style="474" customWidth="1"/>
    <col min="10760" max="10760" width="3.7109375" style="474" customWidth="1"/>
    <col min="10761" max="10761" width="7.7109375" style="474" customWidth="1"/>
    <col min="10762" max="10762" width="9.140625" style="474" customWidth="1"/>
    <col min="10763" max="10763" width="9.28515625" style="474" customWidth="1"/>
    <col min="10764" max="10764" width="5.7109375" style="474" customWidth="1"/>
    <col min="10765" max="11008" width="9.140625" style="474"/>
    <col min="11009" max="11009" width="3.7109375" style="474" customWidth="1"/>
    <col min="11010" max="11010" width="10.42578125" style="474" customWidth="1"/>
    <col min="11011" max="11011" width="33.7109375" style="474" customWidth="1"/>
    <col min="11012" max="11012" width="13.28515625" style="474" customWidth="1"/>
    <col min="11013" max="11013" width="13.42578125" style="474" customWidth="1"/>
    <col min="11014" max="11014" width="12.42578125" style="474" customWidth="1"/>
    <col min="11015" max="11015" width="12.28515625" style="474" customWidth="1"/>
    <col min="11016" max="11016" width="3.7109375" style="474" customWidth="1"/>
    <col min="11017" max="11017" width="7.7109375" style="474" customWidth="1"/>
    <col min="11018" max="11018" width="9.140625" style="474" customWidth="1"/>
    <col min="11019" max="11019" width="9.28515625" style="474" customWidth="1"/>
    <col min="11020" max="11020" width="5.7109375" style="474" customWidth="1"/>
    <col min="11021" max="11264" width="9.140625" style="474"/>
    <col min="11265" max="11265" width="3.7109375" style="474" customWidth="1"/>
    <col min="11266" max="11266" width="10.42578125" style="474" customWidth="1"/>
    <col min="11267" max="11267" width="33.7109375" style="474" customWidth="1"/>
    <col min="11268" max="11268" width="13.28515625" style="474" customWidth="1"/>
    <col min="11269" max="11269" width="13.42578125" style="474" customWidth="1"/>
    <col min="11270" max="11270" width="12.42578125" style="474" customWidth="1"/>
    <col min="11271" max="11271" width="12.28515625" style="474" customWidth="1"/>
    <col min="11272" max="11272" width="3.7109375" style="474" customWidth="1"/>
    <col min="11273" max="11273" width="7.7109375" style="474" customWidth="1"/>
    <col min="11274" max="11274" width="9.140625" style="474" customWidth="1"/>
    <col min="11275" max="11275" width="9.28515625" style="474" customWidth="1"/>
    <col min="11276" max="11276" width="5.7109375" style="474" customWidth="1"/>
    <col min="11277" max="11520" width="9.140625" style="474"/>
    <col min="11521" max="11521" width="3.7109375" style="474" customWidth="1"/>
    <col min="11522" max="11522" width="10.42578125" style="474" customWidth="1"/>
    <col min="11523" max="11523" width="33.7109375" style="474" customWidth="1"/>
    <col min="11524" max="11524" width="13.28515625" style="474" customWidth="1"/>
    <col min="11525" max="11525" width="13.42578125" style="474" customWidth="1"/>
    <col min="11526" max="11526" width="12.42578125" style="474" customWidth="1"/>
    <col min="11527" max="11527" width="12.28515625" style="474" customWidth="1"/>
    <col min="11528" max="11528" width="3.7109375" style="474" customWidth="1"/>
    <col min="11529" max="11529" width="7.7109375" style="474" customWidth="1"/>
    <col min="11530" max="11530" width="9.140625" style="474" customWidth="1"/>
    <col min="11531" max="11531" width="9.28515625" style="474" customWidth="1"/>
    <col min="11532" max="11532" width="5.7109375" style="474" customWidth="1"/>
    <col min="11533" max="11776" width="9.140625" style="474"/>
    <col min="11777" max="11777" width="3.7109375" style="474" customWidth="1"/>
    <col min="11778" max="11778" width="10.42578125" style="474" customWidth="1"/>
    <col min="11779" max="11779" width="33.7109375" style="474" customWidth="1"/>
    <col min="11780" max="11780" width="13.28515625" style="474" customWidth="1"/>
    <col min="11781" max="11781" width="13.42578125" style="474" customWidth="1"/>
    <col min="11782" max="11782" width="12.42578125" style="474" customWidth="1"/>
    <col min="11783" max="11783" width="12.28515625" style="474" customWidth="1"/>
    <col min="11784" max="11784" width="3.7109375" style="474" customWidth="1"/>
    <col min="11785" max="11785" width="7.7109375" style="474" customWidth="1"/>
    <col min="11786" max="11786" width="9.140625" style="474" customWidth="1"/>
    <col min="11787" max="11787" width="9.28515625" style="474" customWidth="1"/>
    <col min="11788" max="11788" width="5.7109375" style="474" customWidth="1"/>
    <col min="11789" max="12032" width="9.140625" style="474"/>
    <col min="12033" max="12033" width="3.7109375" style="474" customWidth="1"/>
    <col min="12034" max="12034" width="10.42578125" style="474" customWidth="1"/>
    <col min="12035" max="12035" width="33.7109375" style="474" customWidth="1"/>
    <col min="12036" max="12036" width="13.28515625" style="474" customWidth="1"/>
    <col min="12037" max="12037" width="13.42578125" style="474" customWidth="1"/>
    <col min="12038" max="12038" width="12.42578125" style="474" customWidth="1"/>
    <col min="12039" max="12039" width="12.28515625" style="474" customWidth="1"/>
    <col min="12040" max="12040" width="3.7109375" style="474" customWidth="1"/>
    <col min="12041" max="12041" width="7.7109375" style="474" customWidth="1"/>
    <col min="12042" max="12042" width="9.140625" style="474" customWidth="1"/>
    <col min="12043" max="12043" width="9.28515625" style="474" customWidth="1"/>
    <col min="12044" max="12044" width="5.7109375" style="474" customWidth="1"/>
    <col min="12045" max="12288" width="9.140625" style="474"/>
    <col min="12289" max="12289" width="3.7109375" style="474" customWidth="1"/>
    <col min="12290" max="12290" width="10.42578125" style="474" customWidth="1"/>
    <col min="12291" max="12291" width="33.7109375" style="474" customWidth="1"/>
    <col min="12292" max="12292" width="13.28515625" style="474" customWidth="1"/>
    <col min="12293" max="12293" width="13.42578125" style="474" customWidth="1"/>
    <col min="12294" max="12294" width="12.42578125" style="474" customWidth="1"/>
    <col min="12295" max="12295" width="12.28515625" style="474" customWidth="1"/>
    <col min="12296" max="12296" width="3.7109375" style="474" customWidth="1"/>
    <col min="12297" max="12297" width="7.7109375" style="474" customWidth="1"/>
    <col min="12298" max="12298" width="9.140625" style="474" customWidth="1"/>
    <col min="12299" max="12299" width="9.28515625" style="474" customWidth="1"/>
    <col min="12300" max="12300" width="5.7109375" style="474" customWidth="1"/>
    <col min="12301" max="12544" width="9.140625" style="474"/>
    <col min="12545" max="12545" width="3.7109375" style="474" customWidth="1"/>
    <col min="12546" max="12546" width="10.42578125" style="474" customWidth="1"/>
    <col min="12547" max="12547" width="33.7109375" style="474" customWidth="1"/>
    <col min="12548" max="12548" width="13.28515625" style="474" customWidth="1"/>
    <col min="12549" max="12549" width="13.42578125" style="474" customWidth="1"/>
    <col min="12550" max="12550" width="12.42578125" style="474" customWidth="1"/>
    <col min="12551" max="12551" width="12.28515625" style="474" customWidth="1"/>
    <col min="12552" max="12552" width="3.7109375" style="474" customWidth="1"/>
    <col min="12553" max="12553" width="7.7109375" style="474" customWidth="1"/>
    <col min="12554" max="12554" width="9.140625" style="474" customWidth="1"/>
    <col min="12555" max="12555" width="9.28515625" style="474" customWidth="1"/>
    <col min="12556" max="12556" width="5.7109375" style="474" customWidth="1"/>
    <col min="12557" max="12800" width="9.140625" style="474"/>
    <col min="12801" max="12801" width="3.7109375" style="474" customWidth="1"/>
    <col min="12802" max="12802" width="10.42578125" style="474" customWidth="1"/>
    <col min="12803" max="12803" width="33.7109375" style="474" customWidth="1"/>
    <col min="12804" max="12804" width="13.28515625" style="474" customWidth="1"/>
    <col min="12805" max="12805" width="13.42578125" style="474" customWidth="1"/>
    <col min="12806" max="12806" width="12.42578125" style="474" customWidth="1"/>
    <col min="12807" max="12807" width="12.28515625" style="474" customWidth="1"/>
    <col min="12808" max="12808" width="3.7109375" style="474" customWidth="1"/>
    <col min="12809" max="12809" width="7.7109375" style="474" customWidth="1"/>
    <col min="12810" max="12810" width="9.140625" style="474" customWidth="1"/>
    <col min="12811" max="12811" width="9.28515625" style="474" customWidth="1"/>
    <col min="12812" max="12812" width="5.7109375" style="474" customWidth="1"/>
    <col min="12813" max="13056" width="9.140625" style="474"/>
    <col min="13057" max="13057" width="3.7109375" style="474" customWidth="1"/>
    <col min="13058" max="13058" width="10.42578125" style="474" customWidth="1"/>
    <col min="13059" max="13059" width="33.7109375" style="474" customWidth="1"/>
    <col min="13060" max="13060" width="13.28515625" style="474" customWidth="1"/>
    <col min="13061" max="13061" width="13.42578125" style="474" customWidth="1"/>
    <col min="13062" max="13062" width="12.42578125" style="474" customWidth="1"/>
    <col min="13063" max="13063" width="12.28515625" style="474" customWidth="1"/>
    <col min="13064" max="13064" width="3.7109375" style="474" customWidth="1"/>
    <col min="13065" max="13065" width="7.7109375" style="474" customWidth="1"/>
    <col min="13066" max="13066" width="9.140625" style="474" customWidth="1"/>
    <col min="13067" max="13067" width="9.28515625" style="474" customWidth="1"/>
    <col min="13068" max="13068" width="5.7109375" style="474" customWidth="1"/>
    <col min="13069" max="13312" width="9.140625" style="474"/>
    <col min="13313" max="13313" width="3.7109375" style="474" customWidth="1"/>
    <col min="13314" max="13314" width="10.42578125" style="474" customWidth="1"/>
    <col min="13315" max="13315" width="33.7109375" style="474" customWidth="1"/>
    <col min="13316" max="13316" width="13.28515625" style="474" customWidth="1"/>
    <col min="13317" max="13317" width="13.42578125" style="474" customWidth="1"/>
    <col min="13318" max="13318" width="12.42578125" style="474" customWidth="1"/>
    <col min="13319" max="13319" width="12.28515625" style="474" customWidth="1"/>
    <col min="13320" max="13320" width="3.7109375" style="474" customWidth="1"/>
    <col min="13321" max="13321" width="7.7109375" style="474" customWidth="1"/>
    <col min="13322" max="13322" width="9.140625" style="474" customWidth="1"/>
    <col min="13323" max="13323" width="9.28515625" style="474" customWidth="1"/>
    <col min="13324" max="13324" width="5.7109375" style="474" customWidth="1"/>
    <col min="13325" max="13568" width="9.140625" style="474"/>
    <col min="13569" max="13569" width="3.7109375" style="474" customWidth="1"/>
    <col min="13570" max="13570" width="10.42578125" style="474" customWidth="1"/>
    <col min="13571" max="13571" width="33.7109375" style="474" customWidth="1"/>
    <col min="13572" max="13572" width="13.28515625" style="474" customWidth="1"/>
    <col min="13573" max="13573" width="13.42578125" style="474" customWidth="1"/>
    <col min="13574" max="13574" width="12.42578125" style="474" customWidth="1"/>
    <col min="13575" max="13575" width="12.28515625" style="474" customWidth="1"/>
    <col min="13576" max="13576" width="3.7109375" style="474" customWidth="1"/>
    <col min="13577" max="13577" width="7.7109375" style="474" customWidth="1"/>
    <col min="13578" max="13578" width="9.140625" style="474" customWidth="1"/>
    <col min="13579" max="13579" width="9.28515625" style="474" customWidth="1"/>
    <col min="13580" max="13580" width="5.7109375" style="474" customWidth="1"/>
    <col min="13581" max="13824" width="9.140625" style="474"/>
    <col min="13825" max="13825" width="3.7109375" style="474" customWidth="1"/>
    <col min="13826" max="13826" width="10.42578125" style="474" customWidth="1"/>
    <col min="13827" max="13827" width="33.7109375" style="474" customWidth="1"/>
    <col min="13828" max="13828" width="13.28515625" style="474" customWidth="1"/>
    <col min="13829" max="13829" width="13.42578125" style="474" customWidth="1"/>
    <col min="13830" max="13830" width="12.42578125" style="474" customWidth="1"/>
    <col min="13831" max="13831" width="12.28515625" style="474" customWidth="1"/>
    <col min="13832" max="13832" width="3.7109375" style="474" customWidth="1"/>
    <col min="13833" max="13833" width="7.7109375" style="474" customWidth="1"/>
    <col min="13834" max="13834" width="9.140625" style="474" customWidth="1"/>
    <col min="13835" max="13835" width="9.28515625" style="474" customWidth="1"/>
    <col min="13836" max="13836" width="5.7109375" style="474" customWidth="1"/>
    <col min="13837" max="14080" width="9.140625" style="474"/>
    <col min="14081" max="14081" width="3.7109375" style="474" customWidth="1"/>
    <col min="14082" max="14082" width="10.42578125" style="474" customWidth="1"/>
    <col min="14083" max="14083" width="33.7109375" style="474" customWidth="1"/>
    <col min="14084" max="14084" width="13.28515625" style="474" customWidth="1"/>
    <col min="14085" max="14085" width="13.42578125" style="474" customWidth="1"/>
    <col min="14086" max="14086" width="12.42578125" style="474" customWidth="1"/>
    <col min="14087" max="14087" width="12.28515625" style="474" customWidth="1"/>
    <col min="14088" max="14088" width="3.7109375" style="474" customWidth="1"/>
    <col min="14089" max="14089" width="7.7109375" style="474" customWidth="1"/>
    <col min="14090" max="14090" width="9.140625" style="474" customWidth="1"/>
    <col min="14091" max="14091" width="9.28515625" style="474" customWidth="1"/>
    <col min="14092" max="14092" width="5.7109375" style="474" customWidth="1"/>
    <col min="14093" max="14336" width="9.140625" style="474"/>
    <col min="14337" max="14337" width="3.7109375" style="474" customWidth="1"/>
    <col min="14338" max="14338" width="10.42578125" style="474" customWidth="1"/>
    <col min="14339" max="14339" width="33.7109375" style="474" customWidth="1"/>
    <col min="14340" max="14340" width="13.28515625" style="474" customWidth="1"/>
    <col min="14341" max="14341" width="13.42578125" style="474" customWidth="1"/>
    <col min="14342" max="14342" width="12.42578125" style="474" customWidth="1"/>
    <col min="14343" max="14343" width="12.28515625" style="474" customWidth="1"/>
    <col min="14344" max="14344" width="3.7109375" style="474" customWidth="1"/>
    <col min="14345" max="14345" width="7.7109375" style="474" customWidth="1"/>
    <col min="14346" max="14346" width="9.140625" style="474" customWidth="1"/>
    <col min="14347" max="14347" width="9.28515625" style="474" customWidth="1"/>
    <col min="14348" max="14348" width="5.7109375" style="474" customWidth="1"/>
    <col min="14349" max="14592" width="9.140625" style="474"/>
    <col min="14593" max="14593" width="3.7109375" style="474" customWidth="1"/>
    <col min="14594" max="14594" width="10.42578125" style="474" customWidth="1"/>
    <col min="14595" max="14595" width="33.7109375" style="474" customWidth="1"/>
    <col min="14596" max="14596" width="13.28515625" style="474" customWidth="1"/>
    <col min="14597" max="14597" width="13.42578125" style="474" customWidth="1"/>
    <col min="14598" max="14598" width="12.42578125" style="474" customWidth="1"/>
    <col min="14599" max="14599" width="12.28515625" style="474" customWidth="1"/>
    <col min="14600" max="14600" width="3.7109375" style="474" customWidth="1"/>
    <col min="14601" max="14601" width="7.7109375" style="474" customWidth="1"/>
    <col min="14602" max="14602" width="9.140625" style="474" customWidth="1"/>
    <col min="14603" max="14603" width="9.28515625" style="474" customWidth="1"/>
    <col min="14604" max="14604" width="5.7109375" style="474" customWidth="1"/>
    <col min="14605" max="14848" width="9.140625" style="474"/>
    <col min="14849" max="14849" width="3.7109375" style="474" customWidth="1"/>
    <col min="14850" max="14850" width="10.42578125" style="474" customWidth="1"/>
    <col min="14851" max="14851" width="33.7109375" style="474" customWidth="1"/>
    <col min="14852" max="14852" width="13.28515625" style="474" customWidth="1"/>
    <col min="14853" max="14853" width="13.42578125" style="474" customWidth="1"/>
    <col min="14854" max="14854" width="12.42578125" style="474" customWidth="1"/>
    <col min="14855" max="14855" width="12.28515625" style="474" customWidth="1"/>
    <col min="14856" max="14856" width="3.7109375" style="474" customWidth="1"/>
    <col min="14857" max="14857" width="7.7109375" style="474" customWidth="1"/>
    <col min="14858" max="14858" width="9.140625" style="474" customWidth="1"/>
    <col min="14859" max="14859" width="9.28515625" style="474" customWidth="1"/>
    <col min="14860" max="14860" width="5.7109375" style="474" customWidth="1"/>
    <col min="14861" max="15104" width="9.140625" style="474"/>
    <col min="15105" max="15105" width="3.7109375" style="474" customWidth="1"/>
    <col min="15106" max="15106" width="10.42578125" style="474" customWidth="1"/>
    <col min="15107" max="15107" width="33.7109375" style="474" customWidth="1"/>
    <col min="15108" max="15108" width="13.28515625" style="474" customWidth="1"/>
    <col min="15109" max="15109" width="13.42578125" style="474" customWidth="1"/>
    <col min="15110" max="15110" width="12.42578125" style="474" customWidth="1"/>
    <col min="15111" max="15111" width="12.28515625" style="474" customWidth="1"/>
    <col min="15112" max="15112" width="3.7109375" style="474" customWidth="1"/>
    <col min="15113" max="15113" width="7.7109375" style="474" customWidth="1"/>
    <col min="15114" max="15114" width="9.140625" style="474" customWidth="1"/>
    <col min="15115" max="15115" width="9.28515625" style="474" customWidth="1"/>
    <col min="15116" max="15116" width="5.7109375" style="474" customWidth="1"/>
    <col min="15117" max="15360" width="9.140625" style="474"/>
    <col min="15361" max="15361" width="3.7109375" style="474" customWidth="1"/>
    <col min="15362" max="15362" width="10.42578125" style="474" customWidth="1"/>
    <col min="15363" max="15363" width="33.7109375" style="474" customWidth="1"/>
    <col min="15364" max="15364" width="13.28515625" style="474" customWidth="1"/>
    <col min="15365" max="15365" width="13.42578125" style="474" customWidth="1"/>
    <col min="15366" max="15366" width="12.42578125" style="474" customWidth="1"/>
    <col min="15367" max="15367" width="12.28515625" style="474" customWidth="1"/>
    <col min="15368" max="15368" width="3.7109375" style="474" customWidth="1"/>
    <col min="15369" max="15369" width="7.7109375" style="474" customWidth="1"/>
    <col min="15370" max="15370" width="9.140625" style="474" customWidth="1"/>
    <col min="15371" max="15371" width="9.28515625" style="474" customWidth="1"/>
    <col min="15372" max="15372" width="5.7109375" style="474" customWidth="1"/>
    <col min="15373" max="15616" width="9.140625" style="474"/>
    <col min="15617" max="15617" width="3.7109375" style="474" customWidth="1"/>
    <col min="15618" max="15618" width="10.42578125" style="474" customWidth="1"/>
    <col min="15619" max="15619" width="33.7109375" style="474" customWidth="1"/>
    <col min="15620" max="15620" width="13.28515625" style="474" customWidth="1"/>
    <col min="15621" max="15621" width="13.42578125" style="474" customWidth="1"/>
    <col min="15622" max="15622" width="12.42578125" style="474" customWidth="1"/>
    <col min="15623" max="15623" width="12.28515625" style="474" customWidth="1"/>
    <col min="15624" max="15624" width="3.7109375" style="474" customWidth="1"/>
    <col min="15625" max="15625" width="7.7109375" style="474" customWidth="1"/>
    <col min="15626" max="15626" width="9.140625" style="474" customWidth="1"/>
    <col min="15627" max="15627" width="9.28515625" style="474" customWidth="1"/>
    <col min="15628" max="15628" width="5.7109375" style="474" customWidth="1"/>
    <col min="15629" max="15872" width="9.140625" style="474"/>
    <col min="15873" max="15873" width="3.7109375" style="474" customWidth="1"/>
    <col min="15874" max="15874" width="10.42578125" style="474" customWidth="1"/>
    <col min="15875" max="15875" width="33.7109375" style="474" customWidth="1"/>
    <col min="15876" max="15876" width="13.28515625" style="474" customWidth="1"/>
    <col min="15877" max="15877" width="13.42578125" style="474" customWidth="1"/>
    <col min="15878" max="15878" width="12.42578125" style="474" customWidth="1"/>
    <col min="15879" max="15879" width="12.28515625" style="474" customWidth="1"/>
    <col min="15880" max="15880" width="3.7109375" style="474" customWidth="1"/>
    <col min="15881" max="15881" width="7.7109375" style="474" customWidth="1"/>
    <col min="15882" max="15882" width="9.140625" style="474" customWidth="1"/>
    <col min="15883" max="15883" width="9.28515625" style="474" customWidth="1"/>
    <col min="15884" max="15884" width="5.7109375" style="474" customWidth="1"/>
    <col min="15885" max="16128" width="9.140625" style="474"/>
    <col min="16129" max="16129" width="3.7109375" style="474" customWidth="1"/>
    <col min="16130" max="16130" width="10.42578125" style="474" customWidth="1"/>
    <col min="16131" max="16131" width="33.7109375" style="474" customWidth="1"/>
    <col min="16132" max="16132" width="13.28515625" style="474" customWidth="1"/>
    <col min="16133" max="16133" width="13.42578125" style="474" customWidth="1"/>
    <col min="16134" max="16134" width="12.42578125" style="474" customWidth="1"/>
    <col min="16135" max="16135" width="12.28515625" style="474" customWidth="1"/>
    <col min="16136" max="16136" width="3.7109375" style="474" customWidth="1"/>
    <col min="16137" max="16137" width="7.7109375" style="474" customWidth="1"/>
    <col min="16138" max="16138" width="9.140625" style="474" customWidth="1"/>
    <col min="16139" max="16139" width="9.28515625" style="474" customWidth="1"/>
    <col min="16140" max="16140" width="5.7109375" style="474" customWidth="1"/>
    <col min="16141" max="16384" width="9.140625" style="474"/>
  </cols>
  <sheetData>
    <row r="2" spans="2:16" ht="38.25" customHeight="1" x14ac:dyDescent="0.2">
      <c r="B2" s="733" t="s">
        <v>375</v>
      </c>
      <c r="C2" s="733"/>
      <c r="D2" s="733"/>
      <c r="E2" s="733"/>
      <c r="F2" s="473"/>
      <c r="G2" s="473"/>
    </row>
    <row r="3" spans="2:16" x14ac:dyDescent="0.2">
      <c r="B3" s="475"/>
      <c r="C3" s="476"/>
      <c r="G3" s="477" t="s">
        <v>327</v>
      </c>
      <c r="I3" s="477"/>
    </row>
    <row r="4" spans="2:16" ht="15.75" thickBot="1" x14ac:dyDescent="0.25">
      <c r="I4" s="478" t="s">
        <v>327</v>
      </c>
    </row>
    <row r="5" spans="2:16" x14ac:dyDescent="0.2">
      <c r="B5" s="734" t="s">
        <v>328</v>
      </c>
      <c r="C5" s="736" t="s">
        <v>329</v>
      </c>
      <c r="D5" s="479" t="s">
        <v>330</v>
      </c>
      <c r="E5" s="480" t="s">
        <v>330</v>
      </c>
      <c r="F5" s="481"/>
      <c r="G5" s="482"/>
      <c r="H5" s="478" t="s">
        <v>327</v>
      </c>
    </row>
    <row r="6" spans="2:16" ht="15.75" thickBot="1" x14ac:dyDescent="0.25">
      <c r="B6" s="735"/>
      <c r="C6" s="737"/>
      <c r="D6" s="483" t="s">
        <v>331</v>
      </c>
      <c r="E6" s="484" t="s">
        <v>332</v>
      </c>
      <c r="F6" s="481"/>
      <c r="G6" s="482"/>
      <c r="I6" s="478"/>
      <c r="J6" s="478"/>
      <c r="K6" s="478"/>
      <c r="L6" s="478"/>
      <c r="M6" s="478"/>
    </row>
    <row r="7" spans="2:16" x14ac:dyDescent="0.2">
      <c r="B7" s="485"/>
      <c r="C7" s="486"/>
      <c r="D7" s="487"/>
      <c r="E7" s="488"/>
      <c r="F7" s="481"/>
      <c r="G7" s="482"/>
      <c r="I7" s="489"/>
      <c r="J7" s="489"/>
      <c r="K7" s="489"/>
      <c r="L7" s="489"/>
      <c r="M7" s="489"/>
    </row>
    <row r="8" spans="2:16" x14ac:dyDescent="0.2">
      <c r="B8" s="485">
        <v>1</v>
      </c>
      <c r="C8" s="490" t="s">
        <v>333</v>
      </c>
      <c r="D8" s="491" t="s">
        <v>327</v>
      </c>
      <c r="E8" s="492">
        <v>6.3</v>
      </c>
      <c r="F8" s="493"/>
      <c r="G8" s="494"/>
      <c r="H8" s="474" t="s">
        <v>327</v>
      </c>
      <c r="I8" s="489"/>
      <c r="J8" s="495"/>
      <c r="K8" s="496"/>
      <c r="L8" s="497"/>
      <c r="M8" s="497"/>
      <c r="N8" s="498"/>
      <c r="O8" s="498"/>
      <c r="P8" s="498"/>
    </row>
    <row r="9" spans="2:16" x14ac:dyDescent="0.2">
      <c r="B9" s="499" t="s">
        <v>99</v>
      </c>
      <c r="C9" s="500" t="s">
        <v>334</v>
      </c>
      <c r="D9" s="501" t="s">
        <v>327</v>
      </c>
      <c r="E9" s="502" t="s">
        <v>327</v>
      </c>
      <c r="F9" s="503"/>
      <c r="G9" s="477"/>
      <c r="I9" s="504"/>
      <c r="J9" s="504"/>
      <c r="K9" s="504"/>
      <c r="L9" s="504"/>
    </row>
    <row r="10" spans="2:16" x14ac:dyDescent="0.2">
      <c r="B10" s="499" t="s">
        <v>203</v>
      </c>
      <c r="C10" s="500" t="s">
        <v>335</v>
      </c>
      <c r="D10" s="501" t="s">
        <v>327</v>
      </c>
      <c r="E10" s="502" t="s">
        <v>327</v>
      </c>
      <c r="F10" s="503"/>
      <c r="G10" s="477"/>
    </row>
    <row r="11" spans="2:16" x14ac:dyDescent="0.2">
      <c r="B11" s="499" t="s">
        <v>293</v>
      </c>
      <c r="C11" s="500" t="s">
        <v>336</v>
      </c>
      <c r="D11" s="501" t="s">
        <v>327</v>
      </c>
      <c r="E11" s="502" t="s">
        <v>327</v>
      </c>
      <c r="F11" s="503"/>
      <c r="G11" s="477"/>
      <c r="I11" s="504"/>
      <c r="J11" s="504"/>
      <c r="K11" s="504"/>
      <c r="L11" s="504"/>
      <c r="M11" s="504"/>
    </row>
    <row r="12" spans="2:16" x14ac:dyDescent="0.2">
      <c r="B12" s="505" t="s">
        <v>327</v>
      </c>
      <c r="C12" s="500" t="s">
        <v>327</v>
      </c>
      <c r="D12" s="501" t="s">
        <v>327</v>
      </c>
      <c r="E12" s="502" t="s">
        <v>327</v>
      </c>
      <c r="F12" s="503"/>
      <c r="G12" s="477"/>
      <c r="I12" s="504"/>
      <c r="J12" s="504"/>
      <c r="K12" s="504"/>
      <c r="L12" s="504"/>
      <c r="M12" s="504"/>
    </row>
    <row r="13" spans="2:16" x14ac:dyDescent="0.2">
      <c r="B13" s="485">
        <v>2</v>
      </c>
      <c r="C13" s="490" t="s">
        <v>337</v>
      </c>
      <c r="D13" s="506">
        <f>SUM(D14:D17)</f>
        <v>8.65</v>
      </c>
      <c r="E13" s="507">
        <f>SUM(E14:E17)</f>
        <v>10.82</v>
      </c>
      <c r="F13" s="503"/>
      <c r="G13" s="494"/>
      <c r="I13" s="497"/>
      <c r="J13" s="495"/>
      <c r="K13" s="496"/>
      <c r="L13" s="497"/>
      <c r="M13" s="473"/>
      <c r="N13" s="473"/>
      <c r="O13" s="473"/>
      <c r="P13" s="498"/>
    </row>
    <row r="14" spans="2:16" x14ac:dyDescent="0.2">
      <c r="B14" s="508" t="s">
        <v>286</v>
      </c>
      <c r="C14" s="509" t="s">
        <v>338</v>
      </c>
      <c r="D14" s="510">
        <v>5</v>
      </c>
      <c r="E14" s="502">
        <f>ROUND(D14*1.2515,2)</f>
        <v>6.26</v>
      </c>
      <c r="F14" s="503"/>
      <c r="G14" s="477"/>
      <c r="I14" s="473"/>
      <c r="J14" s="473"/>
      <c r="K14" s="473"/>
      <c r="L14" s="473"/>
      <c r="M14" s="473"/>
      <c r="N14" s="498"/>
      <c r="O14" s="498"/>
      <c r="P14" s="498"/>
    </row>
    <row r="15" spans="2:16" x14ac:dyDescent="0.2">
      <c r="B15" s="508" t="s">
        <v>287</v>
      </c>
      <c r="C15" s="500" t="s">
        <v>339</v>
      </c>
      <c r="D15" s="510">
        <v>0.65</v>
      </c>
      <c r="E15" s="502">
        <f>ROUND(D15*1.2515,2)</f>
        <v>0.81</v>
      </c>
      <c r="F15" s="503"/>
      <c r="G15" s="477"/>
      <c r="I15" s="473"/>
      <c r="J15" s="473"/>
      <c r="K15" s="473"/>
      <c r="L15" s="473"/>
      <c r="M15" s="473"/>
      <c r="N15" s="498"/>
      <c r="O15" s="498"/>
      <c r="P15" s="498"/>
    </row>
    <row r="16" spans="2:16" x14ac:dyDescent="0.2">
      <c r="B16" s="508" t="s">
        <v>288</v>
      </c>
      <c r="C16" s="500" t="s">
        <v>340</v>
      </c>
      <c r="D16" s="510">
        <v>3</v>
      </c>
      <c r="E16" s="502">
        <f>ROUND(D16*1.2515,2)</f>
        <v>3.75</v>
      </c>
      <c r="F16" s="503"/>
      <c r="G16" s="511"/>
      <c r="I16" s="497"/>
      <c r="J16" s="495"/>
      <c r="K16" s="496"/>
      <c r="L16" s="497"/>
      <c r="M16" s="497"/>
      <c r="N16" s="497"/>
      <c r="O16" s="497"/>
      <c r="P16" s="497"/>
    </row>
    <row r="17" spans="2:16" ht="30" x14ac:dyDescent="0.2">
      <c r="B17" s="508" t="s">
        <v>289</v>
      </c>
      <c r="C17" s="512" t="s">
        <v>497</v>
      </c>
      <c r="D17" s="510">
        <v>0</v>
      </c>
      <c r="E17" s="502">
        <f>ROUND(D17*1.2515,2)</f>
        <v>0</v>
      </c>
      <c r="F17" s="503"/>
      <c r="G17" s="511"/>
      <c r="I17" s="497"/>
      <c r="J17" s="495"/>
      <c r="K17" s="496"/>
      <c r="L17" s="497"/>
      <c r="M17" s="497"/>
      <c r="N17" s="497"/>
      <c r="O17" s="497"/>
      <c r="P17" s="497"/>
    </row>
    <row r="18" spans="2:16" x14ac:dyDescent="0.2">
      <c r="B18" s="505"/>
      <c r="C18" s="500"/>
      <c r="D18" s="501"/>
      <c r="E18" s="502"/>
      <c r="F18" s="503"/>
      <c r="G18" s="494"/>
      <c r="I18" s="497"/>
      <c r="J18" s="497"/>
      <c r="K18" s="497"/>
      <c r="L18" s="497"/>
      <c r="M18" s="497"/>
      <c r="N18" s="498"/>
      <c r="O18" s="498"/>
      <c r="P18" s="498"/>
    </row>
    <row r="19" spans="2:16" x14ac:dyDescent="0.2">
      <c r="B19" s="485">
        <v>3</v>
      </c>
      <c r="C19" s="490" t="s">
        <v>341</v>
      </c>
      <c r="D19" s="501" t="s">
        <v>327</v>
      </c>
      <c r="E19" s="507">
        <f>SUM(E20:E23)</f>
        <v>0.89999999999999991</v>
      </c>
      <c r="F19" s="503"/>
      <c r="G19" s="494"/>
      <c r="H19" s="474" t="s">
        <v>327</v>
      </c>
      <c r="I19" s="497"/>
      <c r="J19" s="495"/>
      <c r="K19" s="496"/>
      <c r="L19" s="497"/>
      <c r="M19" s="497"/>
      <c r="N19" s="497"/>
      <c r="O19" s="497"/>
      <c r="P19" s="497"/>
    </row>
    <row r="20" spans="2:16" x14ac:dyDescent="0.2">
      <c r="B20" s="508" t="s">
        <v>342</v>
      </c>
      <c r="C20" s="500" t="s">
        <v>343</v>
      </c>
      <c r="D20" s="501"/>
      <c r="E20" s="502">
        <v>0.3</v>
      </c>
      <c r="F20" s="503"/>
      <c r="G20" s="494"/>
      <c r="I20" s="497"/>
      <c r="J20" s="495"/>
      <c r="K20" s="496"/>
      <c r="L20" s="497"/>
      <c r="M20" s="497"/>
      <c r="N20" s="497"/>
      <c r="O20" s="497"/>
      <c r="P20" s="497"/>
    </row>
    <row r="21" spans="2:16" x14ac:dyDescent="0.2">
      <c r="B21" s="508" t="s">
        <v>344</v>
      </c>
      <c r="C21" s="500" t="s">
        <v>345</v>
      </c>
      <c r="D21" s="501"/>
      <c r="E21" s="502">
        <v>0.3</v>
      </c>
      <c r="F21" s="503"/>
      <c r="G21" s="494"/>
      <c r="I21" s="497"/>
      <c r="J21" s="495"/>
      <c r="K21" s="496"/>
      <c r="L21" s="497"/>
      <c r="M21" s="497"/>
      <c r="N21" s="497"/>
      <c r="O21" s="497"/>
      <c r="P21" s="497"/>
    </row>
    <row r="22" spans="2:16" x14ac:dyDescent="0.2">
      <c r="B22" s="508" t="s">
        <v>346</v>
      </c>
      <c r="C22" s="500" t="s">
        <v>347</v>
      </c>
      <c r="D22" s="501"/>
      <c r="E22" s="502">
        <v>0.3</v>
      </c>
      <c r="F22" s="503"/>
      <c r="G22" s="494"/>
      <c r="I22" s="497"/>
      <c r="J22" s="495"/>
      <c r="K22" s="496"/>
      <c r="L22" s="497"/>
      <c r="M22" s="497"/>
      <c r="N22" s="497"/>
      <c r="O22" s="497"/>
      <c r="P22" s="497"/>
    </row>
    <row r="23" spans="2:16" x14ac:dyDescent="0.2">
      <c r="B23" s="505"/>
      <c r="C23" s="513"/>
      <c r="D23" s="501"/>
      <c r="E23" s="502"/>
      <c r="F23" s="503"/>
      <c r="G23" s="494"/>
      <c r="I23" s="497"/>
      <c r="J23" s="495"/>
      <c r="K23" s="496"/>
      <c r="L23" s="497"/>
      <c r="M23" s="497"/>
      <c r="N23" s="498"/>
      <c r="O23" s="498"/>
      <c r="P23" s="498"/>
    </row>
    <row r="24" spans="2:16" x14ac:dyDescent="0.2">
      <c r="B24" s="485">
        <v>4</v>
      </c>
      <c r="C24" s="490" t="s">
        <v>348</v>
      </c>
      <c r="D24" s="501" t="s">
        <v>327</v>
      </c>
      <c r="E24" s="507">
        <v>0.87</v>
      </c>
      <c r="F24" s="503"/>
      <c r="G24" s="494"/>
      <c r="H24" s="474" t="s">
        <v>327</v>
      </c>
      <c r="I24" s="489"/>
      <c r="J24" s="495"/>
      <c r="K24" s="496"/>
      <c r="L24" s="497"/>
      <c r="M24" s="497"/>
      <c r="N24" s="498"/>
      <c r="O24" s="514">
        <f>E24-O27</f>
        <v>0.87</v>
      </c>
    </row>
    <row r="25" spans="2:16" x14ac:dyDescent="0.2">
      <c r="B25" s="505"/>
      <c r="C25" s="500"/>
      <c r="D25" s="501"/>
      <c r="E25" s="502"/>
      <c r="F25" s="503"/>
      <c r="G25" s="494"/>
      <c r="I25" s="489"/>
      <c r="J25" s="489"/>
      <c r="K25" s="489"/>
      <c r="L25" s="489"/>
      <c r="M25" s="489"/>
    </row>
    <row r="26" spans="2:16" x14ac:dyDescent="0.2">
      <c r="B26" s="485">
        <v>5</v>
      </c>
      <c r="C26" s="490" t="s">
        <v>349</v>
      </c>
      <c r="D26" s="515"/>
      <c r="E26" s="507">
        <v>6</v>
      </c>
      <c r="F26" s="503"/>
      <c r="G26" s="494"/>
      <c r="I26" s="489"/>
      <c r="J26" s="495"/>
      <c r="K26" s="496"/>
      <c r="L26" s="497"/>
      <c r="M26" s="497"/>
      <c r="N26" s="498"/>
    </row>
    <row r="27" spans="2:16" ht="15.75" thickBot="1" x14ac:dyDescent="0.25">
      <c r="B27" s="505"/>
      <c r="C27" s="500"/>
      <c r="D27" s="516"/>
      <c r="E27" s="517"/>
      <c r="F27" s="503"/>
      <c r="G27" s="477"/>
      <c r="O27" s="518">
        <f>E28-25.47</f>
        <v>0</v>
      </c>
    </row>
    <row r="28" spans="2:16" ht="15.75" thickBot="1" x14ac:dyDescent="0.25">
      <c r="B28" s="519" t="s">
        <v>327</v>
      </c>
      <c r="C28" s="520" t="s">
        <v>350</v>
      </c>
      <c r="D28" s="521" t="s">
        <v>327</v>
      </c>
      <c r="E28" s="522">
        <f>ROUND((((1+(E8+E19)/100)*(1+E24/100)*(1+E26/100)/(1-D13/100)-1)*100),2)</f>
        <v>25.47</v>
      </c>
      <c r="F28" s="523"/>
      <c r="G28" s="494"/>
      <c r="I28" s="524"/>
    </row>
    <row r="30" spans="2:16" ht="20.25" customHeight="1" x14ac:dyDescent="0.2">
      <c r="G30" s="474" t="s">
        <v>327</v>
      </c>
    </row>
    <row r="31" spans="2:16" ht="18" x14ac:dyDescent="0.2">
      <c r="B31" s="525" t="s">
        <v>351</v>
      </c>
      <c r="C31" s="525"/>
      <c r="D31" s="525"/>
      <c r="E31" s="525"/>
      <c r="F31" s="525"/>
      <c r="L31" s="473"/>
      <c r="M31" s="473"/>
      <c r="N31" s="473"/>
    </row>
    <row r="32" spans="2:16" ht="18" x14ac:dyDescent="0.2">
      <c r="B32" s="525"/>
      <c r="C32" s="525"/>
      <c r="D32" s="525"/>
      <c r="E32" s="525"/>
      <c r="F32" s="525"/>
      <c r="L32" s="473"/>
      <c r="M32" s="473"/>
      <c r="N32" s="473"/>
    </row>
    <row r="33" spans="2:7" ht="18" x14ac:dyDescent="0.2">
      <c r="B33" s="738" t="s">
        <v>352</v>
      </c>
      <c r="C33" s="738"/>
      <c r="D33" s="526">
        <f>ROUND((((1+((E8+E19)/100))*(1+E24/100)*(1+E26/100))/(1-D13/100)-1)*100,2)</f>
        <v>25.47</v>
      </c>
    </row>
    <row r="34" spans="2:7" x14ac:dyDescent="0.2">
      <c r="B34" s="739" t="s">
        <v>327</v>
      </c>
      <c r="C34" s="739"/>
    </row>
    <row r="35" spans="2:7" x14ac:dyDescent="0.2">
      <c r="B35" s="740" t="s">
        <v>353</v>
      </c>
      <c r="C35" s="740"/>
      <c r="D35" s="740"/>
      <c r="E35" s="740"/>
      <c r="F35" s="740"/>
      <c r="G35" s="740"/>
    </row>
    <row r="36" spans="2:7" ht="15" customHeight="1" x14ac:dyDescent="0.2"/>
    <row r="37" spans="2:7" ht="40.5" customHeight="1" x14ac:dyDescent="0.2">
      <c r="B37" s="732" t="s">
        <v>376</v>
      </c>
      <c r="C37" s="732"/>
      <c r="D37" s="732"/>
      <c r="E37" s="732"/>
      <c r="F37" s="732"/>
    </row>
  </sheetData>
  <mergeCells count="7">
    <mergeCell ref="B37:F37"/>
    <mergeCell ref="B2:E2"/>
    <mergeCell ref="B5:B6"/>
    <mergeCell ref="C5:C6"/>
    <mergeCell ref="B33:C33"/>
    <mergeCell ref="B34:C34"/>
    <mergeCell ref="B35:G35"/>
  </mergeCells>
  <pageMargins left="0.51181102362204722" right="0.51181102362204722" top="0.59055118110236227" bottom="0.78740157480314965" header="0.31496062992125984" footer="0.31496062992125984"/>
  <pageSetup paperSize="9"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opLeftCell="A14" zoomScale="70" zoomScaleNormal="70" workbookViewId="0">
      <selection activeCell="AC74" sqref="AC74"/>
    </sheetView>
  </sheetViews>
  <sheetFormatPr defaultRowHeight="15" x14ac:dyDescent="0.25"/>
  <cols>
    <col min="1" max="16384" width="9.140625" style="527"/>
  </cols>
  <sheetData/>
  <pageMargins left="0.51181102362204722" right="0.51181102362204722" top="0.78740157480314965" bottom="0.78740157480314965" header="0.31496062992125984" footer="0.31496062992125984"/>
  <pageSetup paperSize="9" scale="45" fitToHeight="0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5"/>
  <sheetViews>
    <sheetView view="pageBreakPreview" topLeftCell="A64" zoomScaleNormal="70" zoomScaleSheetLayoutView="100" workbookViewId="0">
      <selection activeCell="L64" sqref="L1:S1048576"/>
    </sheetView>
  </sheetViews>
  <sheetFormatPr defaultRowHeight="12.75" x14ac:dyDescent="0.2"/>
  <cols>
    <col min="1" max="1" width="9.140625" style="311"/>
    <col min="2" max="2" width="18.85546875" style="311" customWidth="1"/>
    <col min="3" max="3" width="22.28515625" style="311" customWidth="1"/>
    <col min="4" max="5" width="9.140625" style="311"/>
    <col min="6" max="6" width="9.140625" style="311" customWidth="1"/>
    <col min="7" max="7" width="9.140625" style="311"/>
    <col min="8" max="8" width="12.42578125" style="311" customWidth="1"/>
    <col min="9" max="9" width="8.85546875" style="311" customWidth="1"/>
    <col min="10" max="10" width="11.7109375" style="311" customWidth="1"/>
    <col min="11" max="11" width="9.140625" style="311"/>
    <col min="12" max="19" width="0" style="311" hidden="1" customWidth="1"/>
    <col min="20" max="16384" width="9.140625" style="311"/>
  </cols>
  <sheetData>
    <row r="1" spans="1:10" x14ac:dyDescent="0.2">
      <c r="A1" s="313"/>
      <c r="B1" s="392"/>
      <c r="C1" s="393"/>
      <c r="D1" s="394"/>
      <c r="E1" s="393"/>
      <c r="F1" s="393"/>
      <c r="G1" s="393"/>
      <c r="H1" s="393"/>
      <c r="I1" s="393"/>
      <c r="J1" s="394"/>
    </row>
    <row r="2" spans="1:10" ht="18" x14ac:dyDescent="0.25">
      <c r="A2" s="313"/>
      <c r="D2" s="313"/>
      <c r="E2" s="583" t="s">
        <v>494</v>
      </c>
      <c r="F2" s="583"/>
      <c r="G2" s="583"/>
      <c r="H2" s="583"/>
      <c r="I2" s="583"/>
      <c r="J2" s="584"/>
    </row>
    <row r="3" spans="1:10" ht="15.75" customHeight="1" x14ac:dyDescent="0.25">
      <c r="A3" s="313"/>
      <c r="D3" s="313"/>
      <c r="E3" s="585" t="s">
        <v>388</v>
      </c>
      <c r="F3" s="585"/>
      <c r="G3" s="585"/>
      <c r="H3" s="585"/>
      <c r="I3" s="585"/>
      <c r="J3" s="586"/>
    </row>
    <row r="4" spans="1:10" ht="15" x14ac:dyDescent="0.25">
      <c r="A4" s="313"/>
      <c r="D4" s="313"/>
      <c r="E4" s="587" t="s">
        <v>500</v>
      </c>
      <c r="F4" s="587"/>
      <c r="G4" s="587"/>
      <c r="H4" s="587"/>
      <c r="I4" s="587"/>
      <c r="J4" s="588"/>
    </row>
    <row r="5" spans="1:10" ht="13.5" thickBot="1" x14ac:dyDescent="0.25">
      <c r="A5" s="313"/>
      <c r="B5" s="395"/>
      <c r="C5" s="396"/>
      <c r="D5" s="397"/>
      <c r="E5" s="396"/>
      <c r="F5" s="396"/>
      <c r="G5" s="396"/>
      <c r="H5" s="396"/>
      <c r="I5" s="396"/>
      <c r="J5" s="397"/>
    </row>
    <row r="6" spans="1:10" ht="18.75" thickBot="1" x14ac:dyDescent="0.25">
      <c r="A6" s="313"/>
      <c r="B6" s="589" t="s">
        <v>389</v>
      </c>
      <c r="C6" s="590"/>
      <c r="D6" s="590"/>
      <c r="E6" s="590"/>
      <c r="F6" s="590"/>
      <c r="G6" s="590"/>
      <c r="H6" s="590"/>
      <c r="I6" s="590"/>
      <c r="J6" s="591"/>
    </row>
    <row r="7" spans="1:10" x14ac:dyDescent="0.2">
      <c r="B7" s="592" t="s">
        <v>391</v>
      </c>
      <c r="C7" s="594" t="str">
        <f>Planilha!C4</f>
        <v>PAVIMENTAÇÃO DE REVESTIMENTO EM BLOQUETE HEXAGONAIS DE CONCRETO
RUA HENRIQUE MOREIRA SÓ, COMUNIDADE DE VILA ALEXANDRE MASCARENHAS/ GOUVEIA - MG</v>
      </c>
      <c r="D7" s="595"/>
      <c r="E7" s="595"/>
      <c r="F7" s="595"/>
      <c r="G7" s="595"/>
      <c r="H7" s="595"/>
      <c r="I7" s="595"/>
      <c r="J7" s="596"/>
    </row>
    <row r="8" spans="1:10" ht="13.5" thickBot="1" x14ac:dyDescent="0.25">
      <c r="B8" s="593"/>
      <c r="C8" s="597"/>
      <c r="D8" s="598"/>
      <c r="E8" s="598"/>
      <c r="F8" s="598"/>
      <c r="G8" s="598"/>
      <c r="H8" s="598"/>
      <c r="I8" s="598"/>
      <c r="J8" s="599"/>
    </row>
    <row r="9" spans="1:10" ht="13.5" thickBot="1" x14ac:dyDescent="0.25">
      <c r="B9" s="611" t="str">
        <f>Planilha!B5</f>
        <v>DATA BASE: SINAPI JUNHO/2019 - SICRO JANEIRO/2019</v>
      </c>
      <c r="C9" s="612"/>
      <c r="D9" s="612"/>
      <c r="E9" s="612"/>
      <c r="F9" s="612"/>
      <c r="G9" s="612"/>
      <c r="H9" s="612"/>
      <c r="I9" s="612"/>
      <c r="J9" s="613"/>
    </row>
    <row r="10" spans="1:10" ht="13.5" thickBot="1" x14ac:dyDescent="0.25">
      <c r="B10" s="614" t="str">
        <f>Planilha!B6</f>
        <v xml:space="preserve">PRAZO DE EXECUÇÃO: 180 dias </v>
      </c>
      <c r="C10" s="615"/>
      <c r="D10" s="615"/>
      <c r="E10" s="615"/>
      <c r="F10" s="615"/>
      <c r="G10" s="615"/>
      <c r="H10" s="615"/>
      <c r="I10" s="421" t="s">
        <v>385</v>
      </c>
      <c r="J10" s="422">
        <f>Planilha!K4</f>
        <v>25.47</v>
      </c>
    </row>
    <row r="11" spans="1:10" ht="15" customHeight="1" x14ac:dyDescent="0.2">
      <c r="B11" s="616" t="s">
        <v>420</v>
      </c>
      <c r="C11" s="617"/>
      <c r="D11" s="617"/>
      <c r="E11" s="617"/>
      <c r="F11" s="617"/>
      <c r="G11" s="617"/>
      <c r="H11" s="617"/>
      <c r="I11" s="617"/>
      <c r="J11" s="617"/>
    </row>
    <row r="12" spans="1:10" x14ac:dyDescent="0.2">
      <c r="B12" s="398" t="s">
        <v>421</v>
      </c>
      <c r="C12" s="399" t="s">
        <v>99</v>
      </c>
      <c r="D12" s="618" t="str">
        <f>Planilha!E10</f>
        <v>MOBILIZAÇÃO/DESMOBILIZAÇÃO DE EQUIPAMENTOS E PESSOAL</v>
      </c>
      <c r="E12" s="619"/>
      <c r="F12" s="619"/>
      <c r="G12" s="619"/>
      <c r="H12" s="619"/>
      <c r="I12" s="619"/>
      <c r="J12" s="620"/>
    </row>
    <row r="13" spans="1:10" x14ac:dyDescent="0.2">
      <c r="B13" s="398" t="s">
        <v>422</v>
      </c>
      <c r="C13" s="400" t="str">
        <f>Planilha!C10</f>
        <v>CPU</v>
      </c>
      <c r="D13" s="621"/>
      <c r="E13" s="622"/>
      <c r="F13" s="622"/>
      <c r="G13" s="622"/>
      <c r="H13" s="622"/>
      <c r="I13" s="622"/>
      <c r="J13" s="623"/>
    </row>
    <row r="14" spans="1:10" x14ac:dyDescent="0.2">
      <c r="B14" s="608" t="s">
        <v>423</v>
      </c>
      <c r="C14" s="608"/>
      <c r="D14" s="608" t="s">
        <v>424</v>
      </c>
      <c r="E14" s="609" t="s">
        <v>425</v>
      </c>
      <c r="F14" s="609"/>
      <c r="G14" s="609"/>
      <c r="H14" s="610"/>
      <c r="I14" s="610" t="s">
        <v>302</v>
      </c>
      <c r="J14" s="610"/>
    </row>
    <row r="15" spans="1:10" x14ac:dyDescent="0.2">
      <c r="B15" s="608"/>
      <c r="C15" s="608"/>
      <c r="D15" s="608"/>
      <c r="E15" s="609"/>
      <c r="F15" s="609"/>
      <c r="G15" s="609"/>
      <c r="H15" s="610"/>
      <c r="I15" s="610"/>
      <c r="J15" s="610"/>
    </row>
    <row r="16" spans="1:10" x14ac:dyDescent="0.2">
      <c r="B16" s="624" t="s">
        <v>390</v>
      </c>
      <c r="C16" s="625"/>
      <c r="D16" s="401" t="s">
        <v>54</v>
      </c>
      <c r="E16" s="402">
        <v>1</v>
      </c>
      <c r="F16" s="402"/>
      <c r="G16" s="402"/>
      <c r="H16" s="402"/>
      <c r="I16" s="403">
        <f>E16</f>
        <v>1</v>
      </c>
      <c r="J16" s="402"/>
    </row>
    <row r="17" spans="2:10" x14ac:dyDescent="0.2">
      <c r="B17" s="609" t="s">
        <v>326</v>
      </c>
      <c r="C17" s="609"/>
      <c r="D17" s="404"/>
      <c r="E17" s="405"/>
      <c r="F17" s="405"/>
      <c r="G17" s="405"/>
      <c r="H17" s="406"/>
      <c r="I17" s="407">
        <f>ROUND(SUM(I16:I16),2)</f>
        <v>1</v>
      </c>
      <c r="J17" s="405"/>
    </row>
    <row r="18" spans="2:10" x14ac:dyDescent="0.2">
      <c r="B18" s="398" t="s">
        <v>421</v>
      </c>
      <c r="C18" s="399" t="s">
        <v>203</v>
      </c>
      <c r="D18" s="618" t="str">
        <f>Planilha!E11</f>
        <v>ADMINISTRAÇÃO LOCAL</v>
      </c>
      <c r="E18" s="619"/>
      <c r="F18" s="619"/>
      <c r="G18" s="619"/>
      <c r="H18" s="619"/>
      <c r="I18" s="619"/>
      <c r="J18" s="620"/>
    </row>
    <row r="19" spans="2:10" x14ac:dyDescent="0.2">
      <c r="B19" s="398" t="s">
        <v>422</v>
      </c>
      <c r="C19" s="400" t="str">
        <f>Planilha!C11</f>
        <v>CPU</v>
      </c>
      <c r="D19" s="621"/>
      <c r="E19" s="622"/>
      <c r="F19" s="622"/>
      <c r="G19" s="622"/>
      <c r="H19" s="622"/>
      <c r="I19" s="622"/>
      <c r="J19" s="623"/>
    </row>
    <row r="20" spans="2:10" x14ac:dyDescent="0.2">
      <c r="B20" s="608" t="s">
        <v>423</v>
      </c>
      <c r="C20" s="608"/>
      <c r="D20" s="608" t="s">
        <v>424</v>
      </c>
      <c r="E20" s="609" t="s">
        <v>425</v>
      </c>
      <c r="F20" s="609"/>
      <c r="G20" s="609"/>
      <c r="H20" s="610"/>
      <c r="I20" s="610" t="s">
        <v>302</v>
      </c>
      <c r="J20" s="610"/>
    </row>
    <row r="21" spans="2:10" x14ac:dyDescent="0.2">
      <c r="B21" s="608"/>
      <c r="C21" s="608"/>
      <c r="D21" s="608"/>
      <c r="E21" s="609"/>
      <c r="F21" s="609"/>
      <c r="G21" s="609"/>
      <c r="H21" s="610"/>
      <c r="I21" s="610"/>
      <c r="J21" s="610"/>
    </row>
    <row r="22" spans="2:10" x14ac:dyDescent="0.2">
      <c r="B22" s="624" t="s">
        <v>358</v>
      </c>
      <c r="C22" s="625"/>
      <c r="D22" s="401" t="s">
        <v>54</v>
      </c>
      <c r="E22" s="402">
        <v>1</v>
      </c>
      <c r="F22" s="402"/>
      <c r="G22" s="402"/>
      <c r="H22" s="402"/>
      <c r="I22" s="403">
        <f>E22</f>
        <v>1</v>
      </c>
      <c r="J22" s="402"/>
    </row>
    <row r="23" spans="2:10" x14ac:dyDescent="0.2">
      <c r="B23" s="609" t="s">
        <v>326</v>
      </c>
      <c r="C23" s="609"/>
      <c r="D23" s="404"/>
      <c r="E23" s="405"/>
      <c r="F23" s="405"/>
      <c r="G23" s="405"/>
      <c r="H23" s="406"/>
      <c r="I23" s="407">
        <f>ROUND(SUM(I22:I22),2)</f>
        <v>1</v>
      </c>
      <c r="J23" s="405"/>
    </row>
    <row r="24" spans="2:10" x14ac:dyDescent="0.2">
      <c r="B24" s="398" t="s">
        <v>421</v>
      </c>
      <c r="C24" s="398" t="s">
        <v>293</v>
      </c>
      <c r="D24" s="602" t="str">
        <f>Planilha!E12</f>
        <v>PLACA DE OBRA EM CHAPA DE ACO GALVANIZADO</v>
      </c>
      <c r="E24" s="603"/>
      <c r="F24" s="603"/>
      <c r="G24" s="603"/>
      <c r="H24" s="603"/>
      <c r="I24" s="603"/>
      <c r="J24" s="604"/>
    </row>
    <row r="25" spans="2:10" x14ac:dyDescent="0.2">
      <c r="B25" s="398" t="s">
        <v>422</v>
      </c>
      <c r="C25" s="408" t="str">
        <f>Planilha!D12</f>
        <v>74209/001</v>
      </c>
      <c r="D25" s="605"/>
      <c r="E25" s="606"/>
      <c r="F25" s="606"/>
      <c r="G25" s="606"/>
      <c r="H25" s="606"/>
      <c r="I25" s="606"/>
      <c r="J25" s="607"/>
    </row>
    <row r="26" spans="2:10" x14ac:dyDescent="0.2">
      <c r="B26" s="608" t="s">
        <v>423</v>
      </c>
      <c r="C26" s="608"/>
      <c r="D26" s="608" t="s">
        <v>424</v>
      </c>
      <c r="E26" s="609" t="s">
        <v>426</v>
      </c>
      <c r="F26" s="609" t="s">
        <v>432</v>
      </c>
      <c r="G26" s="609"/>
      <c r="H26" s="610"/>
      <c r="I26" s="610" t="s">
        <v>427</v>
      </c>
      <c r="J26" s="610"/>
    </row>
    <row r="27" spans="2:10" x14ac:dyDescent="0.2">
      <c r="B27" s="608"/>
      <c r="C27" s="608"/>
      <c r="D27" s="608"/>
      <c r="E27" s="609"/>
      <c r="F27" s="609"/>
      <c r="G27" s="609"/>
      <c r="H27" s="610"/>
      <c r="I27" s="610"/>
      <c r="J27" s="610"/>
    </row>
    <row r="28" spans="2:10" x14ac:dyDescent="0.2">
      <c r="B28" s="631" t="s">
        <v>428</v>
      </c>
      <c r="C28" s="631"/>
      <c r="D28" s="401" t="s">
        <v>429</v>
      </c>
      <c r="E28" s="402">
        <v>3</v>
      </c>
      <c r="F28" s="409">
        <v>1.5</v>
      </c>
      <c r="G28" s="402"/>
      <c r="H28" s="402"/>
      <c r="I28" s="403">
        <f>ROUND(F28*E28,2)</f>
        <v>4.5</v>
      </c>
      <c r="J28" s="402"/>
    </row>
    <row r="29" spans="2:10" x14ac:dyDescent="0.2">
      <c r="B29" s="632" t="s">
        <v>326</v>
      </c>
      <c r="C29" s="632"/>
      <c r="D29" s="410"/>
      <c r="E29" s="411"/>
      <c r="F29" s="411"/>
      <c r="G29" s="411"/>
      <c r="H29" s="412"/>
      <c r="I29" s="413">
        <f>ROUND(SUM(I28:I28),2)</f>
        <v>4.5</v>
      </c>
      <c r="J29" s="411"/>
    </row>
    <row r="30" spans="2:10" x14ac:dyDescent="0.2">
      <c r="B30" s="398" t="s">
        <v>421</v>
      </c>
      <c r="C30" s="398" t="s">
        <v>294</v>
      </c>
      <c r="D30" s="602" t="str">
        <f>Planilha!E13</f>
        <v>CANTEIRO DE OBRAS</v>
      </c>
      <c r="E30" s="603"/>
      <c r="F30" s="603"/>
      <c r="G30" s="603"/>
      <c r="H30" s="603"/>
      <c r="I30" s="603"/>
      <c r="J30" s="604"/>
    </row>
    <row r="31" spans="2:10" x14ac:dyDescent="0.2">
      <c r="B31" s="398" t="s">
        <v>422</v>
      </c>
      <c r="C31" s="408" t="str">
        <f>Planilha!C13</f>
        <v>CPU</v>
      </c>
      <c r="D31" s="605"/>
      <c r="E31" s="606"/>
      <c r="F31" s="606"/>
      <c r="G31" s="606"/>
      <c r="H31" s="606"/>
      <c r="I31" s="606"/>
      <c r="J31" s="607"/>
    </row>
    <row r="32" spans="2:10" x14ac:dyDescent="0.2">
      <c r="B32" s="608" t="s">
        <v>423</v>
      </c>
      <c r="C32" s="608"/>
      <c r="D32" s="608" t="s">
        <v>424</v>
      </c>
      <c r="E32" s="609" t="s">
        <v>425</v>
      </c>
      <c r="F32" s="609"/>
      <c r="G32" s="609"/>
      <c r="H32" s="610"/>
      <c r="I32" s="610" t="s">
        <v>427</v>
      </c>
      <c r="J32" s="610"/>
    </row>
    <row r="33" spans="2:10" x14ac:dyDescent="0.2">
      <c r="B33" s="608"/>
      <c r="C33" s="608"/>
      <c r="D33" s="608"/>
      <c r="E33" s="609"/>
      <c r="F33" s="609"/>
      <c r="G33" s="609"/>
      <c r="H33" s="610"/>
      <c r="I33" s="610"/>
      <c r="J33" s="610"/>
    </row>
    <row r="34" spans="2:10" x14ac:dyDescent="0.2">
      <c r="B34" s="631" t="s">
        <v>428</v>
      </c>
      <c r="C34" s="631"/>
      <c r="D34" s="401" t="s">
        <v>54</v>
      </c>
      <c r="E34" s="402">
        <v>1</v>
      </c>
      <c r="F34" s="409"/>
      <c r="G34" s="402"/>
      <c r="H34" s="402"/>
      <c r="I34" s="403">
        <f>ROUND(E34,2)</f>
        <v>1</v>
      </c>
      <c r="J34" s="402"/>
    </row>
    <row r="35" spans="2:10" x14ac:dyDescent="0.2">
      <c r="B35" s="632" t="s">
        <v>326</v>
      </c>
      <c r="C35" s="632"/>
      <c r="D35" s="410"/>
      <c r="E35" s="411"/>
      <c r="F35" s="411"/>
      <c r="G35" s="411"/>
      <c r="H35" s="412"/>
      <c r="I35" s="413">
        <f>ROUND(SUM(I34:I34),2)</f>
        <v>1</v>
      </c>
      <c r="J35" s="411"/>
    </row>
    <row r="36" spans="2:10" ht="12.75" customHeight="1" x14ac:dyDescent="0.2">
      <c r="B36" s="414" t="s">
        <v>421</v>
      </c>
      <c r="C36" s="414" t="s">
        <v>452</v>
      </c>
      <c r="D36" s="602" t="str">
        <f>Planilha!E14</f>
        <v>SERVICOS TOPOGRAFICOS PARA PAVIMENTACAO, INCLUSIVE NOTA DE SERVICOS, ACOMPANHAMENTO E GREIDE</v>
      </c>
      <c r="E36" s="626"/>
      <c r="F36" s="626"/>
      <c r="G36" s="626"/>
      <c r="H36" s="626"/>
      <c r="I36" s="626"/>
      <c r="J36" s="627"/>
    </row>
    <row r="37" spans="2:10" x14ac:dyDescent="0.2">
      <c r="B37" s="414" t="s">
        <v>422</v>
      </c>
      <c r="C37" s="415">
        <f>Planilha!D14</f>
        <v>78472</v>
      </c>
      <c r="D37" s="628"/>
      <c r="E37" s="629"/>
      <c r="F37" s="629"/>
      <c r="G37" s="629"/>
      <c r="H37" s="629"/>
      <c r="I37" s="629"/>
      <c r="J37" s="630"/>
    </row>
    <row r="38" spans="2:10" x14ac:dyDescent="0.2">
      <c r="B38" s="637" t="s">
        <v>423</v>
      </c>
      <c r="C38" s="637"/>
      <c r="D38" s="637" t="s">
        <v>424</v>
      </c>
      <c r="E38" s="637" t="s">
        <v>426</v>
      </c>
      <c r="F38" s="637"/>
      <c r="G38" s="637"/>
      <c r="H38" s="633"/>
      <c r="I38" s="633" t="s">
        <v>302</v>
      </c>
      <c r="J38" s="633"/>
    </row>
    <row r="39" spans="2:10" x14ac:dyDescent="0.2">
      <c r="B39" s="637"/>
      <c r="C39" s="637"/>
      <c r="D39" s="637"/>
      <c r="E39" s="637"/>
      <c r="F39" s="637"/>
      <c r="G39" s="637"/>
      <c r="H39" s="633"/>
      <c r="I39" s="633"/>
      <c r="J39" s="633"/>
    </row>
    <row r="40" spans="2:10" x14ac:dyDescent="0.2">
      <c r="B40" s="631" t="s">
        <v>394</v>
      </c>
      <c r="C40" s="631"/>
      <c r="D40" s="401" t="s">
        <v>429</v>
      </c>
      <c r="E40" s="416">
        <v>2231.2399999999998</v>
      </c>
      <c r="F40" s="409"/>
      <c r="G40" s="416"/>
      <c r="H40" s="416"/>
      <c r="I40" s="401">
        <f>E40</f>
        <v>2231.2399999999998</v>
      </c>
      <c r="J40" s="416"/>
    </row>
    <row r="41" spans="2:10" x14ac:dyDescent="0.2">
      <c r="B41" s="634" t="s">
        <v>326</v>
      </c>
      <c r="C41" s="634"/>
      <c r="D41" s="417"/>
      <c r="E41" s="412"/>
      <c r="F41" s="412"/>
      <c r="G41" s="412"/>
      <c r="H41" s="412"/>
      <c r="I41" s="413">
        <f>ROUND(SUM(I40:I40),2)</f>
        <v>2231.2399999999998</v>
      </c>
      <c r="J41" s="412"/>
    </row>
    <row r="42" spans="2:10" ht="15" customHeight="1" x14ac:dyDescent="0.2">
      <c r="B42" s="635" t="s">
        <v>437</v>
      </c>
      <c r="C42" s="636"/>
      <c r="D42" s="636"/>
      <c r="E42" s="636"/>
      <c r="F42" s="636"/>
      <c r="G42" s="636"/>
      <c r="H42" s="636"/>
      <c r="I42" s="636"/>
      <c r="J42" s="636"/>
    </row>
    <row r="43" spans="2:10" x14ac:dyDescent="0.2">
      <c r="B43" s="398" t="s">
        <v>421</v>
      </c>
      <c r="C43" s="398" t="s">
        <v>286</v>
      </c>
      <c r="D43" s="602" t="str">
        <f>Planilha!E16</f>
        <v>ESCAVACAO E CARGA MATERIAL 1A CATEGORIA, UTILIZANDO TRATOR DE ESTEIRAS DE 110 A 160HP COM LAMINA, PESO OPERACIONAL * 13T E PA CARREGADEIRA COM 170 HP.</v>
      </c>
      <c r="E43" s="603"/>
      <c r="F43" s="603"/>
      <c r="G43" s="603"/>
      <c r="H43" s="603"/>
      <c r="I43" s="603"/>
      <c r="J43" s="604"/>
    </row>
    <row r="44" spans="2:10" x14ac:dyDescent="0.2">
      <c r="B44" s="398" t="s">
        <v>422</v>
      </c>
      <c r="C44" s="408" t="str">
        <f>Planilha!D16</f>
        <v>74151/001</v>
      </c>
      <c r="D44" s="605"/>
      <c r="E44" s="606"/>
      <c r="F44" s="606"/>
      <c r="G44" s="606"/>
      <c r="H44" s="606"/>
      <c r="I44" s="606"/>
      <c r="J44" s="607"/>
    </row>
    <row r="45" spans="2:10" x14ac:dyDescent="0.2">
      <c r="B45" s="608" t="s">
        <v>423</v>
      </c>
      <c r="C45" s="608"/>
      <c r="D45" s="608" t="s">
        <v>424</v>
      </c>
      <c r="E45" s="609" t="s">
        <v>430</v>
      </c>
      <c r="F45" s="609" t="s">
        <v>433</v>
      </c>
      <c r="G45" s="609"/>
      <c r="H45" s="610"/>
      <c r="I45" s="610" t="s">
        <v>302</v>
      </c>
      <c r="J45" s="610"/>
    </row>
    <row r="46" spans="2:10" x14ac:dyDescent="0.2">
      <c r="B46" s="608"/>
      <c r="C46" s="608"/>
      <c r="D46" s="608"/>
      <c r="E46" s="609"/>
      <c r="F46" s="609"/>
      <c r="G46" s="609"/>
      <c r="H46" s="610"/>
      <c r="I46" s="610"/>
      <c r="J46" s="610"/>
    </row>
    <row r="47" spans="2:10" ht="25.5" customHeight="1" x14ac:dyDescent="0.2">
      <c r="B47" s="600" t="s">
        <v>462</v>
      </c>
      <c r="C47" s="601"/>
      <c r="D47" s="401" t="s">
        <v>431</v>
      </c>
      <c r="E47" s="402">
        <v>2231.2399999999998</v>
      </c>
      <c r="F47" s="409">
        <v>0.16</v>
      </c>
      <c r="G47" s="402"/>
      <c r="H47" s="402"/>
      <c r="I47" s="403">
        <f>ROUND(E47*F47,2)</f>
        <v>357</v>
      </c>
      <c r="J47" s="402"/>
    </row>
    <row r="48" spans="2:10" x14ac:dyDescent="0.2">
      <c r="B48" s="632" t="s">
        <v>326</v>
      </c>
      <c r="C48" s="632"/>
      <c r="D48" s="410"/>
      <c r="E48" s="411"/>
      <c r="F48" s="411"/>
      <c r="G48" s="411"/>
      <c r="H48" s="412"/>
      <c r="I48" s="413">
        <f>ROUND(SUM(I47:I47),2)</f>
        <v>357</v>
      </c>
      <c r="J48" s="411"/>
    </row>
    <row r="49" spans="2:10" x14ac:dyDescent="0.2">
      <c r="B49" s="398" t="s">
        <v>421</v>
      </c>
      <c r="C49" s="398" t="s">
        <v>287</v>
      </c>
      <c r="D49" s="602" t="str">
        <f>Planilha!E17</f>
        <v xml:space="preserve">TRANSPORTE COM CAMINHÃO BASCULANTE DE 14 M3, EM VIA URBANA EM LEITO NATURAL (UNIDADE: M3XKM). AF_04/2016 </v>
      </c>
      <c r="E49" s="603"/>
      <c r="F49" s="603"/>
      <c r="G49" s="603"/>
      <c r="H49" s="603"/>
      <c r="I49" s="603"/>
      <c r="J49" s="604"/>
    </row>
    <row r="50" spans="2:10" x14ac:dyDescent="0.2">
      <c r="B50" s="398" t="s">
        <v>422</v>
      </c>
      <c r="C50" s="408">
        <f>Planilha!D17</f>
        <v>93591</v>
      </c>
      <c r="D50" s="605"/>
      <c r="E50" s="606"/>
      <c r="F50" s="606"/>
      <c r="G50" s="606"/>
      <c r="H50" s="606"/>
      <c r="I50" s="606"/>
      <c r="J50" s="607"/>
    </row>
    <row r="51" spans="2:10" x14ac:dyDescent="0.2">
      <c r="B51" s="608" t="s">
        <v>423</v>
      </c>
      <c r="C51" s="608"/>
      <c r="D51" s="608" t="s">
        <v>424</v>
      </c>
      <c r="E51" s="638" t="s">
        <v>444</v>
      </c>
      <c r="F51" s="609" t="s">
        <v>433</v>
      </c>
      <c r="G51" s="609" t="s">
        <v>434</v>
      </c>
      <c r="H51" s="638" t="s">
        <v>443</v>
      </c>
      <c r="I51" s="610" t="s">
        <v>302</v>
      </c>
      <c r="J51" s="610"/>
    </row>
    <row r="52" spans="2:10" x14ac:dyDescent="0.2">
      <c r="B52" s="608"/>
      <c r="C52" s="608"/>
      <c r="D52" s="608"/>
      <c r="E52" s="639"/>
      <c r="F52" s="609"/>
      <c r="G52" s="609"/>
      <c r="H52" s="639"/>
      <c r="I52" s="610"/>
      <c r="J52" s="610"/>
    </row>
    <row r="53" spans="2:10" x14ac:dyDescent="0.2">
      <c r="B53" s="600" t="s">
        <v>456</v>
      </c>
      <c r="C53" s="601"/>
      <c r="D53" s="401" t="s">
        <v>435</v>
      </c>
      <c r="E53" s="409">
        <v>2231.2399999999998</v>
      </c>
      <c r="F53" s="409">
        <v>0.16</v>
      </c>
      <c r="G53" s="402">
        <v>3</v>
      </c>
      <c r="H53" s="443" t="s">
        <v>436</v>
      </c>
      <c r="I53" s="403">
        <f>ROUND(G53*F53*E53,2)</f>
        <v>1071</v>
      </c>
      <c r="J53" s="442"/>
    </row>
    <row r="54" spans="2:10" ht="24" customHeight="1" x14ac:dyDescent="0.2">
      <c r="B54" s="600" t="s">
        <v>440</v>
      </c>
      <c r="C54" s="601"/>
      <c r="D54" s="401" t="s">
        <v>435</v>
      </c>
      <c r="E54" s="409">
        <f>I75</f>
        <v>1983.21</v>
      </c>
      <c r="F54" s="409" t="s">
        <v>436</v>
      </c>
      <c r="G54" s="402">
        <v>6</v>
      </c>
      <c r="H54" s="424">
        <v>8.4000000000000005E-2</v>
      </c>
      <c r="I54" s="403">
        <f>ROUND(G54*H54*E54,2)</f>
        <v>999.54</v>
      </c>
      <c r="J54" s="402"/>
    </row>
    <row r="55" spans="2:10" ht="24" customHeight="1" x14ac:dyDescent="0.2">
      <c r="B55" s="600" t="s">
        <v>441</v>
      </c>
      <c r="C55" s="601"/>
      <c r="D55" s="401" t="s">
        <v>435</v>
      </c>
      <c r="E55" s="409">
        <f>I75</f>
        <v>1983.21</v>
      </c>
      <c r="F55" s="409" t="s">
        <v>436</v>
      </c>
      <c r="G55" s="402">
        <v>6</v>
      </c>
      <c r="H55" s="418">
        <v>6.4000000000000003E-3</v>
      </c>
      <c r="I55" s="403">
        <f t="shared" ref="I55:I56" si="0">ROUND(G55*H55*E55,2)</f>
        <v>76.16</v>
      </c>
      <c r="J55" s="423"/>
    </row>
    <row r="56" spans="2:10" ht="24" customHeight="1" x14ac:dyDescent="0.2">
      <c r="B56" s="600" t="s">
        <v>442</v>
      </c>
      <c r="C56" s="601"/>
      <c r="D56" s="401" t="s">
        <v>435</v>
      </c>
      <c r="E56" s="409">
        <f>I81+I88</f>
        <v>605.9</v>
      </c>
      <c r="F56" s="409" t="s">
        <v>436</v>
      </c>
      <c r="G56" s="402">
        <v>6</v>
      </c>
      <c r="H56" s="424">
        <v>7.0000000000000001E-3</v>
      </c>
      <c r="I56" s="403">
        <f t="shared" si="0"/>
        <v>25.45</v>
      </c>
      <c r="J56" s="423"/>
    </row>
    <row r="57" spans="2:10" x14ac:dyDescent="0.2">
      <c r="B57" s="632" t="s">
        <v>326</v>
      </c>
      <c r="C57" s="632"/>
      <c r="D57" s="410"/>
      <c r="E57" s="411"/>
      <c r="F57" s="411"/>
      <c r="G57" s="411"/>
      <c r="H57" s="412"/>
      <c r="I57" s="413">
        <f>ROUND(SUM(I53:I56),2)</f>
        <v>2172.15</v>
      </c>
      <c r="J57" s="411"/>
    </row>
    <row r="58" spans="2:10" x14ac:dyDescent="0.2">
      <c r="B58" s="398" t="s">
        <v>421</v>
      </c>
      <c r="C58" s="398" t="s">
        <v>288</v>
      </c>
      <c r="D58" s="602" t="str">
        <f>Planilha!E18</f>
        <v>REGULARIZACAO E COMPACTACAO DE SUBLEITO ATE 20 CM DE ESPESSURA</v>
      </c>
      <c r="E58" s="603"/>
      <c r="F58" s="603"/>
      <c r="G58" s="603"/>
      <c r="H58" s="603"/>
      <c r="I58" s="603"/>
      <c r="J58" s="604"/>
    </row>
    <row r="59" spans="2:10" x14ac:dyDescent="0.2">
      <c r="B59" s="398" t="s">
        <v>422</v>
      </c>
      <c r="C59" s="408">
        <f>Planilha!D18</f>
        <v>72961</v>
      </c>
      <c r="D59" s="605"/>
      <c r="E59" s="606"/>
      <c r="F59" s="606"/>
      <c r="G59" s="606"/>
      <c r="H59" s="606"/>
      <c r="I59" s="606"/>
      <c r="J59" s="607"/>
    </row>
    <row r="60" spans="2:10" x14ac:dyDescent="0.2">
      <c r="B60" s="608" t="s">
        <v>423</v>
      </c>
      <c r="C60" s="608"/>
      <c r="D60" s="608" t="s">
        <v>424</v>
      </c>
      <c r="E60" s="609" t="s">
        <v>430</v>
      </c>
      <c r="F60" s="609"/>
      <c r="G60" s="609"/>
      <c r="H60" s="610"/>
      <c r="I60" s="610" t="s">
        <v>302</v>
      </c>
      <c r="J60" s="610"/>
    </row>
    <row r="61" spans="2:10" x14ac:dyDescent="0.2">
      <c r="B61" s="608"/>
      <c r="C61" s="608"/>
      <c r="D61" s="608"/>
      <c r="E61" s="609"/>
      <c r="F61" s="640"/>
      <c r="G61" s="609"/>
      <c r="H61" s="610"/>
      <c r="I61" s="610"/>
      <c r="J61" s="610"/>
    </row>
    <row r="62" spans="2:10" x14ac:dyDescent="0.2">
      <c r="B62" s="600" t="s">
        <v>413</v>
      </c>
      <c r="C62" s="601"/>
      <c r="D62" s="401" t="s">
        <v>429</v>
      </c>
      <c r="E62" s="402">
        <v>2231.2399999999998</v>
      </c>
      <c r="F62" s="409"/>
      <c r="G62" s="402"/>
      <c r="H62" s="402"/>
      <c r="I62" s="403">
        <f>ROUND(E62,2)</f>
        <v>2231.2399999999998</v>
      </c>
      <c r="J62" s="402"/>
    </row>
    <row r="63" spans="2:10" x14ac:dyDescent="0.2">
      <c r="B63" s="632" t="s">
        <v>326</v>
      </c>
      <c r="C63" s="632"/>
      <c r="D63" s="410"/>
      <c r="E63" s="411"/>
      <c r="F63" s="411"/>
      <c r="G63" s="411"/>
      <c r="H63" s="412"/>
      <c r="I63" s="413">
        <f>ROUND(SUM(I62:I62),2)</f>
        <v>2231.2399999999998</v>
      </c>
      <c r="J63" s="411"/>
    </row>
    <row r="64" spans="2:10" x14ac:dyDescent="0.2">
      <c r="B64" s="398" t="s">
        <v>421</v>
      </c>
      <c r="C64" s="398" t="s">
        <v>289</v>
      </c>
      <c r="D64" s="602" t="str">
        <f>Planilha!E19</f>
        <v>EXECUÇÃO E COMPACTAÇÃO DE BASE E OU SUB BASE COM SOLO PREDOMINANTEMENTE ARENOSO - EXCLUSIVE ESCAVAÇÃO, CARGA E TRANSPORTE E SOLO. AF_09/2017</v>
      </c>
      <c r="E64" s="603"/>
      <c r="F64" s="603"/>
      <c r="G64" s="603"/>
      <c r="H64" s="603"/>
      <c r="I64" s="603"/>
      <c r="J64" s="604"/>
    </row>
    <row r="65" spans="2:15" x14ac:dyDescent="0.2">
      <c r="B65" s="398" t="s">
        <v>422</v>
      </c>
      <c r="C65" s="408">
        <f>Planilha!D19</f>
        <v>96388</v>
      </c>
      <c r="D65" s="605"/>
      <c r="E65" s="606"/>
      <c r="F65" s="606"/>
      <c r="G65" s="606"/>
      <c r="H65" s="606"/>
      <c r="I65" s="606"/>
      <c r="J65" s="607"/>
    </row>
    <row r="66" spans="2:15" x14ac:dyDescent="0.2">
      <c r="B66" s="608" t="s">
        <v>423</v>
      </c>
      <c r="C66" s="608"/>
      <c r="D66" s="608" t="s">
        <v>424</v>
      </c>
      <c r="E66" s="609" t="s">
        <v>430</v>
      </c>
      <c r="F66" s="609" t="s">
        <v>433</v>
      </c>
      <c r="G66" s="609"/>
      <c r="H66" s="610"/>
      <c r="I66" s="610" t="s">
        <v>302</v>
      </c>
      <c r="J66" s="610"/>
    </row>
    <row r="67" spans="2:15" x14ac:dyDescent="0.2">
      <c r="B67" s="608"/>
      <c r="C67" s="608"/>
      <c r="D67" s="608"/>
      <c r="E67" s="609"/>
      <c r="F67" s="609"/>
      <c r="G67" s="609"/>
      <c r="H67" s="610"/>
      <c r="I67" s="610"/>
      <c r="J67" s="610"/>
    </row>
    <row r="68" spans="2:15" x14ac:dyDescent="0.2">
      <c r="B68" s="600" t="s">
        <v>490</v>
      </c>
      <c r="C68" s="601"/>
      <c r="D68" s="401" t="s">
        <v>431</v>
      </c>
      <c r="E68" s="409">
        <v>2231.2399999999998</v>
      </c>
      <c r="F68" s="409">
        <v>0.08</v>
      </c>
      <c r="G68" s="402"/>
      <c r="H68" s="402"/>
      <c r="I68" s="403">
        <f>ROUND(F68*E68,2)</f>
        <v>178.5</v>
      </c>
      <c r="J68" s="402"/>
    </row>
    <row r="69" spans="2:15" x14ac:dyDescent="0.2">
      <c r="B69" s="632" t="s">
        <v>326</v>
      </c>
      <c r="C69" s="632"/>
      <c r="D69" s="447"/>
      <c r="E69" s="411"/>
      <c r="F69" s="411"/>
      <c r="G69" s="411"/>
      <c r="H69" s="412"/>
      <c r="I69" s="413">
        <f>ROUND(SUM(I68:I68),2)</f>
        <v>178.5</v>
      </c>
      <c r="J69" s="411"/>
    </row>
    <row r="70" spans="2:15" ht="18" customHeight="1" x14ac:dyDescent="0.2">
      <c r="B70" s="398" t="s">
        <v>421</v>
      </c>
      <c r="C70" s="398" t="s">
        <v>290</v>
      </c>
      <c r="D70" s="602" t="str">
        <f>Planilha!E20</f>
        <v>EXECUÇÃO DE PAVIMENTO EM PISO INTERTRAVADO, COM BLOCO SEXTAVADO DE 25X 25 CM, ESPESSURA 8 CM, ASSENTADO SOBRE COLCHÃO DE AREIA COM ESPESSURA DE 8 CM - EXCLUSIVE TRANSPORTE DA AREIA</v>
      </c>
      <c r="E70" s="603"/>
      <c r="F70" s="603"/>
      <c r="G70" s="603"/>
      <c r="H70" s="603"/>
      <c r="I70" s="603"/>
      <c r="J70" s="604"/>
    </row>
    <row r="71" spans="2:15" ht="18" customHeight="1" x14ac:dyDescent="0.2">
      <c r="B71" s="398" t="s">
        <v>422</v>
      </c>
      <c r="C71" s="408" t="str">
        <f>Planilha!D20</f>
        <v>CPU</v>
      </c>
      <c r="D71" s="605"/>
      <c r="E71" s="606"/>
      <c r="F71" s="606"/>
      <c r="G71" s="606"/>
      <c r="H71" s="606"/>
      <c r="I71" s="606"/>
      <c r="J71" s="607"/>
      <c r="O71" s="311">
        <f>I75*H54</f>
        <v>166.58964</v>
      </c>
    </row>
    <row r="72" spans="2:15" x14ac:dyDescent="0.2">
      <c r="B72" s="608" t="s">
        <v>423</v>
      </c>
      <c r="C72" s="608"/>
      <c r="D72" s="608" t="s">
        <v>424</v>
      </c>
      <c r="E72" s="609" t="s">
        <v>430</v>
      </c>
      <c r="F72" s="609"/>
      <c r="G72" s="638"/>
      <c r="H72" s="610"/>
      <c r="I72" s="610" t="s">
        <v>302</v>
      </c>
      <c r="J72" s="610"/>
    </row>
    <row r="73" spans="2:15" x14ac:dyDescent="0.2">
      <c r="B73" s="608"/>
      <c r="C73" s="608"/>
      <c r="D73" s="608"/>
      <c r="E73" s="609"/>
      <c r="F73" s="609"/>
      <c r="G73" s="639"/>
      <c r="H73" s="610"/>
      <c r="I73" s="610"/>
      <c r="J73" s="610"/>
    </row>
    <row r="74" spans="2:15" x14ac:dyDescent="0.2">
      <c r="B74" s="600" t="s">
        <v>445</v>
      </c>
      <c r="C74" s="601"/>
      <c r="D74" s="401" t="s">
        <v>429</v>
      </c>
      <c r="E74" s="409">
        <v>1983.21</v>
      </c>
      <c r="F74" s="409"/>
      <c r="G74" s="402"/>
      <c r="H74" s="402"/>
      <c r="I74" s="403">
        <f>ROUND(E74,2)</f>
        <v>1983.21</v>
      </c>
      <c r="J74" s="402"/>
    </row>
    <row r="75" spans="2:15" ht="12.75" customHeight="1" x14ac:dyDescent="0.2">
      <c r="B75" s="609" t="s">
        <v>326</v>
      </c>
      <c r="C75" s="609"/>
      <c r="D75" s="404"/>
      <c r="E75" s="405"/>
      <c r="F75" s="405"/>
      <c r="G75" s="405"/>
      <c r="H75" s="406"/>
      <c r="I75" s="407">
        <f>ROUND(SUM(I74:I74),2)</f>
        <v>1983.21</v>
      </c>
      <c r="J75" s="405"/>
    </row>
    <row r="76" spans="2:15" ht="24" customHeight="1" x14ac:dyDescent="0.2">
      <c r="B76" s="398" t="s">
        <v>421</v>
      </c>
      <c r="C76" s="398" t="s">
        <v>291</v>
      </c>
      <c r="D76" s="618" t="str">
        <f>Planilha!E21</f>
        <v>ASSENTAMENTO DE GUIA (MEIO-FIO) EM TRECHO RETO, CONFECCIONADA EM CONCRETO PRÉ-FABRICADO, DIMENSÕES 100X15X13X30 CM (COMPRIMENTO X BASE INFERIOR X BASE SUPERIOR X ALTURA), PARA VIAS URBANAS (USO VIÁRIO), PARA TRAVAMENTO DA VIA . AF_06/2016</v>
      </c>
      <c r="E76" s="641"/>
      <c r="F76" s="641"/>
      <c r="G76" s="641"/>
      <c r="H76" s="641"/>
      <c r="I76" s="641"/>
      <c r="J76" s="642"/>
    </row>
    <row r="77" spans="2:15" ht="24" customHeight="1" x14ac:dyDescent="0.2">
      <c r="B77" s="398" t="s">
        <v>422</v>
      </c>
      <c r="C77" s="408">
        <f>Planilha!D21</f>
        <v>94273</v>
      </c>
      <c r="D77" s="643"/>
      <c r="E77" s="644"/>
      <c r="F77" s="644"/>
      <c r="G77" s="644"/>
      <c r="H77" s="644"/>
      <c r="I77" s="644"/>
      <c r="J77" s="645"/>
    </row>
    <row r="78" spans="2:15" x14ac:dyDescent="0.2">
      <c r="B78" s="608" t="s">
        <v>423</v>
      </c>
      <c r="C78" s="608"/>
      <c r="D78" s="608" t="s">
        <v>424</v>
      </c>
      <c r="E78" s="609" t="s">
        <v>426</v>
      </c>
      <c r="F78" s="609"/>
      <c r="G78" s="609"/>
      <c r="H78" s="610"/>
      <c r="I78" s="610" t="s">
        <v>302</v>
      </c>
      <c r="J78" s="610"/>
    </row>
    <row r="79" spans="2:15" x14ac:dyDescent="0.2">
      <c r="B79" s="608"/>
      <c r="C79" s="608"/>
      <c r="D79" s="608"/>
      <c r="E79" s="609"/>
      <c r="F79" s="609"/>
      <c r="G79" s="609"/>
      <c r="H79" s="610"/>
      <c r="I79" s="610"/>
      <c r="J79" s="610"/>
    </row>
    <row r="80" spans="2:15" x14ac:dyDescent="0.2">
      <c r="B80" s="631" t="s">
        <v>446</v>
      </c>
      <c r="C80" s="631"/>
      <c r="D80" s="401" t="s">
        <v>382</v>
      </c>
      <c r="E80" s="402">
        <v>138.85</v>
      </c>
      <c r="F80" s="409"/>
      <c r="G80" s="402"/>
      <c r="H80" s="402"/>
      <c r="I80" s="403">
        <f>E80</f>
        <v>138.85</v>
      </c>
      <c r="J80" s="402"/>
    </row>
    <row r="81" spans="2:18" x14ac:dyDescent="0.2">
      <c r="B81" s="632" t="s">
        <v>326</v>
      </c>
      <c r="C81" s="632"/>
      <c r="D81" s="410"/>
      <c r="E81" s="411"/>
      <c r="F81" s="411"/>
      <c r="G81" s="411"/>
      <c r="H81" s="412"/>
      <c r="I81" s="413">
        <f>ROUND(SUM(I80:I80),2)</f>
        <v>138.85</v>
      </c>
      <c r="J81" s="411"/>
    </row>
    <row r="82" spans="2:18" x14ac:dyDescent="0.2">
      <c r="B82" s="635" t="s">
        <v>438</v>
      </c>
      <c r="C82" s="636"/>
      <c r="D82" s="636"/>
      <c r="E82" s="636"/>
      <c r="F82" s="636"/>
      <c r="G82" s="636"/>
      <c r="H82" s="636"/>
      <c r="I82" s="636"/>
      <c r="J82" s="636"/>
    </row>
    <row r="83" spans="2:18" ht="18" customHeight="1" x14ac:dyDescent="0.2">
      <c r="B83" s="398" t="s">
        <v>421</v>
      </c>
      <c r="C83" s="398" t="s">
        <v>342</v>
      </c>
      <c r="D83" s="618" t="str">
        <f>Planilha!E23</f>
        <v>ASSENTAMENTO DE GUIA (MEIO-FIO) EM TRECHO RETO, CONFECCIONADA EM CONCRETO PRÉ-FABRICADO, DIMENSÕES 100X15X13X30 CM (COMPRIMENTO X BASE INFERIOR X BASE SUPERIOR X ALTURA), PARA VIAS URBANAS (USO VIÁRIO). AF_06/2016</v>
      </c>
      <c r="E83" s="619"/>
      <c r="F83" s="619"/>
      <c r="G83" s="619"/>
      <c r="H83" s="619"/>
      <c r="I83" s="619"/>
      <c r="J83" s="620"/>
    </row>
    <row r="84" spans="2:18" ht="18" customHeight="1" x14ac:dyDescent="0.2">
      <c r="B84" s="398" t="s">
        <v>422</v>
      </c>
      <c r="C84" s="408">
        <f>Planilha!D23</f>
        <v>94273</v>
      </c>
      <c r="D84" s="621"/>
      <c r="E84" s="622"/>
      <c r="F84" s="622"/>
      <c r="G84" s="622"/>
      <c r="H84" s="622"/>
      <c r="I84" s="622"/>
      <c r="J84" s="623"/>
    </row>
    <row r="85" spans="2:18" x14ac:dyDescent="0.2">
      <c r="B85" s="608" t="s">
        <v>423</v>
      </c>
      <c r="C85" s="608"/>
      <c r="D85" s="608" t="s">
        <v>424</v>
      </c>
      <c r="E85" s="609" t="s">
        <v>426</v>
      </c>
      <c r="F85" s="609"/>
      <c r="G85" s="609"/>
      <c r="H85" s="610"/>
      <c r="I85" s="610" t="s">
        <v>302</v>
      </c>
      <c r="J85" s="610"/>
      <c r="R85" s="311">
        <f>220/8</f>
        <v>27.5</v>
      </c>
    </row>
    <row r="86" spans="2:18" x14ac:dyDescent="0.2">
      <c r="B86" s="608"/>
      <c r="C86" s="608"/>
      <c r="D86" s="608"/>
      <c r="E86" s="609"/>
      <c r="F86" s="609"/>
      <c r="G86" s="609"/>
      <c r="H86" s="610"/>
      <c r="I86" s="610"/>
      <c r="J86" s="610"/>
      <c r="R86" s="311">
        <f>250/16</f>
        <v>15.625</v>
      </c>
    </row>
    <row r="87" spans="2:18" x14ac:dyDescent="0.2">
      <c r="B87" s="631" t="s">
        <v>495</v>
      </c>
      <c r="C87" s="631"/>
      <c r="D87" s="401" t="s">
        <v>382</v>
      </c>
      <c r="E87" s="402">
        <v>467.05</v>
      </c>
      <c r="F87" s="409"/>
      <c r="G87" s="402"/>
      <c r="H87" s="402"/>
      <c r="I87" s="403">
        <f>ROUND(E87,2)</f>
        <v>467.05</v>
      </c>
      <c r="J87" s="402"/>
    </row>
    <row r="88" spans="2:18" x14ac:dyDescent="0.2">
      <c r="B88" s="609" t="s">
        <v>326</v>
      </c>
      <c r="C88" s="609"/>
      <c r="D88" s="404"/>
      <c r="E88" s="405"/>
      <c r="F88" s="405"/>
      <c r="G88" s="405"/>
      <c r="H88" s="406"/>
      <c r="I88" s="407">
        <f>ROUND(SUM(I87:I87),2)</f>
        <v>467.05</v>
      </c>
      <c r="J88" s="405"/>
    </row>
    <row r="89" spans="2:18" x14ac:dyDescent="0.2">
      <c r="B89" s="635" t="s">
        <v>439</v>
      </c>
      <c r="C89" s="636"/>
      <c r="D89" s="636"/>
      <c r="E89" s="636"/>
      <c r="F89" s="636"/>
      <c r="G89" s="636"/>
      <c r="H89" s="636"/>
      <c r="I89" s="636"/>
      <c r="J89" s="636"/>
    </row>
    <row r="90" spans="2:18" x14ac:dyDescent="0.2">
      <c r="B90" s="398" t="s">
        <v>421</v>
      </c>
      <c r="C90" s="398" t="s">
        <v>373</v>
      </c>
      <c r="D90" s="618" t="str">
        <f>Planilha!E25</f>
        <v>EXECUÇÃO DE SARJETA DE CONCRETO USINADO, MOLDADA IN LOCO EM TRECHO RETO, 45 CM BASE X 10 CM ALTURA. AF_06/2016</v>
      </c>
      <c r="E90" s="641"/>
      <c r="F90" s="641"/>
      <c r="G90" s="641"/>
      <c r="H90" s="641"/>
      <c r="I90" s="641"/>
      <c r="J90" s="642"/>
    </row>
    <row r="91" spans="2:18" x14ac:dyDescent="0.2">
      <c r="B91" s="398" t="s">
        <v>422</v>
      </c>
      <c r="C91" s="420">
        <f>Planilha!D25</f>
        <v>94289</v>
      </c>
      <c r="D91" s="643"/>
      <c r="E91" s="644"/>
      <c r="F91" s="644"/>
      <c r="G91" s="644"/>
      <c r="H91" s="644"/>
      <c r="I91" s="644"/>
      <c r="J91" s="645"/>
    </row>
    <row r="92" spans="2:18" x14ac:dyDescent="0.2">
      <c r="B92" s="637" t="s">
        <v>423</v>
      </c>
      <c r="C92" s="637"/>
      <c r="D92" s="637" t="s">
        <v>424</v>
      </c>
      <c r="E92" s="637" t="s">
        <v>426</v>
      </c>
      <c r="F92" s="637"/>
      <c r="G92" s="637"/>
      <c r="H92" s="633"/>
      <c r="I92" s="633" t="s">
        <v>302</v>
      </c>
      <c r="J92" s="633"/>
    </row>
    <row r="93" spans="2:18" x14ac:dyDescent="0.2">
      <c r="B93" s="637"/>
      <c r="C93" s="637"/>
      <c r="D93" s="637"/>
      <c r="E93" s="637"/>
      <c r="F93" s="637"/>
      <c r="G93" s="637"/>
      <c r="H93" s="633"/>
      <c r="I93" s="633"/>
      <c r="J93" s="633"/>
    </row>
    <row r="94" spans="2:18" x14ac:dyDescent="0.2">
      <c r="B94" s="631" t="s">
        <v>496</v>
      </c>
      <c r="C94" s="631"/>
      <c r="D94" s="401" t="s">
        <v>382</v>
      </c>
      <c r="E94" s="416">
        <v>525</v>
      </c>
      <c r="F94" s="409"/>
      <c r="G94" s="416"/>
      <c r="H94" s="416"/>
      <c r="I94" s="401">
        <f>ROUND(E94,2)</f>
        <v>525</v>
      </c>
      <c r="J94" s="416"/>
    </row>
    <row r="95" spans="2:18" x14ac:dyDescent="0.2">
      <c r="B95" s="637" t="s">
        <v>326</v>
      </c>
      <c r="C95" s="637"/>
      <c r="D95" s="419"/>
      <c r="E95" s="406"/>
      <c r="F95" s="406"/>
      <c r="G95" s="406"/>
      <c r="H95" s="406"/>
      <c r="I95" s="407">
        <f>ROUND(SUM(I94:I94),2)</f>
        <v>525</v>
      </c>
      <c r="J95" s="406"/>
    </row>
  </sheetData>
  <mergeCells count="158">
    <mergeCell ref="I92:I93"/>
    <mergeCell ref="J92:J93"/>
    <mergeCell ref="B94:C94"/>
    <mergeCell ref="B95:C95"/>
    <mergeCell ref="B92:C93"/>
    <mergeCell ref="D92:D93"/>
    <mergeCell ref="E92:E93"/>
    <mergeCell ref="F92:F93"/>
    <mergeCell ref="G92:G93"/>
    <mergeCell ref="H92:H93"/>
    <mergeCell ref="B89:J89"/>
    <mergeCell ref="D90:J91"/>
    <mergeCell ref="I85:I86"/>
    <mergeCell ref="J85:J86"/>
    <mergeCell ref="B87:C87"/>
    <mergeCell ref="B88:C88"/>
    <mergeCell ref="B85:C86"/>
    <mergeCell ref="D85:D86"/>
    <mergeCell ref="E85:E86"/>
    <mergeCell ref="F85:F86"/>
    <mergeCell ref="G85:G86"/>
    <mergeCell ref="H85:H86"/>
    <mergeCell ref="E66:E67"/>
    <mergeCell ref="B82:J82"/>
    <mergeCell ref="D83:J84"/>
    <mergeCell ref="B80:C80"/>
    <mergeCell ref="B81:C81"/>
    <mergeCell ref="B75:C75"/>
    <mergeCell ref="D76:J77"/>
    <mergeCell ref="B78:C79"/>
    <mergeCell ref="D78:D79"/>
    <mergeCell ref="E78:E79"/>
    <mergeCell ref="F78:F79"/>
    <mergeCell ref="G78:G79"/>
    <mergeCell ref="H78:H79"/>
    <mergeCell ref="I78:I79"/>
    <mergeCell ref="J78:J79"/>
    <mergeCell ref="F66:F67"/>
    <mergeCell ref="G66:G67"/>
    <mergeCell ref="H66:H67"/>
    <mergeCell ref="I66:I67"/>
    <mergeCell ref="J66:J67"/>
    <mergeCell ref="B68:C68"/>
    <mergeCell ref="B69:C69"/>
    <mergeCell ref="D58:J59"/>
    <mergeCell ref="H72:H73"/>
    <mergeCell ref="I72:I73"/>
    <mergeCell ref="J72:J73"/>
    <mergeCell ref="B74:C74"/>
    <mergeCell ref="I60:I61"/>
    <mergeCell ref="J60:J61"/>
    <mergeCell ref="B62:C62"/>
    <mergeCell ref="B63:C63"/>
    <mergeCell ref="D70:J71"/>
    <mergeCell ref="B72:C73"/>
    <mergeCell ref="D72:D73"/>
    <mergeCell ref="E72:E73"/>
    <mergeCell ref="F72:F73"/>
    <mergeCell ref="G72:G73"/>
    <mergeCell ref="B60:C61"/>
    <mergeCell ref="D60:D61"/>
    <mergeCell ref="E60:E61"/>
    <mergeCell ref="F60:F61"/>
    <mergeCell ref="G60:G61"/>
    <mergeCell ref="H60:H61"/>
    <mergeCell ref="D64:J65"/>
    <mergeCell ref="B66:C67"/>
    <mergeCell ref="D66:D67"/>
    <mergeCell ref="H51:H52"/>
    <mergeCell ref="I51:I52"/>
    <mergeCell ref="J51:J52"/>
    <mergeCell ref="B54:C54"/>
    <mergeCell ref="B57:C57"/>
    <mergeCell ref="I45:I46"/>
    <mergeCell ref="J45:J46"/>
    <mergeCell ref="B47:C47"/>
    <mergeCell ref="B48:C48"/>
    <mergeCell ref="D49:J50"/>
    <mergeCell ref="B51:C52"/>
    <mergeCell ref="D51:D52"/>
    <mergeCell ref="E51:E52"/>
    <mergeCell ref="F51:F52"/>
    <mergeCell ref="G51:G52"/>
    <mergeCell ref="B45:C46"/>
    <mergeCell ref="D45:D46"/>
    <mergeCell ref="E45:E46"/>
    <mergeCell ref="F45:F46"/>
    <mergeCell ref="G45:G46"/>
    <mergeCell ref="H45:H46"/>
    <mergeCell ref="B53:C53"/>
    <mergeCell ref="I38:I39"/>
    <mergeCell ref="J38:J39"/>
    <mergeCell ref="B40:C40"/>
    <mergeCell ref="B41:C41"/>
    <mergeCell ref="B42:J42"/>
    <mergeCell ref="D43:J44"/>
    <mergeCell ref="B38:C39"/>
    <mergeCell ref="D38:D39"/>
    <mergeCell ref="E38:E39"/>
    <mergeCell ref="F38:F39"/>
    <mergeCell ref="G38:G39"/>
    <mergeCell ref="H38:H39"/>
    <mergeCell ref="D36:J37"/>
    <mergeCell ref="I26:I27"/>
    <mergeCell ref="J26:J27"/>
    <mergeCell ref="B28:C28"/>
    <mergeCell ref="B29:C29"/>
    <mergeCell ref="B26:C27"/>
    <mergeCell ref="D26:D27"/>
    <mergeCell ref="E26:E27"/>
    <mergeCell ref="F26:F27"/>
    <mergeCell ref="G26:G27"/>
    <mergeCell ref="H26:H27"/>
    <mergeCell ref="J32:J33"/>
    <mergeCell ref="B34:C34"/>
    <mergeCell ref="B35:C35"/>
    <mergeCell ref="J14:J15"/>
    <mergeCell ref="B16:C16"/>
    <mergeCell ref="B17:C17"/>
    <mergeCell ref="D18:J19"/>
    <mergeCell ref="B20:C21"/>
    <mergeCell ref="D20:D21"/>
    <mergeCell ref="E20:E21"/>
    <mergeCell ref="F20:F21"/>
    <mergeCell ref="G20:G21"/>
    <mergeCell ref="B14:C15"/>
    <mergeCell ref="D14:D15"/>
    <mergeCell ref="E14:E15"/>
    <mergeCell ref="F14:F15"/>
    <mergeCell ref="G14:G15"/>
    <mergeCell ref="H14:H15"/>
    <mergeCell ref="H20:H21"/>
    <mergeCell ref="I20:I21"/>
    <mergeCell ref="J20:J21"/>
    <mergeCell ref="E2:J2"/>
    <mergeCell ref="E3:J3"/>
    <mergeCell ref="E4:J4"/>
    <mergeCell ref="B6:J6"/>
    <mergeCell ref="B7:B8"/>
    <mergeCell ref="C7:J8"/>
    <mergeCell ref="B55:C55"/>
    <mergeCell ref="B56:C56"/>
    <mergeCell ref="D30:J31"/>
    <mergeCell ref="B32:C33"/>
    <mergeCell ref="D32:D33"/>
    <mergeCell ref="E32:E33"/>
    <mergeCell ref="F32:F33"/>
    <mergeCell ref="G32:G33"/>
    <mergeCell ref="H32:H33"/>
    <mergeCell ref="I32:I33"/>
    <mergeCell ref="B9:J9"/>
    <mergeCell ref="B10:H10"/>
    <mergeCell ref="B11:J11"/>
    <mergeCell ref="D12:J13"/>
    <mergeCell ref="B22:C22"/>
    <mergeCell ref="B23:C23"/>
    <mergeCell ref="D24:J25"/>
    <mergeCell ref="I14:I15"/>
  </mergeCells>
  <pageMargins left="0.511811024" right="0.511811024" top="0.78740157499999996" bottom="0.78740157499999996" header="0.31496062000000002" footer="0.31496062000000002"/>
  <pageSetup paperSize="9" scale="73" fitToHeight="0" orientation="portrait" r:id="rId1"/>
  <rowBreaks count="1" manualBreakCount="1">
    <brk id="57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33"/>
  <sheetViews>
    <sheetView workbookViewId="0">
      <selection activeCell="K1" sqref="K1:Q1048576"/>
    </sheetView>
  </sheetViews>
  <sheetFormatPr defaultRowHeight="12.75" x14ac:dyDescent="0.2"/>
  <cols>
    <col min="1" max="1" width="5.42578125" style="269" customWidth="1"/>
    <col min="2" max="2" width="39.7109375" style="269" bestFit="1" customWidth="1"/>
    <col min="3" max="3" width="20.140625" style="269" bestFit="1" customWidth="1"/>
    <col min="4" max="7" width="14.5703125" style="269" bestFit="1" customWidth="1"/>
    <col min="8" max="10" width="14.5703125" style="269" customWidth="1"/>
    <col min="11" max="11" width="11.5703125" style="269" hidden="1" customWidth="1"/>
    <col min="12" max="12" width="12.28515625" style="269" hidden="1" customWidth="1"/>
    <col min="13" max="17" width="0" style="269" hidden="1" customWidth="1"/>
    <col min="18" max="16384" width="9.140625" style="269"/>
  </cols>
  <sheetData>
    <row r="1" spans="1:12" ht="26.25" x14ac:dyDescent="0.4">
      <c r="A1" s="658" t="s">
        <v>359</v>
      </c>
      <c r="B1" s="659"/>
      <c r="C1" s="659"/>
      <c r="D1" s="659"/>
      <c r="E1" s="659"/>
      <c r="F1" s="659"/>
      <c r="G1" s="659"/>
      <c r="H1" s="659"/>
      <c r="I1" s="659"/>
      <c r="J1" s="660"/>
      <c r="K1" s="427"/>
    </row>
    <row r="2" spans="1:12" ht="17.25" customHeight="1" x14ac:dyDescent="0.2">
      <c r="A2" s="667" t="s">
        <v>419</v>
      </c>
      <c r="B2" s="668"/>
      <c r="C2" s="663" t="s">
        <v>360</v>
      </c>
      <c r="D2" s="664"/>
      <c r="E2" s="665">
        <f>Planilha!K26</f>
        <v>200425.38999999998</v>
      </c>
      <c r="F2" s="666"/>
      <c r="G2" s="661" t="s">
        <v>499</v>
      </c>
      <c r="H2" s="661"/>
      <c r="I2" s="661"/>
      <c r="J2" s="662"/>
    </row>
    <row r="3" spans="1:12" ht="12.75" customHeight="1" x14ac:dyDescent="0.2">
      <c r="A3" s="675" t="str">
        <f>Planilha!C4</f>
        <v>PAVIMENTAÇÃO DE REVESTIMENTO EM BLOQUETE HEXAGONAIS DE CONCRETO
RUA HENRIQUE MOREIRA SÓ, COMUNIDADE DE VILA ALEXANDRE MASCARENHAS/ GOUVEIA - MG</v>
      </c>
      <c r="B3" s="675"/>
      <c r="C3" s="675"/>
      <c r="D3" s="675"/>
      <c r="E3" s="675"/>
      <c r="F3" s="675"/>
      <c r="G3" s="675"/>
      <c r="H3" s="669" t="s">
        <v>448</v>
      </c>
      <c r="I3" s="670"/>
      <c r="J3" s="671"/>
    </row>
    <row r="4" spans="1:12" ht="26.25" customHeight="1" x14ac:dyDescent="0.2">
      <c r="A4" s="676"/>
      <c r="B4" s="676"/>
      <c r="C4" s="676"/>
      <c r="D4" s="676"/>
      <c r="E4" s="676"/>
      <c r="F4" s="676"/>
      <c r="G4" s="676"/>
      <c r="H4" s="672"/>
      <c r="I4" s="673"/>
      <c r="J4" s="674"/>
    </row>
    <row r="5" spans="1:12" ht="27.75" customHeight="1" x14ac:dyDescent="0.2">
      <c r="A5" s="270" t="s">
        <v>292</v>
      </c>
      <c r="B5" s="270" t="s">
        <v>361</v>
      </c>
      <c r="C5" s="270" t="s">
        <v>362</v>
      </c>
      <c r="D5" s="270" t="s">
        <v>363</v>
      </c>
      <c r="E5" s="270" t="s">
        <v>364</v>
      </c>
      <c r="F5" s="270" t="s">
        <v>365</v>
      </c>
      <c r="G5" s="270" t="s">
        <v>366</v>
      </c>
      <c r="H5" s="270" t="s">
        <v>449</v>
      </c>
      <c r="I5" s="270" t="s">
        <v>450</v>
      </c>
      <c r="J5" s="428" t="s">
        <v>451</v>
      </c>
    </row>
    <row r="6" spans="1:12" x14ac:dyDescent="0.2">
      <c r="A6" s="649">
        <v>1</v>
      </c>
      <c r="B6" s="650" t="str">
        <f>Planilha!E9</f>
        <v>SERVIÇOS PRELIMINARES</v>
      </c>
      <c r="C6" s="271" t="s">
        <v>367</v>
      </c>
      <c r="D6" s="272">
        <f>Planilha!K9/Planilha!K26</f>
        <v>9.2347032479268218E-2</v>
      </c>
      <c r="E6" s="273">
        <v>0.39</v>
      </c>
      <c r="F6" s="273">
        <v>0.2</v>
      </c>
      <c r="G6" s="273">
        <v>7.0000000000000007E-2</v>
      </c>
      <c r="H6" s="273">
        <v>7.0000000000000007E-2</v>
      </c>
      <c r="I6" s="273">
        <v>7.0000000000000007E-2</v>
      </c>
      <c r="J6" s="429">
        <v>0.2</v>
      </c>
      <c r="L6" s="279">
        <f t="shared" ref="L6:L15" si="0">SUM(E6:J6)</f>
        <v>1.0000000000000002</v>
      </c>
    </row>
    <row r="7" spans="1:12" x14ac:dyDescent="0.2">
      <c r="A7" s="649"/>
      <c r="B7" s="651"/>
      <c r="C7" s="271" t="s">
        <v>368</v>
      </c>
      <c r="D7" s="388">
        <f>Planilha!K9</f>
        <v>18508.689999999999</v>
      </c>
      <c r="E7" s="389">
        <f>E6*$D$7</f>
        <v>7218.3890999999994</v>
      </c>
      <c r="F7" s="389">
        <f t="shared" ref="F7:J7" si="1">F6*$D$7</f>
        <v>3701.7379999999998</v>
      </c>
      <c r="G7" s="389">
        <f t="shared" si="1"/>
        <v>1295.6083000000001</v>
      </c>
      <c r="H7" s="389">
        <f t="shared" si="1"/>
        <v>1295.6083000000001</v>
      </c>
      <c r="I7" s="389">
        <f t="shared" si="1"/>
        <v>1295.6083000000001</v>
      </c>
      <c r="J7" s="430">
        <f t="shared" si="1"/>
        <v>3701.7379999999998</v>
      </c>
      <c r="L7" s="390">
        <f t="shared" si="0"/>
        <v>18508.689999999999</v>
      </c>
    </row>
    <row r="8" spans="1:12" x14ac:dyDescent="0.2">
      <c r="A8" s="649">
        <v>2</v>
      </c>
      <c r="B8" s="650" t="str">
        <f>Planilha!E15</f>
        <v>OBRAS VIÁRIAS - PAVIMENTAÇÃO DE RUAS</v>
      </c>
      <c r="C8" s="271" t="s">
        <v>367</v>
      </c>
      <c r="D8" s="272">
        <f>D9/E2</f>
        <v>0.68944992448312059</v>
      </c>
      <c r="E8" s="273">
        <v>0.25</v>
      </c>
      <c r="F8" s="273">
        <v>0.25</v>
      </c>
      <c r="G8" s="273">
        <v>0.25</v>
      </c>
      <c r="H8" s="273">
        <v>0.25</v>
      </c>
      <c r="I8" s="273">
        <v>0</v>
      </c>
      <c r="J8" s="429">
        <v>0</v>
      </c>
      <c r="L8" s="279">
        <f t="shared" si="0"/>
        <v>1</v>
      </c>
    </row>
    <row r="9" spans="1:12" x14ac:dyDescent="0.2">
      <c r="A9" s="649"/>
      <c r="B9" s="651"/>
      <c r="C9" s="271" t="s">
        <v>368</v>
      </c>
      <c r="D9" s="388">
        <f>Planilha!K15</f>
        <v>138183.26999999999</v>
      </c>
      <c r="E9" s="389">
        <f>$D$9*E8</f>
        <v>34545.817499999997</v>
      </c>
      <c r="F9" s="389">
        <f t="shared" ref="F9:J9" si="2">$D$9*F8</f>
        <v>34545.817499999997</v>
      </c>
      <c r="G9" s="389">
        <f t="shared" si="2"/>
        <v>34545.817499999997</v>
      </c>
      <c r="H9" s="389">
        <f t="shared" si="2"/>
        <v>34545.817499999997</v>
      </c>
      <c r="I9" s="389">
        <f t="shared" si="2"/>
        <v>0</v>
      </c>
      <c r="J9" s="430">
        <f t="shared" si="2"/>
        <v>0</v>
      </c>
      <c r="L9" s="390">
        <f t="shared" si="0"/>
        <v>138183.26999999999</v>
      </c>
    </row>
    <row r="10" spans="1:12" x14ac:dyDescent="0.2">
      <c r="A10" s="652">
        <v>3</v>
      </c>
      <c r="B10" s="650" t="str">
        <f>Planilha!E22</f>
        <v>URBANIZAÇÃO</v>
      </c>
      <c r="C10" s="271" t="s">
        <v>367</v>
      </c>
      <c r="D10" s="272">
        <f>D11/E2</f>
        <v>0.10847517871862443</v>
      </c>
      <c r="E10" s="273">
        <v>0</v>
      </c>
      <c r="F10" s="273">
        <v>0</v>
      </c>
      <c r="G10" s="273">
        <v>0</v>
      </c>
      <c r="H10" s="273">
        <v>0</v>
      </c>
      <c r="I10" s="273">
        <v>0.5</v>
      </c>
      <c r="J10" s="429">
        <v>0.5</v>
      </c>
      <c r="L10" s="279">
        <f t="shared" si="0"/>
        <v>1</v>
      </c>
    </row>
    <row r="11" spans="1:12" x14ac:dyDescent="0.2">
      <c r="A11" s="653"/>
      <c r="B11" s="651"/>
      <c r="C11" s="271" t="s">
        <v>368</v>
      </c>
      <c r="D11" s="388">
        <f>Planilha!K22</f>
        <v>21741.18</v>
      </c>
      <c r="E11" s="389">
        <f>$D$11*E10</f>
        <v>0</v>
      </c>
      <c r="F11" s="389">
        <f t="shared" ref="F11:J11" si="3">$D$11*F10</f>
        <v>0</v>
      </c>
      <c r="G11" s="389">
        <f t="shared" si="3"/>
        <v>0</v>
      </c>
      <c r="H11" s="389">
        <f t="shared" si="3"/>
        <v>0</v>
      </c>
      <c r="I11" s="389">
        <f t="shared" si="3"/>
        <v>10870.59</v>
      </c>
      <c r="J11" s="430">
        <f t="shared" si="3"/>
        <v>10870.59</v>
      </c>
      <c r="L11" s="390">
        <f t="shared" si="0"/>
        <v>21741.18</v>
      </c>
    </row>
    <row r="12" spans="1:12" x14ac:dyDescent="0.2">
      <c r="A12" s="649">
        <v>4</v>
      </c>
      <c r="B12" s="650" t="str">
        <f>Planilha!E24</f>
        <v>DRENAGEM PLUVIAL</v>
      </c>
      <c r="C12" s="271" t="s">
        <v>367</v>
      </c>
      <c r="D12" s="272">
        <f>D13/E2</f>
        <v>0.10972786431898673</v>
      </c>
      <c r="E12" s="273">
        <v>0</v>
      </c>
      <c r="F12" s="273">
        <v>0</v>
      </c>
      <c r="G12" s="273">
        <v>0</v>
      </c>
      <c r="H12" s="273">
        <v>0</v>
      </c>
      <c r="I12" s="273">
        <v>0.5</v>
      </c>
      <c r="J12" s="429">
        <v>0.5</v>
      </c>
      <c r="L12" s="279">
        <f t="shared" si="0"/>
        <v>1</v>
      </c>
    </row>
    <row r="13" spans="1:12" x14ac:dyDescent="0.2">
      <c r="A13" s="649"/>
      <c r="B13" s="651"/>
      <c r="C13" s="271" t="s">
        <v>368</v>
      </c>
      <c r="D13" s="388">
        <f>Planilha!K24</f>
        <v>21992.25</v>
      </c>
      <c r="E13" s="389">
        <f>$D$13*E12</f>
        <v>0</v>
      </c>
      <c r="F13" s="389">
        <f t="shared" ref="F13:H13" si="4">$D$13*F12</f>
        <v>0</v>
      </c>
      <c r="G13" s="389">
        <f t="shared" si="4"/>
        <v>0</v>
      </c>
      <c r="H13" s="389">
        <f t="shared" si="4"/>
        <v>0</v>
      </c>
      <c r="I13" s="430">
        <f>ROUND($D$13*I12,2)</f>
        <v>10996.13</v>
      </c>
      <c r="J13" s="430">
        <f>ROUND($D$13*J12-0.01,2)</f>
        <v>10996.12</v>
      </c>
      <c r="L13" s="390">
        <f t="shared" si="0"/>
        <v>21992.25</v>
      </c>
    </row>
    <row r="14" spans="1:12" x14ac:dyDescent="0.2">
      <c r="A14" s="654" t="s">
        <v>326</v>
      </c>
      <c r="B14" s="655"/>
      <c r="C14" s="271" t="s">
        <v>367</v>
      </c>
      <c r="D14" s="272">
        <f>D6+D8+D10+D12</f>
        <v>1</v>
      </c>
      <c r="E14" s="272">
        <f t="shared" ref="E14:I14" si="5">ROUND((E7+E9+E11+E13)/$E$2,4)</f>
        <v>0.2084</v>
      </c>
      <c r="F14" s="272">
        <f>ROUND((F7+F9+F11+F13)/$E$2+0.0001,4)</f>
        <v>0.19089999999999999</v>
      </c>
      <c r="G14" s="272">
        <f t="shared" si="5"/>
        <v>0.17879999999999999</v>
      </c>
      <c r="H14" s="272">
        <f t="shared" si="5"/>
        <v>0.17879999999999999</v>
      </c>
      <c r="I14" s="272">
        <f t="shared" si="5"/>
        <v>0.11559999999999999</v>
      </c>
      <c r="J14" s="431">
        <f>ROUND((J7+J9+J11+J13)/$E$2,4)-0.0001</f>
        <v>0.1275</v>
      </c>
      <c r="L14" s="279">
        <f t="shared" si="0"/>
        <v>1</v>
      </c>
    </row>
    <row r="15" spans="1:12" x14ac:dyDescent="0.2">
      <c r="A15" s="654"/>
      <c r="B15" s="655"/>
      <c r="C15" s="271" t="s">
        <v>368</v>
      </c>
      <c r="D15" s="389">
        <f>D7+D9+D11+D13</f>
        <v>200425.38999999998</v>
      </c>
      <c r="E15" s="389">
        <f t="shared" ref="E15:J15" si="6">E7+E9+E11+E13</f>
        <v>41764.206599999998</v>
      </c>
      <c r="F15" s="389">
        <f t="shared" si="6"/>
        <v>38247.555499999995</v>
      </c>
      <c r="G15" s="389">
        <f t="shared" si="6"/>
        <v>35841.425799999997</v>
      </c>
      <c r="H15" s="389">
        <f t="shared" si="6"/>
        <v>35841.425799999997</v>
      </c>
      <c r="I15" s="389">
        <f t="shared" si="6"/>
        <v>23162.328300000001</v>
      </c>
      <c r="J15" s="430">
        <f t="shared" si="6"/>
        <v>25568.448</v>
      </c>
      <c r="L15" s="390">
        <f t="shared" si="0"/>
        <v>200425.38999999998</v>
      </c>
    </row>
    <row r="16" spans="1:12" x14ac:dyDescent="0.2">
      <c r="A16" s="426"/>
      <c r="F16" s="275"/>
      <c r="G16" s="440"/>
      <c r="H16" s="274"/>
      <c r="I16" s="438"/>
      <c r="J16" s="439"/>
      <c r="K16" s="438"/>
      <c r="L16" s="438"/>
    </row>
    <row r="17" spans="1:12" x14ac:dyDescent="0.2">
      <c r="A17" s="441"/>
      <c r="B17" s="441"/>
      <c r="C17" s="441"/>
      <c r="D17" s="441"/>
      <c r="E17" s="441"/>
      <c r="F17" s="275"/>
      <c r="G17" s="276"/>
      <c r="J17" s="432"/>
    </row>
    <row r="18" spans="1:12" x14ac:dyDescent="0.2">
      <c r="A18" s="277"/>
      <c r="B18" s="646"/>
      <c r="C18" s="646"/>
      <c r="E18" s="646"/>
      <c r="F18" s="646"/>
      <c r="G18" s="276"/>
      <c r="J18" s="432"/>
    </row>
    <row r="19" spans="1:12" x14ac:dyDescent="0.2">
      <c r="A19" s="277"/>
      <c r="B19" s="656" t="s">
        <v>369</v>
      </c>
      <c r="C19" s="656"/>
      <c r="E19" s="657" t="s">
        <v>370</v>
      </c>
      <c r="F19" s="657"/>
      <c r="G19" s="276"/>
      <c r="J19" s="432"/>
    </row>
    <row r="20" spans="1:12" x14ac:dyDescent="0.2">
      <c r="A20" s="277"/>
      <c r="B20" s="278"/>
      <c r="C20" s="278"/>
      <c r="D20" s="278"/>
      <c r="E20" s="278"/>
      <c r="F20" s="276"/>
      <c r="G20" s="276"/>
      <c r="J20" s="432"/>
    </row>
    <row r="21" spans="1:12" x14ac:dyDescent="0.2">
      <c r="A21" s="277"/>
      <c r="B21" s="646"/>
      <c r="C21" s="646"/>
      <c r="D21" s="646"/>
      <c r="E21" s="278"/>
      <c r="F21" s="276"/>
      <c r="G21" s="276"/>
      <c r="J21" s="432"/>
    </row>
    <row r="22" spans="1:12" ht="13.5" thickBot="1" x14ac:dyDescent="0.25">
      <c r="A22" s="437"/>
      <c r="B22" s="647" t="s">
        <v>371</v>
      </c>
      <c r="C22" s="647"/>
      <c r="D22" s="647"/>
      <c r="E22" s="436"/>
      <c r="F22" s="433"/>
      <c r="G22" s="433"/>
      <c r="H22" s="434"/>
      <c r="I22" s="434"/>
      <c r="J22" s="435"/>
    </row>
    <row r="23" spans="1:12" ht="12.75" customHeight="1" x14ac:dyDescent="0.2">
      <c r="A23" s="648" t="s">
        <v>372</v>
      </c>
      <c r="B23" s="648"/>
      <c r="C23" s="648"/>
      <c r="D23" s="648"/>
      <c r="E23" s="648"/>
      <c r="F23" s="648"/>
      <c r="G23" s="648"/>
      <c r="H23" s="648"/>
      <c r="I23" s="648"/>
      <c r="J23" s="648"/>
    </row>
    <row r="24" spans="1:12" ht="12.75" customHeight="1" x14ac:dyDescent="0.2">
      <c r="A24" s="648"/>
      <c r="B24" s="648"/>
      <c r="C24" s="648"/>
      <c r="D24" s="648"/>
      <c r="E24" s="648"/>
      <c r="F24" s="648"/>
      <c r="G24" s="648"/>
      <c r="H24" s="648"/>
      <c r="I24" s="648"/>
      <c r="J24" s="648"/>
    </row>
    <row r="25" spans="1:12" ht="12.75" customHeight="1" x14ac:dyDescent="0.2">
      <c r="A25" s="648"/>
      <c r="B25" s="648"/>
      <c r="C25" s="648"/>
      <c r="D25" s="648"/>
      <c r="E25" s="648"/>
      <c r="F25" s="648"/>
      <c r="G25" s="648"/>
      <c r="H25" s="648"/>
      <c r="I25" s="648"/>
      <c r="J25" s="648"/>
      <c r="L25" s="279">
        <f>E14+F14+G14</f>
        <v>0.57809999999999995</v>
      </c>
    </row>
    <row r="26" spans="1:12" ht="12.75" customHeight="1" x14ac:dyDescent="0.2">
      <c r="A26" s="648"/>
      <c r="B26" s="648"/>
      <c r="C26" s="648"/>
      <c r="D26" s="648"/>
      <c r="E26" s="648"/>
      <c r="F26" s="648"/>
      <c r="G26" s="648"/>
      <c r="H26" s="648"/>
      <c r="I26" s="648"/>
      <c r="J26" s="648"/>
      <c r="L26" s="390">
        <f>G15+F15+E15</f>
        <v>115853.18789999999</v>
      </c>
    </row>
    <row r="31" spans="1:12" x14ac:dyDescent="0.2">
      <c r="F31" s="279">
        <f>E14+F14+G14+H14+I14+J14</f>
        <v>1</v>
      </c>
    </row>
    <row r="33" spans="20:20" x14ac:dyDescent="0.2">
      <c r="T33" s="275"/>
    </row>
  </sheetData>
  <mergeCells count="23">
    <mergeCell ref="A1:J1"/>
    <mergeCell ref="G2:J2"/>
    <mergeCell ref="C2:D2"/>
    <mergeCell ref="E2:F2"/>
    <mergeCell ref="A6:A7"/>
    <mergeCell ref="B6:B7"/>
    <mergeCell ref="A2:B2"/>
    <mergeCell ref="H3:J4"/>
    <mergeCell ref="A3:G4"/>
    <mergeCell ref="B21:D21"/>
    <mergeCell ref="B22:D22"/>
    <mergeCell ref="A23:J26"/>
    <mergeCell ref="A8:A9"/>
    <mergeCell ref="B8:B9"/>
    <mergeCell ref="A12:A13"/>
    <mergeCell ref="B12:B13"/>
    <mergeCell ref="B10:B11"/>
    <mergeCell ref="A10:A11"/>
    <mergeCell ref="A14:B15"/>
    <mergeCell ref="B18:C18"/>
    <mergeCell ref="E18:F18"/>
    <mergeCell ref="B19:C19"/>
    <mergeCell ref="E19:F19"/>
  </mergeCells>
  <pageMargins left="0.51181102362204722" right="0.51181102362204722" top="0.78740157480314965" bottom="0.78740157480314965" header="0.31496062992125984" footer="0.31496062992125984"/>
  <pageSetup paperSize="9" scale="88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2"/>
  <sheetViews>
    <sheetView showGridLines="0" topLeftCell="A16" workbookViewId="0">
      <selection activeCell="O37" sqref="O37"/>
    </sheetView>
  </sheetViews>
  <sheetFormatPr defaultRowHeight="12.75" x14ac:dyDescent="0.2"/>
  <cols>
    <col min="1" max="2" width="9.140625" style="1"/>
    <col min="3" max="8" width="12.140625" style="1" customWidth="1"/>
    <col min="9" max="16384" width="9.140625" style="1"/>
  </cols>
  <sheetData>
    <row r="2" spans="2:8" ht="13.5" thickBot="1" x14ac:dyDescent="0.25"/>
    <row r="3" spans="2:8" ht="18" customHeight="1" x14ac:dyDescent="0.2">
      <c r="B3" s="219" t="s">
        <v>2</v>
      </c>
      <c r="C3" s="220" t="s">
        <v>55</v>
      </c>
      <c r="D3" s="220" t="s">
        <v>56</v>
      </c>
      <c r="E3" s="220" t="s">
        <v>57</v>
      </c>
      <c r="F3" s="220" t="s">
        <v>58</v>
      </c>
      <c r="G3" s="220" t="s">
        <v>59</v>
      </c>
      <c r="H3" s="221" t="s">
        <v>60</v>
      </c>
    </row>
    <row r="4" spans="2:8" ht="18" customHeight="1" x14ac:dyDescent="0.2">
      <c r="B4" s="222">
        <v>1</v>
      </c>
      <c r="C4" s="3"/>
      <c r="D4" s="3"/>
      <c r="E4" s="3"/>
      <c r="F4" s="3"/>
      <c r="G4" s="3"/>
      <c r="H4" s="223"/>
    </row>
    <row r="5" spans="2:8" ht="18" customHeight="1" x14ac:dyDescent="0.2">
      <c r="B5" s="222">
        <v>2</v>
      </c>
      <c r="C5" s="3"/>
      <c r="D5" s="3"/>
      <c r="E5" s="3"/>
      <c r="F5" s="3"/>
      <c r="G5" s="3">
        <v>444984.96</v>
      </c>
      <c r="H5" s="223"/>
    </row>
    <row r="6" spans="2:8" ht="18" customHeight="1" thickBot="1" x14ac:dyDescent="0.25">
      <c r="B6" s="224" t="s">
        <v>302</v>
      </c>
      <c r="C6" s="225" t="str">
        <f t="shared" ref="C6:H6" si="0">IF(SUM(C4:C5)=0,"",SUM(C4:C5))</f>
        <v/>
      </c>
      <c r="D6" s="225" t="str">
        <f t="shared" si="0"/>
        <v/>
      </c>
      <c r="E6" s="225" t="str">
        <f t="shared" si="0"/>
        <v/>
      </c>
      <c r="F6" s="225" t="str">
        <f t="shared" si="0"/>
        <v/>
      </c>
      <c r="G6" s="225">
        <f t="shared" si="0"/>
        <v>444984.96</v>
      </c>
      <c r="H6" s="226" t="str">
        <f t="shared" si="0"/>
        <v/>
      </c>
    </row>
    <row r="7" spans="2:8" ht="13.5" thickBot="1" x14ac:dyDescent="0.25"/>
    <row r="8" spans="2:8" ht="18" customHeight="1" x14ac:dyDescent="0.2">
      <c r="B8" s="219" t="s">
        <v>2</v>
      </c>
      <c r="C8" s="220" t="s">
        <v>61</v>
      </c>
      <c r="D8" s="220" t="s">
        <v>62</v>
      </c>
      <c r="E8" s="220" t="s">
        <v>63</v>
      </c>
      <c r="F8" s="220" t="s">
        <v>64</v>
      </c>
      <c r="G8" s="220" t="s">
        <v>65</v>
      </c>
      <c r="H8" s="221" t="s">
        <v>66</v>
      </c>
    </row>
    <row r="9" spans="2:8" ht="18" customHeight="1" x14ac:dyDescent="0.2">
      <c r="B9" s="222">
        <v>1</v>
      </c>
      <c r="C9" s="3"/>
      <c r="D9" s="3"/>
      <c r="E9" s="3">
        <v>59132.92</v>
      </c>
      <c r="F9" s="3"/>
      <c r="G9" s="3"/>
      <c r="H9" s="223"/>
    </row>
    <row r="10" spans="2:8" ht="18" customHeight="1" x14ac:dyDescent="0.2">
      <c r="B10" s="222">
        <v>2</v>
      </c>
      <c r="C10" s="3"/>
      <c r="D10" s="3"/>
      <c r="E10" s="3">
        <v>613656.59</v>
      </c>
      <c r="F10" s="3"/>
      <c r="G10" s="3"/>
      <c r="H10" s="223"/>
    </row>
    <row r="11" spans="2:8" ht="18" customHeight="1" thickBot="1" x14ac:dyDescent="0.25">
      <c r="B11" s="224" t="s">
        <v>302</v>
      </c>
      <c r="C11" s="225" t="str">
        <f t="shared" ref="C11:H11" si="1">IF(SUM(C9:C10)=0,"",SUM(C9:C10))</f>
        <v/>
      </c>
      <c r="D11" s="225" t="str">
        <f t="shared" si="1"/>
        <v/>
      </c>
      <c r="E11" s="225">
        <f t="shared" si="1"/>
        <v>672789.51</v>
      </c>
      <c r="F11" s="225" t="str">
        <f t="shared" si="1"/>
        <v/>
      </c>
      <c r="G11" s="225" t="str">
        <f t="shared" si="1"/>
        <v/>
      </c>
      <c r="H11" s="226" t="str">
        <f t="shared" si="1"/>
        <v/>
      </c>
    </row>
    <row r="12" spans="2:8" ht="13.5" thickBot="1" x14ac:dyDescent="0.25"/>
    <row r="13" spans="2:8" ht="18" customHeight="1" x14ac:dyDescent="0.2">
      <c r="B13" s="219" t="s">
        <v>2</v>
      </c>
      <c r="C13" s="220" t="s">
        <v>67</v>
      </c>
      <c r="D13" s="220" t="s">
        <v>68</v>
      </c>
      <c r="E13" s="220" t="s">
        <v>69</v>
      </c>
      <c r="F13" s="220" t="s">
        <v>70</v>
      </c>
      <c r="G13" s="220" t="s">
        <v>279</v>
      </c>
      <c r="H13" s="221" t="s">
        <v>280</v>
      </c>
    </row>
    <row r="14" spans="2:8" ht="18" customHeight="1" x14ac:dyDescent="0.2">
      <c r="B14" s="222">
        <v>1</v>
      </c>
      <c r="C14" s="3">
        <v>205795.67</v>
      </c>
      <c r="D14" s="3"/>
      <c r="E14" s="3"/>
      <c r="F14" s="3"/>
      <c r="G14" s="3"/>
      <c r="H14" s="223"/>
    </row>
    <row r="15" spans="2:8" ht="18" customHeight="1" x14ac:dyDescent="0.2">
      <c r="B15" s="222">
        <v>2</v>
      </c>
      <c r="C15" s="3">
        <v>1035623.42</v>
      </c>
      <c r="D15" s="3"/>
      <c r="E15" s="3"/>
      <c r="F15" s="3"/>
      <c r="G15" s="3">
        <v>101766.97</v>
      </c>
      <c r="H15" s="223"/>
    </row>
    <row r="16" spans="2:8" ht="18" customHeight="1" thickBot="1" x14ac:dyDescent="0.25">
      <c r="B16" s="224" t="s">
        <v>302</v>
      </c>
      <c r="C16" s="225">
        <f t="shared" ref="C16:H16" si="2">IF(SUM(C14:C15)=0,"",SUM(C14:C15))</f>
        <v>1241419.0900000001</v>
      </c>
      <c r="D16" s="225" t="str">
        <f t="shared" si="2"/>
        <v/>
      </c>
      <c r="E16" s="225" t="str">
        <f t="shared" si="2"/>
        <v/>
      </c>
      <c r="F16" s="225" t="str">
        <f t="shared" si="2"/>
        <v/>
      </c>
      <c r="G16" s="225">
        <f t="shared" si="2"/>
        <v>101766.97</v>
      </c>
      <c r="H16" s="226" t="str">
        <f t="shared" si="2"/>
        <v/>
      </c>
    </row>
    <row r="17" spans="2:8" ht="13.5" thickBot="1" x14ac:dyDescent="0.25"/>
    <row r="18" spans="2:8" ht="18" customHeight="1" x14ac:dyDescent="0.2">
      <c r="B18" s="219" t="s">
        <v>2</v>
      </c>
      <c r="C18" s="220" t="s">
        <v>281</v>
      </c>
      <c r="D18" s="220" t="s">
        <v>282</v>
      </c>
      <c r="E18" s="220" t="s">
        <v>283</v>
      </c>
      <c r="F18" s="221" t="s">
        <v>284</v>
      </c>
      <c r="G18" s="227"/>
      <c r="H18" s="227"/>
    </row>
    <row r="19" spans="2:8" ht="18" customHeight="1" x14ac:dyDescent="0.2">
      <c r="B19" s="222">
        <v>1</v>
      </c>
      <c r="C19" s="3"/>
      <c r="D19" s="3"/>
      <c r="E19" s="3"/>
      <c r="F19" s="223"/>
      <c r="G19" s="227"/>
      <c r="H19" s="227"/>
    </row>
    <row r="20" spans="2:8" ht="18" customHeight="1" x14ac:dyDescent="0.2">
      <c r="B20" s="222">
        <v>2</v>
      </c>
      <c r="C20" s="3"/>
      <c r="D20" s="3"/>
      <c r="E20" s="3">
        <v>39039.47</v>
      </c>
      <c r="F20" s="223"/>
      <c r="G20" s="227"/>
      <c r="H20" s="227"/>
    </row>
    <row r="21" spans="2:8" ht="18" customHeight="1" thickBot="1" x14ac:dyDescent="0.25">
      <c r="B21" s="224" t="s">
        <v>302</v>
      </c>
      <c r="C21" s="225" t="str">
        <f t="shared" ref="C21:H21" si="3">IF(SUM(C19:C20)=0,"",SUM(C19:C20))</f>
        <v/>
      </c>
      <c r="D21" s="225" t="str">
        <f t="shared" si="3"/>
        <v/>
      </c>
      <c r="E21" s="225">
        <f t="shared" si="3"/>
        <v>39039.47</v>
      </c>
      <c r="F21" s="226" t="str">
        <f t="shared" si="3"/>
        <v/>
      </c>
      <c r="G21" s="227" t="str">
        <f t="shared" si="3"/>
        <v/>
      </c>
      <c r="H21" s="227" t="str">
        <f t="shared" si="3"/>
        <v/>
      </c>
    </row>
    <row r="23" spans="2:8" ht="13.5" thickBot="1" x14ac:dyDescent="0.25"/>
    <row r="24" spans="2:8" ht="18" customHeight="1" x14ac:dyDescent="0.2">
      <c r="B24" s="219" t="s">
        <v>2</v>
      </c>
      <c r="C24" s="220" t="s">
        <v>55</v>
      </c>
      <c r="D24" s="220" t="s">
        <v>56</v>
      </c>
      <c r="E24" s="220" t="s">
        <v>57</v>
      </c>
      <c r="F24" s="220" t="s">
        <v>58</v>
      </c>
      <c r="G24" s="220" t="s">
        <v>59</v>
      </c>
      <c r="H24" s="221" t="s">
        <v>60</v>
      </c>
    </row>
    <row r="25" spans="2:8" ht="18" customHeight="1" x14ac:dyDescent="0.2">
      <c r="B25" s="222">
        <v>1</v>
      </c>
      <c r="C25" s="3"/>
      <c r="D25" s="3"/>
      <c r="E25" s="3"/>
      <c r="F25" s="3"/>
      <c r="G25" s="3"/>
      <c r="H25" s="223"/>
    </row>
    <row r="26" spans="2:8" ht="18" customHeight="1" x14ac:dyDescent="0.2">
      <c r="B26" s="222">
        <v>2</v>
      </c>
      <c r="C26" s="3"/>
      <c r="D26" s="3"/>
      <c r="E26" s="3"/>
      <c r="F26" s="3"/>
      <c r="G26" s="3"/>
      <c r="H26" s="223"/>
    </row>
    <row r="27" spans="2:8" ht="18" customHeight="1" thickBot="1" x14ac:dyDescent="0.25">
      <c r="B27" s="224" t="s">
        <v>302</v>
      </c>
      <c r="C27" s="225" t="str">
        <f t="shared" ref="C27:H27" si="4">IF(SUM(C25:C26)=0,"",SUM(C25:C26))</f>
        <v/>
      </c>
      <c r="D27" s="225" t="str">
        <f t="shared" si="4"/>
        <v/>
      </c>
      <c r="E27" s="225" t="str">
        <f t="shared" si="4"/>
        <v/>
      </c>
      <c r="F27" s="225" t="str">
        <f t="shared" si="4"/>
        <v/>
      </c>
      <c r="G27" s="225" t="str">
        <f t="shared" si="4"/>
        <v/>
      </c>
      <c r="H27" s="226" t="str">
        <f t="shared" si="4"/>
        <v/>
      </c>
    </row>
    <row r="28" spans="2:8" ht="13.5" thickBot="1" x14ac:dyDescent="0.25"/>
    <row r="29" spans="2:8" ht="18" customHeight="1" x14ac:dyDescent="0.2">
      <c r="B29" s="219" t="s">
        <v>2</v>
      </c>
      <c r="C29" s="220" t="s">
        <v>61</v>
      </c>
      <c r="D29" s="220" t="s">
        <v>62</v>
      </c>
      <c r="E29" s="220" t="s">
        <v>63</v>
      </c>
      <c r="F29" s="220" t="s">
        <v>64</v>
      </c>
      <c r="G29" s="220" t="s">
        <v>65</v>
      </c>
      <c r="H29" s="221" t="s">
        <v>66</v>
      </c>
    </row>
    <row r="30" spans="2:8" ht="18" customHeight="1" x14ac:dyDescent="0.2">
      <c r="B30" s="222">
        <v>1</v>
      </c>
      <c r="C30" s="3"/>
      <c r="D30" s="3"/>
      <c r="E30" s="3"/>
      <c r="F30" s="3">
        <v>76681.17</v>
      </c>
      <c r="G30" s="3"/>
      <c r="H30" s="223"/>
    </row>
    <row r="31" spans="2:8" ht="18" customHeight="1" x14ac:dyDescent="0.2">
      <c r="B31" s="222">
        <v>2</v>
      </c>
      <c r="C31" s="3"/>
      <c r="D31" s="3"/>
      <c r="E31" s="3"/>
      <c r="F31" s="3">
        <v>190992.63</v>
      </c>
      <c r="G31" s="3"/>
      <c r="H31" s="223"/>
    </row>
    <row r="32" spans="2:8" ht="18" customHeight="1" thickBot="1" x14ac:dyDescent="0.25">
      <c r="B32" s="224" t="s">
        <v>302</v>
      </c>
      <c r="C32" s="225" t="str">
        <f t="shared" ref="C32:H32" si="5">IF(SUM(C30:C31)=0,"",SUM(C30:C31))</f>
        <v/>
      </c>
      <c r="D32" s="225" t="str">
        <f t="shared" si="5"/>
        <v/>
      </c>
      <c r="E32" s="225" t="str">
        <f t="shared" si="5"/>
        <v/>
      </c>
      <c r="F32" s="225">
        <f t="shared" si="5"/>
        <v>267673.8</v>
      </c>
      <c r="G32" s="225" t="str">
        <f t="shared" si="5"/>
        <v/>
      </c>
      <c r="H32" s="226" t="str">
        <f t="shared" si="5"/>
        <v/>
      </c>
    </row>
    <row r="33" spans="2:8" ht="13.5" thickBot="1" x14ac:dyDescent="0.25"/>
    <row r="34" spans="2:8" ht="18" customHeight="1" x14ac:dyDescent="0.2">
      <c r="B34" s="219" t="s">
        <v>2</v>
      </c>
      <c r="C34" s="220" t="s">
        <v>67</v>
      </c>
      <c r="D34" s="220" t="s">
        <v>68</v>
      </c>
      <c r="E34" s="220" t="s">
        <v>69</v>
      </c>
      <c r="F34" s="220" t="s">
        <v>70</v>
      </c>
      <c r="G34" s="220" t="s">
        <v>279</v>
      </c>
      <c r="H34" s="221" t="s">
        <v>280</v>
      </c>
    </row>
    <row r="35" spans="2:8" ht="18" customHeight="1" x14ac:dyDescent="0.2">
      <c r="B35" s="222">
        <v>1</v>
      </c>
      <c r="C35" s="3">
        <v>54884.37</v>
      </c>
      <c r="D35" s="3"/>
      <c r="E35" s="3"/>
      <c r="F35" s="3"/>
      <c r="G35" s="3"/>
      <c r="H35" s="223"/>
    </row>
    <row r="36" spans="2:8" ht="18" customHeight="1" x14ac:dyDescent="0.2">
      <c r="B36" s="222">
        <v>2</v>
      </c>
      <c r="C36" s="3">
        <v>387986.12</v>
      </c>
      <c r="D36" s="3"/>
      <c r="E36" s="3"/>
      <c r="F36" s="3"/>
      <c r="G36" s="3">
        <v>31805.68</v>
      </c>
      <c r="H36" s="223"/>
    </row>
    <row r="37" spans="2:8" ht="18" customHeight="1" thickBot="1" x14ac:dyDescent="0.25">
      <c r="B37" s="224" t="s">
        <v>302</v>
      </c>
      <c r="C37" s="225">
        <f t="shared" ref="C37:H37" si="6">IF(SUM(C35:C36)=0,"",SUM(C35:C36))</f>
        <v>442870.49</v>
      </c>
      <c r="D37" s="225" t="str">
        <f t="shared" si="6"/>
        <v/>
      </c>
      <c r="E37" s="225" t="str">
        <f t="shared" si="6"/>
        <v/>
      </c>
      <c r="F37" s="225" t="str">
        <f t="shared" si="6"/>
        <v/>
      </c>
      <c r="G37" s="225">
        <f t="shared" si="6"/>
        <v>31805.68</v>
      </c>
      <c r="H37" s="226" t="str">
        <f t="shared" si="6"/>
        <v/>
      </c>
    </row>
    <row r="38" spans="2:8" ht="13.5" thickBot="1" x14ac:dyDescent="0.25"/>
    <row r="39" spans="2:8" ht="18" customHeight="1" x14ac:dyDescent="0.2">
      <c r="B39" s="219" t="s">
        <v>2</v>
      </c>
      <c r="C39" s="220" t="s">
        <v>281</v>
      </c>
      <c r="D39" s="220" t="s">
        <v>282</v>
      </c>
      <c r="E39" s="220" t="s">
        <v>283</v>
      </c>
      <c r="F39" s="221" t="s">
        <v>284</v>
      </c>
      <c r="G39" s="227"/>
      <c r="H39" s="227"/>
    </row>
    <row r="40" spans="2:8" ht="18" customHeight="1" x14ac:dyDescent="0.2">
      <c r="B40" s="222">
        <v>1</v>
      </c>
      <c r="C40" s="3"/>
      <c r="D40" s="3"/>
      <c r="E40" s="3"/>
      <c r="F40" s="223"/>
      <c r="G40" s="227"/>
      <c r="H40" s="227"/>
    </row>
    <row r="41" spans="2:8" ht="18" customHeight="1" x14ac:dyDescent="0.2">
      <c r="B41" s="222">
        <v>2</v>
      </c>
      <c r="C41" s="3"/>
      <c r="D41" s="3"/>
      <c r="E41" s="3">
        <v>12201.17</v>
      </c>
      <c r="F41" s="223"/>
      <c r="G41" s="227"/>
      <c r="H41" s="227"/>
    </row>
    <row r="42" spans="2:8" ht="18" customHeight="1" thickBot="1" x14ac:dyDescent="0.25">
      <c r="B42" s="224" t="s">
        <v>302</v>
      </c>
      <c r="C42" s="225" t="str">
        <f t="shared" ref="C42:H42" si="7">IF(SUM(C40:C41)=0,"",SUM(C40:C41))</f>
        <v/>
      </c>
      <c r="D42" s="225" t="str">
        <f t="shared" si="7"/>
        <v/>
      </c>
      <c r="E42" s="225">
        <f t="shared" si="7"/>
        <v>12201.17</v>
      </c>
      <c r="F42" s="226" t="str">
        <f t="shared" si="7"/>
        <v/>
      </c>
      <c r="G42" s="227" t="str">
        <f t="shared" si="7"/>
        <v/>
      </c>
      <c r="H42" s="227" t="str">
        <f t="shared" si="7"/>
        <v/>
      </c>
    </row>
  </sheetData>
  <phoneticPr fontId="15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3"/>
  <sheetViews>
    <sheetView workbookViewId="0">
      <selection activeCell="O37" sqref="O37"/>
    </sheetView>
  </sheetViews>
  <sheetFormatPr defaultRowHeight="12.75" x14ac:dyDescent="0.2"/>
  <cols>
    <col min="1" max="1" width="5.42578125" style="211" bestFit="1" customWidth="1"/>
    <col min="2" max="2" width="6.140625" style="211" bestFit="1" customWidth="1"/>
    <col min="3" max="3" width="32.7109375" style="212" customWidth="1"/>
    <col min="4" max="4" width="8.85546875" style="211" customWidth="1"/>
    <col min="5" max="5" width="7.85546875" style="211" customWidth="1"/>
    <col min="6" max="7" width="11" style="212" customWidth="1"/>
    <col min="8" max="16384" width="9.140625" style="212"/>
  </cols>
  <sheetData>
    <row r="1" spans="1:15" ht="24.75" customHeight="1" x14ac:dyDescent="0.2">
      <c r="A1" s="214" t="s">
        <v>2</v>
      </c>
      <c r="B1" s="214" t="s">
        <v>3</v>
      </c>
      <c r="C1" s="214" t="s">
        <v>4</v>
      </c>
      <c r="D1" s="677" t="s">
        <v>5</v>
      </c>
      <c r="E1" s="677"/>
      <c r="F1" s="677" t="s">
        <v>6</v>
      </c>
      <c r="G1" s="677"/>
    </row>
    <row r="2" spans="1:15" ht="63.75" x14ac:dyDescent="0.2">
      <c r="A2" s="214"/>
      <c r="B2" s="214" t="s">
        <v>7</v>
      </c>
      <c r="C2" s="215"/>
      <c r="D2" s="214" t="s">
        <v>8</v>
      </c>
      <c r="E2" s="214" t="s">
        <v>301</v>
      </c>
      <c r="F2" s="214" t="s">
        <v>9</v>
      </c>
      <c r="G2" s="214" t="s">
        <v>10</v>
      </c>
    </row>
    <row r="3" spans="1:15" ht="25.5" x14ac:dyDescent="0.2">
      <c r="A3" s="216">
        <v>1</v>
      </c>
      <c r="B3" s="216">
        <v>1</v>
      </c>
      <c r="C3" s="215" t="s">
        <v>11</v>
      </c>
      <c r="D3" s="216"/>
      <c r="E3" s="216"/>
      <c r="F3" s="217"/>
      <c r="G3" s="217"/>
      <c r="K3" s="212">
        <v>5</v>
      </c>
      <c r="L3" s="212">
        <f>K3+4</f>
        <v>9</v>
      </c>
      <c r="M3" s="212">
        <f>L3+4</f>
        <v>13</v>
      </c>
      <c r="N3" s="212">
        <f>M3+4</f>
        <v>17</v>
      </c>
      <c r="O3" s="212">
        <f>N3+4</f>
        <v>21</v>
      </c>
    </row>
    <row r="4" spans="1:15" x14ac:dyDescent="0.2">
      <c r="A4" s="216"/>
      <c r="B4" s="216" t="s">
        <v>99</v>
      </c>
      <c r="C4" s="217" t="s">
        <v>262</v>
      </c>
      <c r="D4" s="216" t="s">
        <v>54</v>
      </c>
      <c r="E4" s="216">
        <v>1</v>
      </c>
      <c r="F4" s="218">
        <f>IF((H4-J4)*30=0,1,(H4-J4)*30)</f>
        <v>30</v>
      </c>
      <c r="G4" s="218">
        <f>(I4-J4)*30+30</f>
        <v>90</v>
      </c>
      <c r="H4" s="212">
        <v>10</v>
      </c>
      <c r="I4" s="212">
        <v>11</v>
      </c>
      <c r="J4" s="212">
        <f>SUM(K4:P4)</f>
        <v>9</v>
      </c>
      <c r="K4" s="212">
        <f t="shared" ref="K4:O7" si="0">IF(K$3&gt;$H4,0,IF(K$3&lt;=$H4-3,0,K$3))</f>
        <v>0</v>
      </c>
      <c r="L4" s="212">
        <f t="shared" si="0"/>
        <v>9</v>
      </c>
      <c r="M4" s="212">
        <f t="shared" si="0"/>
        <v>0</v>
      </c>
      <c r="N4" s="212">
        <f t="shared" si="0"/>
        <v>0</v>
      </c>
      <c r="O4" s="212">
        <f t="shared" si="0"/>
        <v>0</v>
      </c>
    </row>
    <row r="5" spans="1:15" x14ac:dyDescent="0.2">
      <c r="A5" s="216"/>
      <c r="B5" s="216" t="s">
        <v>203</v>
      </c>
      <c r="C5" s="217" t="s">
        <v>263</v>
      </c>
      <c r="D5" s="216" t="s">
        <v>54</v>
      </c>
      <c r="E5" s="216">
        <v>1</v>
      </c>
      <c r="F5" s="218">
        <f>IF((H5-J5)*30=0,1,(H5-J5)*30)</f>
        <v>60</v>
      </c>
      <c r="G5" s="218">
        <f>(I5-J5)*30+30</f>
        <v>120</v>
      </c>
      <c r="H5" s="212">
        <v>11</v>
      </c>
      <c r="I5" s="212">
        <v>12</v>
      </c>
      <c r="J5" s="212">
        <f>SUM(K5:P5)</f>
        <v>9</v>
      </c>
      <c r="K5" s="212">
        <f t="shared" si="0"/>
        <v>0</v>
      </c>
      <c r="L5" s="212">
        <f t="shared" si="0"/>
        <v>9</v>
      </c>
      <c r="M5" s="212">
        <f t="shared" si="0"/>
        <v>0</v>
      </c>
      <c r="N5" s="212">
        <f t="shared" si="0"/>
        <v>0</v>
      </c>
      <c r="O5" s="212">
        <f t="shared" si="0"/>
        <v>0</v>
      </c>
    </row>
    <row r="6" spans="1:15" x14ac:dyDescent="0.2">
      <c r="A6" s="216"/>
      <c r="B6" s="216" t="s">
        <v>293</v>
      </c>
      <c r="C6" s="217" t="s">
        <v>12</v>
      </c>
      <c r="D6" s="216" t="s">
        <v>54</v>
      </c>
      <c r="E6" s="216">
        <v>1</v>
      </c>
      <c r="F6" s="218">
        <f>IF((H6-J6)*30=0,1,(H6-J6)*30)</f>
        <v>360</v>
      </c>
      <c r="G6" s="218">
        <f>(I6-J6)*30+30</f>
        <v>450</v>
      </c>
      <c r="H6" s="212">
        <v>12</v>
      </c>
      <c r="I6" s="212">
        <v>14</v>
      </c>
      <c r="J6" s="212">
        <f>SUM(K6:P6)</f>
        <v>0</v>
      </c>
      <c r="K6" s="212">
        <f t="shared" si="0"/>
        <v>0</v>
      </c>
      <c r="L6" s="212">
        <f t="shared" si="0"/>
        <v>0</v>
      </c>
      <c r="M6" s="212">
        <f t="shared" si="0"/>
        <v>0</v>
      </c>
      <c r="N6" s="212">
        <f t="shared" si="0"/>
        <v>0</v>
      </c>
      <c r="O6" s="212">
        <f t="shared" si="0"/>
        <v>0</v>
      </c>
    </row>
    <row r="7" spans="1:15" ht="25.5" x14ac:dyDescent="0.2">
      <c r="A7" s="216"/>
      <c r="B7" s="216" t="s">
        <v>294</v>
      </c>
      <c r="C7" s="217" t="s">
        <v>13</v>
      </c>
      <c r="D7" s="216" t="s">
        <v>54</v>
      </c>
      <c r="E7" s="216">
        <v>1</v>
      </c>
      <c r="F7" s="218">
        <f>IF((H7-J7)*30=0,1,(H7-J7)*30)</f>
        <v>30</v>
      </c>
      <c r="G7" s="218">
        <f>(I7-J7)*30+30</f>
        <v>120</v>
      </c>
      <c r="H7" s="212">
        <v>14</v>
      </c>
      <c r="I7" s="212">
        <v>16</v>
      </c>
      <c r="J7" s="212">
        <f>SUM(K7:P7)</f>
        <v>13</v>
      </c>
      <c r="K7" s="212">
        <f t="shared" si="0"/>
        <v>0</v>
      </c>
      <c r="L7" s="212">
        <f t="shared" si="0"/>
        <v>0</v>
      </c>
      <c r="M7" s="212">
        <f t="shared" si="0"/>
        <v>13</v>
      </c>
      <c r="N7" s="212">
        <f t="shared" si="0"/>
        <v>0</v>
      </c>
      <c r="O7" s="212">
        <f t="shared" si="0"/>
        <v>0</v>
      </c>
    </row>
    <row r="8" spans="1:15" x14ac:dyDescent="0.2">
      <c r="A8" s="216"/>
      <c r="B8" s="216"/>
      <c r="C8" s="217"/>
      <c r="D8" s="216"/>
      <c r="E8" s="216"/>
      <c r="F8" s="218"/>
      <c r="G8" s="218"/>
    </row>
    <row r="9" spans="1:15" x14ac:dyDescent="0.2">
      <c r="A9" s="216">
        <v>2</v>
      </c>
      <c r="B9" s="216"/>
      <c r="C9" s="215" t="s">
        <v>14</v>
      </c>
      <c r="D9" s="216"/>
      <c r="E9" s="216"/>
      <c r="F9" s="218"/>
      <c r="G9" s="218"/>
    </row>
    <row r="10" spans="1:15" x14ac:dyDescent="0.2">
      <c r="A10" s="216"/>
      <c r="B10" s="216" t="s">
        <v>286</v>
      </c>
      <c r="C10" s="217" t="s">
        <v>261</v>
      </c>
      <c r="D10" s="216" t="s">
        <v>54</v>
      </c>
      <c r="E10" s="216">
        <v>1</v>
      </c>
      <c r="F10" s="218">
        <f>IF((H10-J10)*30=0,1,(H10-J10)*30)</f>
        <v>1</v>
      </c>
      <c r="G10" s="218">
        <f>(I10-J10)*30+30</f>
        <v>30</v>
      </c>
      <c r="H10" s="212">
        <v>5</v>
      </c>
      <c r="I10" s="212">
        <f>H10</f>
        <v>5</v>
      </c>
      <c r="J10" s="212">
        <f>SUM(K10:P10)</f>
        <v>5</v>
      </c>
      <c r="K10" s="212">
        <f>IF(K$3&gt;$H10,0,IF(K$3&lt;=$H10-3,0,K$3))</f>
        <v>5</v>
      </c>
      <c r="L10" s="212">
        <f>IF(L$3&gt;$H10,0,IF(L$3&lt;=$H10-3,0,L$3))</f>
        <v>0</v>
      </c>
      <c r="M10" s="212">
        <f>IF(M$3&gt;$H10,0,IF(M$3&lt;=$H10-3,0,M$3))</f>
        <v>0</v>
      </c>
      <c r="N10" s="212">
        <f>IF(N$3&gt;$H10,0,IF(N$3&lt;=$H10-3,0,N$3))</f>
        <v>0</v>
      </c>
      <c r="O10" s="212">
        <f>IF(O$3&gt;$H10,0,IF(O$3&lt;=$H10-3,0,O$3))</f>
        <v>0</v>
      </c>
    </row>
    <row r="11" spans="1:15" x14ac:dyDescent="0.2">
      <c r="A11" s="216"/>
      <c r="B11" s="216"/>
      <c r="C11" s="217"/>
      <c r="D11" s="216"/>
      <c r="E11" s="216"/>
      <c r="F11" s="218"/>
      <c r="G11" s="218"/>
    </row>
    <row r="12" spans="1:15" x14ac:dyDescent="0.2">
      <c r="A12" s="216"/>
      <c r="B12" s="216" t="s">
        <v>287</v>
      </c>
      <c r="C12" s="217" t="s">
        <v>257</v>
      </c>
      <c r="D12" s="216"/>
      <c r="E12" s="216"/>
      <c r="F12" s="218"/>
      <c r="G12" s="218"/>
    </row>
    <row r="13" spans="1:15" x14ac:dyDescent="0.2">
      <c r="A13" s="216"/>
      <c r="B13" s="205" t="s">
        <v>15</v>
      </c>
      <c r="C13" s="4" t="s">
        <v>262</v>
      </c>
      <c r="D13" s="216" t="s">
        <v>54</v>
      </c>
      <c r="E13" s="216">
        <v>1</v>
      </c>
      <c r="F13" s="218">
        <f>IF((H13-J13)*30=0,1,(H13-J13)*30)</f>
        <v>1</v>
      </c>
      <c r="G13" s="218">
        <f>(I13-J13)*30+30</f>
        <v>30</v>
      </c>
      <c r="H13" s="212">
        <v>5</v>
      </c>
      <c r="I13" s="212">
        <v>5</v>
      </c>
      <c r="J13" s="212">
        <f>SUM(K13:P13)</f>
        <v>5</v>
      </c>
      <c r="K13" s="212">
        <f t="shared" ref="K13:O15" si="1">IF(K$3&gt;$H13,0,IF(K$3&lt;=$H13-3,0,K$3))</f>
        <v>5</v>
      </c>
      <c r="L13" s="212">
        <f t="shared" si="1"/>
        <v>0</v>
      </c>
      <c r="M13" s="212">
        <f t="shared" si="1"/>
        <v>0</v>
      </c>
      <c r="N13" s="212">
        <f t="shared" si="1"/>
        <v>0</v>
      </c>
      <c r="O13" s="212">
        <f t="shared" si="1"/>
        <v>0</v>
      </c>
    </row>
    <row r="14" spans="1:15" x14ac:dyDescent="0.2">
      <c r="A14" s="216"/>
      <c r="B14" s="205" t="s">
        <v>16</v>
      </c>
      <c r="C14" s="4" t="s">
        <v>263</v>
      </c>
      <c r="D14" s="216" t="s">
        <v>54</v>
      </c>
      <c r="E14" s="216">
        <v>1</v>
      </c>
      <c r="F14" s="218">
        <f>IF((H14-J14)*30=0,1,(H14-J14)*30)</f>
        <v>1</v>
      </c>
      <c r="G14" s="218">
        <f>(I14-J14)*30+30</f>
        <v>60</v>
      </c>
      <c r="H14" s="212">
        <v>5</v>
      </c>
      <c r="I14" s="212">
        <v>6</v>
      </c>
      <c r="J14" s="212">
        <f>SUM(K14:P14)</f>
        <v>5</v>
      </c>
      <c r="K14" s="212">
        <f t="shared" si="1"/>
        <v>5</v>
      </c>
      <c r="L14" s="212">
        <f t="shared" si="1"/>
        <v>0</v>
      </c>
      <c r="M14" s="212">
        <f t="shared" si="1"/>
        <v>0</v>
      </c>
      <c r="N14" s="212">
        <f t="shared" si="1"/>
        <v>0</v>
      </c>
      <c r="O14" s="212">
        <f t="shared" si="1"/>
        <v>0</v>
      </c>
    </row>
    <row r="15" spans="1:15" x14ac:dyDescent="0.2">
      <c r="A15" s="216"/>
      <c r="B15" s="205" t="s">
        <v>17</v>
      </c>
      <c r="C15" s="4" t="s">
        <v>264</v>
      </c>
      <c r="D15" s="216" t="s">
        <v>54</v>
      </c>
      <c r="E15" s="216">
        <v>1</v>
      </c>
      <c r="F15" s="218">
        <f>IF((H15-J15)*30=0,1,(H15-J15)*30)</f>
        <v>30</v>
      </c>
      <c r="G15" s="218">
        <f>(I15-J15)*30+30</f>
        <v>60</v>
      </c>
      <c r="H15" s="212">
        <v>6</v>
      </c>
      <c r="I15" s="212">
        <v>6</v>
      </c>
      <c r="J15" s="212">
        <f>SUM(K15:P15)</f>
        <v>5</v>
      </c>
      <c r="K15" s="212">
        <f t="shared" si="1"/>
        <v>5</v>
      </c>
      <c r="L15" s="212">
        <f t="shared" si="1"/>
        <v>0</v>
      </c>
      <c r="M15" s="212">
        <f t="shared" si="1"/>
        <v>0</v>
      </c>
      <c r="N15" s="212">
        <f t="shared" si="1"/>
        <v>0</v>
      </c>
      <c r="O15" s="212">
        <f t="shared" si="1"/>
        <v>0</v>
      </c>
    </row>
    <row r="16" spans="1:15" x14ac:dyDescent="0.2">
      <c r="A16" s="216"/>
      <c r="B16" s="205"/>
      <c r="C16" s="4"/>
      <c r="D16" s="216"/>
      <c r="E16" s="216"/>
      <c r="F16" s="218"/>
      <c r="G16" s="218"/>
    </row>
    <row r="17" spans="1:15" x14ac:dyDescent="0.2">
      <c r="A17" s="216"/>
      <c r="B17" s="205" t="s">
        <v>288</v>
      </c>
      <c r="C17" s="4" t="s">
        <v>258</v>
      </c>
      <c r="D17" s="216"/>
      <c r="E17" s="216"/>
      <c r="F17" s="218"/>
      <c r="G17" s="218"/>
    </row>
    <row r="18" spans="1:15" x14ac:dyDescent="0.2">
      <c r="A18" s="216"/>
      <c r="B18" s="205" t="s">
        <v>18</v>
      </c>
      <c r="C18" s="4" t="s">
        <v>262</v>
      </c>
      <c r="D18" s="216" t="s">
        <v>54</v>
      </c>
      <c r="E18" s="216">
        <v>1</v>
      </c>
      <c r="F18" s="218">
        <f>IF((H18-J18)*30=0,1,(H18-J18)*30)</f>
        <v>30</v>
      </c>
      <c r="G18" s="218">
        <f>(I18-J18)*30+30</f>
        <v>60</v>
      </c>
      <c r="H18" s="212">
        <v>6</v>
      </c>
      <c r="I18" s="212">
        <f>H18</f>
        <v>6</v>
      </c>
      <c r="J18" s="212">
        <f>SUM(K18:P18)</f>
        <v>5</v>
      </c>
      <c r="K18" s="212">
        <f t="shared" ref="K18:O19" si="2">IF(K$3&gt;$H18,0,IF(K$3&lt;=$H18-3,0,K$3))</f>
        <v>5</v>
      </c>
      <c r="L18" s="212">
        <f t="shared" si="2"/>
        <v>0</v>
      </c>
      <c r="M18" s="212">
        <f t="shared" si="2"/>
        <v>0</v>
      </c>
      <c r="N18" s="212">
        <f t="shared" si="2"/>
        <v>0</v>
      </c>
      <c r="O18" s="212">
        <f t="shared" si="2"/>
        <v>0</v>
      </c>
    </row>
    <row r="19" spans="1:15" x14ac:dyDescent="0.2">
      <c r="A19" s="216"/>
      <c r="B19" s="205" t="s">
        <v>19</v>
      </c>
      <c r="C19" s="4" t="s">
        <v>20</v>
      </c>
      <c r="D19" s="216" t="s">
        <v>54</v>
      </c>
      <c r="E19" s="216">
        <v>1</v>
      </c>
      <c r="F19" s="218">
        <f>IF((H19-J19)*30=0,1,(H19-J19)*30)</f>
        <v>30</v>
      </c>
      <c r="G19" s="218">
        <f>(I19-J19)*30+30</f>
        <v>90</v>
      </c>
      <c r="H19" s="212">
        <v>6</v>
      </c>
      <c r="I19" s="212">
        <v>7</v>
      </c>
      <c r="J19" s="212">
        <f>SUM(K19:P19)</f>
        <v>5</v>
      </c>
      <c r="K19" s="212">
        <f t="shared" si="2"/>
        <v>5</v>
      </c>
      <c r="L19" s="212">
        <f t="shared" si="2"/>
        <v>0</v>
      </c>
      <c r="M19" s="212">
        <f t="shared" si="2"/>
        <v>0</v>
      </c>
      <c r="N19" s="212">
        <f t="shared" si="2"/>
        <v>0</v>
      </c>
      <c r="O19" s="212">
        <f t="shared" si="2"/>
        <v>0</v>
      </c>
    </row>
    <row r="20" spans="1:15" x14ac:dyDescent="0.2">
      <c r="A20" s="216"/>
      <c r="B20" s="205"/>
      <c r="C20" s="4"/>
      <c r="D20" s="216"/>
      <c r="E20" s="216"/>
      <c r="F20" s="218"/>
      <c r="G20" s="218"/>
    </row>
    <row r="21" spans="1:15" x14ac:dyDescent="0.2">
      <c r="A21" s="216"/>
      <c r="B21" s="205" t="s">
        <v>289</v>
      </c>
      <c r="C21" s="4" t="s">
        <v>259</v>
      </c>
      <c r="D21" s="216"/>
      <c r="E21" s="216"/>
      <c r="F21" s="218"/>
      <c r="G21" s="218"/>
    </row>
    <row r="22" spans="1:15" x14ac:dyDescent="0.2">
      <c r="A22" s="216"/>
      <c r="B22" s="205" t="s">
        <v>21</v>
      </c>
      <c r="C22" s="4" t="s">
        <v>262</v>
      </c>
      <c r="D22" s="216" t="s">
        <v>54</v>
      </c>
      <c r="E22" s="216">
        <v>1</v>
      </c>
      <c r="F22" s="218">
        <f>IF((H22-J22)*30=0,1,(H22-J22)*30)</f>
        <v>60</v>
      </c>
      <c r="G22" s="218">
        <f>(I22-J22)*30+30</f>
        <v>90</v>
      </c>
      <c r="H22" s="212">
        <v>7</v>
      </c>
      <c r="I22" s="212">
        <f>H22</f>
        <v>7</v>
      </c>
      <c r="J22" s="212">
        <f>SUM(K22:P22)</f>
        <v>5</v>
      </c>
      <c r="K22" s="212">
        <f t="shared" ref="K22:O26" si="3">IF(K$3&gt;$H22,0,IF(K$3&lt;=$H22-3,0,K$3))</f>
        <v>5</v>
      </c>
      <c r="L22" s="212">
        <f t="shared" si="3"/>
        <v>0</v>
      </c>
      <c r="M22" s="212">
        <f t="shared" si="3"/>
        <v>0</v>
      </c>
      <c r="N22" s="212">
        <f t="shared" si="3"/>
        <v>0</v>
      </c>
      <c r="O22" s="212">
        <f t="shared" si="3"/>
        <v>0</v>
      </c>
    </row>
    <row r="23" spans="1:15" x14ac:dyDescent="0.2">
      <c r="A23" s="216"/>
      <c r="B23" s="205" t="s">
        <v>22</v>
      </c>
      <c r="C23" s="4" t="s">
        <v>263</v>
      </c>
      <c r="D23" s="216" t="s">
        <v>54</v>
      </c>
      <c r="E23" s="216">
        <v>1</v>
      </c>
      <c r="F23" s="218">
        <f>IF((H23-J23)*30=0,1,(H23-J23)*30)</f>
        <v>60</v>
      </c>
      <c r="G23" s="218">
        <f>(I23-J23)*30+30</f>
        <v>180</v>
      </c>
      <c r="H23" s="212">
        <v>7</v>
      </c>
      <c r="I23" s="212">
        <v>10</v>
      </c>
      <c r="J23" s="212">
        <f>SUM(K23:P23)</f>
        <v>5</v>
      </c>
      <c r="K23" s="212">
        <f t="shared" si="3"/>
        <v>5</v>
      </c>
      <c r="L23" s="212">
        <f t="shared" si="3"/>
        <v>0</v>
      </c>
      <c r="M23" s="212">
        <f t="shared" si="3"/>
        <v>0</v>
      </c>
      <c r="N23" s="212">
        <f t="shared" si="3"/>
        <v>0</v>
      </c>
      <c r="O23" s="212">
        <f t="shared" si="3"/>
        <v>0</v>
      </c>
    </row>
    <row r="24" spans="1:15" x14ac:dyDescent="0.2">
      <c r="A24" s="216"/>
      <c r="B24" s="205" t="s">
        <v>23</v>
      </c>
      <c r="C24" s="4" t="s">
        <v>266</v>
      </c>
      <c r="D24" s="216" t="s">
        <v>54</v>
      </c>
      <c r="E24" s="216">
        <v>1</v>
      </c>
      <c r="F24" s="218">
        <f>IF((H24-J24)*30=0,1,(H24-J24)*30)</f>
        <v>240</v>
      </c>
      <c r="G24" s="218">
        <f>(I24-J24)*30+30</f>
        <v>330</v>
      </c>
      <c r="H24" s="212">
        <v>8</v>
      </c>
      <c r="I24" s="212">
        <v>10</v>
      </c>
      <c r="J24" s="212">
        <f>SUM(K24:P24)</f>
        <v>0</v>
      </c>
      <c r="K24" s="212">
        <f t="shared" si="3"/>
        <v>0</v>
      </c>
      <c r="L24" s="212">
        <f t="shared" si="3"/>
        <v>0</v>
      </c>
      <c r="M24" s="212">
        <f t="shared" si="3"/>
        <v>0</v>
      </c>
      <c r="N24" s="212">
        <f t="shared" si="3"/>
        <v>0</v>
      </c>
      <c r="O24" s="212">
        <f t="shared" si="3"/>
        <v>0</v>
      </c>
    </row>
    <row r="25" spans="1:15" x14ac:dyDescent="0.2">
      <c r="A25" s="216"/>
      <c r="B25" s="205" t="s">
        <v>24</v>
      </c>
      <c r="C25" s="4" t="s">
        <v>267</v>
      </c>
      <c r="D25" s="216" t="s">
        <v>54</v>
      </c>
      <c r="E25" s="216">
        <v>1</v>
      </c>
      <c r="F25" s="218">
        <f>IF((H25-J25)*30=0,1,(H25-J25)*30)</f>
        <v>30</v>
      </c>
      <c r="G25" s="218">
        <f>(I25-J25)*30+30</f>
        <v>90</v>
      </c>
      <c r="H25" s="212">
        <v>10</v>
      </c>
      <c r="I25" s="212">
        <v>11</v>
      </c>
      <c r="J25" s="212">
        <f>SUM(K25:P25)</f>
        <v>9</v>
      </c>
      <c r="K25" s="212">
        <f t="shared" si="3"/>
        <v>0</v>
      </c>
      <c r="L25" s="212">
        <f t="shared" si="3"/>
        <v>9</v>
      </c>
      <c r="M25" s="212">
        <f t="shared" si="3"/>
        <v>0</v>
      </c>
      <c r="N25" s="212">
        <f t="shared" si="3"/>
        <v>0</v>
      </c>
      <c r="O25" s="212">
        <f t="shared" si="3"/>
        <v>0</v>
      </c>
    </row>
    <row r="26" spans="1:15" x14ac:dyDescent="0.2">
      <c r="A26" s="216"/>
      <c r="B26" s="205" t="s">
        <v>25</v>
      </c>
      <c r="C26" s="4" t="s">
        <v>268</v>
      </c>
      <c r="D26" s="216" t="s">
        <v>54</v>
      </c>
      <c r="E26" s="216">
        <v>1</v>
      </c>
      <c r="F26" s="218">
        <f>IF((H26-J26)*30=0,1,(H26-J26)*30)</f>
        <v>60</v>
      </c>
      <c r="G26" s="218">
        <f>(I26-J26)*30+30</f>
        <v>90</v>
      </c>
      <c r="H26" s="212">
        <v>11</v>
      </c>
      <c r="I26" s="212">
        <f>H26</f>
        <v>11</v>
      </c>
      <c r="J26" s="212">
        <f>SUM(K26:P26)</f>
        <v>9</v>
      </c>
      <c r="K26" s="212">
        <f t="shared" si="3"/>
        <v>0</v>
      </c>
      <c r="L26" s="212">
        <f t="shared" si="3"/>
        <v>9</v>
      </c>
      <c r="M26" s="212">
        <f t="shared" si="3"/>
        <v>0</v>
      </c>
      <c r="N26" s="212">
        <f t="shared" si="3"/>
        <v>0</v>
      </c>
      <c r="O26" s="212">
        <f t="shared" si="3"/>
        <v>0</v>
      </c>
    </row>
    <row r="27" spans="1:15" x14ac:dyDescent="0.2">
      <c r="A27" s="216"/>
      <c r="B27" s="205"/>
      <c r="C27" s="4"/>
      <c r="D27" s="216"/>
      <c r="E27" s="216"/>
      <c r="F27" s="218"/>
      <c r="G27" s="218"/>
    </row>
    <row r="28" spans="1:15" x14ac:dyDescent="0.2">
      <c r="A28" s="216"/>
      <c r="B28" s="205" t="s">
        <v>290</v>
      </c>
      <c r="C28" s="4" t="s">
        <v>260</v>
      </c>
      <c r="D28" s="216"/>
      <c r="E28" s="216"/>
      <c r="F28" s="218"/>
      <c r="G28" s="218"/>
    </row>
    <row r="29" spans="1:15" x14ac:dyDescent="0.2">
      <c r="A29" s="216"/>
      <c r="B29" s="205" t="s">
        <v>26</v>
      </c>
      <c r="C29" s="4" t="s">
        <v>262</v>
      </c>
      <c r="D29" s="216" t="s">
        <v>54</v>
      </c>
      <c r="E29" s="216">
        <v>1</v>
      </c>
      <c r="F29" s="218">
        <f>IF((H29-J29)*30=0,1,(H29-J29)*30)</f>
        <v>1</v>
      </c>
      <c r="G29" s="218">
        <f>(I29-J29)*30+30</f>
        <v>30</v>
      </c>
      <c r="H29" s="212">
        <v>9</v>
      </c>
      <c r="I29" s="212">
        <f>H29</f>
        <v>9</v>
      </c>
      <c r="J29" s="212">
        <f>SUM(K29:P29)</f>
        <v>9</v>
      </c>
      <c r="K29" s="212">
        <f t="shared" ref="K29:O32" si="4">IF(K$3&gt;$H29,0,IF(K$3&lt;=$H29-3,0,K$3))</f>
        <v>0</v>
      </c>
      <c r="L29" s="212">
        <f t="shared" si="4"/>
        <v>9</v>
      </c>
      <c r="M29" s="212">
        <f t="shared" si="4"/>
        <v>0</v>
      </c>
      <c r="N29" s="212">
        <f t="shared" si="4"/>
        <v>0</v>
      </c>
      <c r="O29" s="212">
        <f t="shared" si="4"/>
        <v>0</v>
      </c>
    </row>
    <row r="30" spans="1:15" x14ac:dyDescent="0.2">
      <c r="A30" s="216"/>
      <c r="B30" s="205" t="s">
        <v>27</v>
      </c>
      <c r="C30" s="4" t="s">
        <v>269</v>
      </c>
      <c r="D30" s="216" t="s">
        <v>54</v>
      </c>
      <c r="E30" s="216">
        <v>1</v>
      </c>
      <c r="F30" s="218">
        <f>IF((H30-J30)*30=0,1,(H30-J30)*30)</f>
        <v>1</v>
      </c>
      <c r="G30" s="218">
        <f>(I30-J30)*30+30</f>
        <v>60</v>
      </c>
      <c r="H30" s="212">
        <v>9</v>
      </c>
      <c r="I30" s="212">
        <v>10</v>
      </c>
      <c r="J30" s="212">
        <f>SUM(K30:P30)</f>
        <v>9</v>
      </c>
      <c r="K30" s="212">
        <f t="shared" si="4"/>
        <v>0</v>
      </c>
      <c r="L30" s="212">
        <f t="shared" si="4"/>
        <v>9</v>
      </c>
      <c r="M30" s="212">
        <f t="shared" si="4"/>
        <v>0</v>
      </c>
      <c r="N30" s="212">
        <f t="shared" si="4"/>
        <v>0</v>
      </c>
      <c r="O30" s="212">
        <f t="shared" si="4"/>
        <v>0</v>
      </c>
    </row>
    <row r="31" spans="1:15" x14ac:dyDescent="0.2">
      <c r="A31" s="216"/>
      <c r="B31" s="205" t="s">
        <v>28</v>
      </c>
      <c r="C31" s="4" t="s">
        <v>266</v>
      </c>
      <c r="D31" s="216" t="s">
        <v>54</v>
      </c>
      <c r="E31" s="216">
        <v>1</v>
      </c>
      <c r="F31" s="218">
        <f>IF((H31-J31)*30=0,1,(H31-J31)*30)</f>
        <v>30</v>
      </c>
      <c r="G31" s="218">
        <f>(I31-J31)*30+30</f>
        <v>120</v>
      </c>
      <c r="H31" s="212">
        <v>10</v>
      </c>
      <c r="I31" s="212">
        <v>12</v>
      </c>
      <c r="J31" s="212">
        <f>SUM(K31:P31)</f>
        <v>9</v>
      </c>
      <c r="K31" s="212">
        <f t="shared" si="4"/>
        <v>0</v>
      </c>
      <c r="L31" s="212">
        <f t="shared" si="4"/>
        <v>9</v>
      </c>
      <c r="M31" s="212">
        <f t="shared" si="4"/>
        <v>0</v>
      </c>
      <c r="N31" s="212">
        <f t="shared" si="4"/>
        <v>0</v>
      </c>
      <c r="O31" s="212">
        <f t="shared" si="4"/>
        <v>0</v>
      </c>
    </row>
    <row r="32" spans="1:15" ht="25.5" x14ac:dyDescent="0.2">
      <c r="A32" s="216"/>
      <c r="B32" s="205" t="s">
        <v>29</v>
      </c>
      <c r="C32" s="4" t="s">
        <v>30</v>
      </c>
      <c r="D32" s="216" t="s">
        <v>54</v>
      </c>
      <c r="E32" s="216">
        <v>1</v>
      </c>
      <c r="F32" s="218">
        <f>IF((H32-J32)*30=0,1,(H32-J32)*30)</f>
        <v>360</v>
      </c>
      <c r="G32" s="218">
        <f>(I32-J32)*30+30</f>
        <v>420</v>
      </c>
      <c r="H32" s="212">
        <v>12</v>
      </c>
      <c r="I32" s="212">
        <v>13</v>
      </c>
      <c r="J32" s="212">
        <f>SUM(K32:P32)</f>
        <v>0</v>
      </c>
      <c r="K32" s="212">
        <f t="shared" si="4"/>
        <v>0</v>
      </c>
      <c r="L32" s="212">
        <f t="shared" si="4"/>
        <v>0</v>
      </c>
      <c r="M32" s="212">
        <f t="shared" si="4"/>
        <v>0</v>
      </c>
      <c r="N32" s="212">
        <f t="shared" si="4"/>
        <v>0</v>
      </c>
      <c r="O32" s="212">
        <f t="shared" si="4"/>
        <v>0</v>
      </c>
    </row>
    <row r="33" spans="1:15" x14ac:dyDescent="0.2">
      <c r="A33" s="216"/>
      <c r="B33" s="205"/>
      <c r="C33" s="4"/>
      <c r="D33" s="216"/>
      <c r="E33" s="216"/>
      <c r="F33" s="218"/>
      <c r="G33" s="218"/>
    </row>
    <row r="34" spans="1:15" x14ac:dyDescent="0.2">
      <c r="A34" s="216"/>
      <c r="B34" s="205" t="s">
        <v>291</v>
      </c>
      <c r="C34" s="4" t="s">
        <v>204</v>
      </c>
      <c r="D34" s="216"/>
      <c r="E34" s="216"/>
      <c r="F34" s="218"/>
      <c r="G34" s="218"/>
    </row>
    <row r="35" spans="1:15" x14ac:dyDescent="0.2">
      <c r="A35" s="216"/>
      <c r="B35" s="205" t="s">
        <v>31</v>
      </c>
      <c r="C35" s="4" t="s">
        <v>262</v>
      </c>
      <c r="D35" s="216" t="s">
        <v>54</v>
      </c>
      <c r="E35" s="216">
        <v>1</v>
      </c>
      <c r="F35" s="218">
        <f>IF((H35-J35)*30=0,1,(H35-J35)*30)</f>
        <v>60</v>
      </c>
      <c r="G35" s="218">
        <f>(I35-J35)*30+30</f>
        <v>90</v>
      </c>
      <c r="H35" s="212">
        <v>11</v>
      </c>
      <c r="I35" s="212">
        <f>H35</f>
        <v>11</v>
      </c>
      <c r="J35" s="212">
        <f>SUM(K35:P35)</f>
        <v>9</v>
      </c>
      <c r="K35" s="212">
        <f t="shared" ref="K35:O39" si="5">IF(K$3&gt;$H35,0,IF(K$3&lt;=$H35-3,0,K$3))</f>
        <v>0</v>
      </c>
      <c r="L35" s="212">
        <f t="shared" si="5"/>
        <v>9</v>
      </c>
      <c r="M35" s="212">
        <f t="shared" si="5"/>
        <v>0</v>
      </c>
      <c r="N35" s="212">
        <f t="shared" si="5"/>
        <v>0</v>
      </c>
      <c r="O35" s="212">
        <f t="shared" si="5"/>
        <v>0</v>
      </c>
    </row>
    <row r="36" spans="1:15" x14ac:dyDescent="0.2">
      <c r="A36" s="216"/>
      <c r="B36" s="205" t="s">
        <v>32</v>
      </c>
      <c r="C36" s="4" t="s">
        <v>269</v>
      </c>
      <c r="D36" s="216" t="s">
        <v>54</v>
      </c>
      <c r="E36" s="216">
        <v>1</v>
      </c>
      <c r="F36" s="218">
        <f>IF((H36-J36)*30=0,1,(H36-J36)*30)</f>
        <v>60</v>
      </c>
      <c r="G36" s="218">
        <f>(I36-J36)*30+30</f>
        <v>120</v>
      </c>
      <c r="H36" s="212">
        <v>11</v>
      </c>
      <c r="I36" s="212">
        <v>12</v>
      </c>
      <c r="J36" s="212">
        <f>SUM(K36:P36)</f>
        <v>9</v>
      </c>
      <c r="K36" s="212">
        <f t="shared" si="5"/>
        <v>0</v>
      </c>
      <c r="L36" s="212">
        <f t="shared" si="5"/>
        <v>9</v>
      </c>
      <c r="M36" s="212">
        <f t="shared" si="5"/>
        <v>0</v>
      </c>
      <c r="N36" s="212">
        <f t="shared" si="5"/>
        <v>0</v>
      </c>
      <c r="O36" s="212">
        <f t="shared" si="5"/>
        <v>0</v>
      </c>
    </row>
    <row r="37" spans="1:15" x14ac:dyDescent="0.2">
      <c r="A37" s="216"/>
      <c r="B37" s="205" t="s">
        <v>33</v>
      </c>
      <c r="C37" s="4" t="s">
        <v>266</v>
      </c>
      <c r="D37" s="216" t="s">
        <v>54</v>
      </c>
      <c r="E37" s="216">
        <v>1</v>
      </c>
      <c r="F37" s="218">
        <f>IF((H37-J37)*30=0,1,(H37-J37)*30)</f>
        <v>360</v>
      </c>
      <c r="G37" s="218">
        <f>(I37-J37)*30+30</f>
        <v>450</v>
      </c>
      <c r="H37" s="212">
        <v>12</v>
      </c>
      <c r="I37" s="212">
        <v>14</v>
      </c>
      <c r="J37" s="212">
        <f>SUM(K37:P37)</f>
        <v>0</v>
      </c>
      <c r="K37" s="212">
        <f t="shared" si="5"/>
        <v>0</v>
      </c>
      <c r="L37" s="212">
        <f t="shared" si="5"/>
        <v>0</v>
      </c>
      <c r="M37" s="212">
        <f t="shared" si="5"/>
        <v>0</v>
      </c>
      <c r="N37" s="212">
        <f t="shared" si="5"/>
        <v>0</v>
      </c>
      <c r="O37" s="212">
        <f t="shared" si="5"/>
        <v>0</v>
      </c>
    </row>
    <row r="38" spans="1:15" x14ac:dyDescent="0.2">
      <c r="A38" s="216"/>
      <c r="B38" s="205" t="s">
        <v>34</v>
      </c>
      <c r="C38" s="4" t="s">
        <v>267</v>
      </c>
      <c r="D38" s="216" t="s">
        <v>54</v>
      </c>
      <c r="E38" s="216">
        <v>1</v>
      </c>
      <c r="F38" s="218">
        <f>IF((H38-J38)*30=0,1,(H38-J38)*30)</f>
        <v>30</v>
      </c>
      <c r="G38" s="218">
        <f>(I38-J38)*30+30</f>
        <v>90</v>
      </c>
      <c r="H38" s="212">
        <v>14</v>
      </c>
      <c r="I38" s="212">
        <v>15</v>
      </c>
      <c r="J38" s="212">
        <f>SUM(K38:P38)</f>
        <v>13</v>
      </c>
      <c r="K38" s="212">
        <f t="shared" si="5"/>
        <v>0</v>
      </c>
      <c r="L38" s="212">
        <f t="shared" si="5"/>
        <v>0</v>
      </c>
      <c r="M38" s="212">
        <f t="shared" si="5"/>
        <v>13</v>
      </c>
      <c r="N38" s="212">
        <f t="shared" si="5"/>
        <v>0</v>
      </c>
      <c r="O38" s="212">
        <f t="shared" si="5"/>
        <v>0</v>
      </c>
    </row>
    <row r="39" spans="1:15" x14ac:dyDescent="0.2">
      <c r="A39" s="216"/>
      <c r="B39" s="205" t="s">
        <v>35</v>
      </c>
      <c r="C39" s="4" t="s">
        <v>268</v>
      </c>
      <c r="D39" s="216" t="s">
        <v>54</v>
      </c>
      <c r="E39" s="216">
        <v>1</v>
      </c>
      <c r="F39" s="218">
        <f>IF((H39-J39)*30=0,1,(H39-J39)*30)</f>
        <v>480</v>
      </c>
      <c r="G39" s="218">
        <f>(I39-J39)*30+30</f>
        <v>510</v>
      </c>
      <c r="H39" s="212">
        <v>16</v>
      </c>
      <c r="I39" s="212">
        <f>H39</f>
        <v>16</v>
      </c>
      <c r="J39" s="212">
        <f>SUM(K39:P39)</f>
        <v>0</v>
      </c>
      <c r="K39" s="212">
        <f t="shared" si="5"/>
        <v>0</v>
      </c>
      <c r="L39" s="212">
        <f t="shared" si="5"/>
        <v>0</v>
      </c>
      <c r="M39" s="212">
        <f t="shared" si="5"/>
        <v>0</v>
      </c>
      <c r="N39" s="212">
        <f t="shared" si="5"/>
        <v>0</v>
      </c>
      <c r="O39" s="212">
        <f t="shared" si="5"/>
        <v>0</v>
      </c>
    </row>
    <row r="40" spans="1:15" x14ac:dyDescent="0.2">
      <c r="A40" s="216"/>
      <c r="B40" s="205"/>
      <c r="C40" s="4"/>
      <c r="D40" s="216"/>
      <c r="E40" s="216"/>
      <c r="F40" s="218"/>
      <c r="G40" s="218"/>
    </row>
    <row r="41" spans="1:15" x14ac:dyDescent="0.2">
      <c r="A41" s="216"/>
      <c r="B41" s="205" t="s">
        <v>295</v>
      </c>
      <c r="C41" s="4" t="s">
        <v>205</v>
      </c>
      <c r="D41" s="216"/>
      <c r="E41" s="216"/>
      <c r="F41" s="218"/>
      <c r="G41" s="218"/>
    </row>
    <row r="42" spans="1:15" x14ac:dyDescent="0.2">
      <c r="A42" s="216"/>
      <c r="B42" s="205" t="s">
        <v>36</v>
      </c>
      <c r="C42" s="4" t="s">
        <v>262</v>
      </c>
      <c r="D42" s="216" t="s">
        <v>54</v>
      </c>
      <c r="E42" s="216">
        <v>1</v>
      </c>
      <c r="F42" s="218">
        <f>IF((H42-J42)*30=0,1,(H42-J42)*30)</f>
        <v>30</v>
      </c>
      <c r="G42" s="218">
        <f>(I42-J42)*30+30</f>
        <v>60</v>
      </c>
      <c r="H42" s="212">
        <v>14</v>
      </c>
      <c r="I42" s="212">
        <f>H42</f>
        <v>14</v>
      </c>
      <c r="J42" s="212">
        <f>SUM(K42:P42)</f>
        <v>13</v>
      </c>
      <c r="K42" s="212">
        <f t="shared" ref="K42:O44" si="6">IF(K$3&gt;$H42,0,IF(K$3&lt;=$H42-3,0,K$3))</f>
        <v>0</v>
      </c>
      <c r="L42" s="212">
        <f t="shared" si="6"/>
        <v>0</v>
      </c>
      <c r="M42" s="212">
        <f t="shared" si="6"/>
        <v>13</v>
      </c>
      <c r="N42" s="212">
        <f t="shared" si="6"/>
        <v>0</v>
      </c>
      <c r="O42" s="212">
        <f t="shared" si="6"/>
        <v>0</v>
      </c>
    </row>
    <row r="43" spans="1:15" x14ac:dyDescent="0.2">
      <c r="A43" s="216"/>
      <c r="B43" s="205" t="s">
        <v>37</v>
      </c>
      <c r="C43" s="4" t="s">
        <v>266</v>
      </c>
      <c r="D43" s="216" t="s">
        <v>54</v>
      </c>
      <c r="E43" s="216">
        <v>1</v>
      </c>
      <c r="F43" s="218">
        <f>IF((H43-J43)*30=0,1,(H43-J43)*30)</f>
        <v>30</v>
      </c>
      <c r="G43" s="218">
        <f>(I43-J43)*30+30</f>
        <v>120</v>
      </c>
      <c r="H43" s="212">
        <v>14</v>
      </c>
      <c r="I43" s="212">
        <v>16</v>
      </c>
      <c r="J43" s="212">
        <f>SUM(K43:P43)</f>
        <v>13</v>
      </c>
      <c r="K43" s="212">
        <f t="shared" si="6"/>
        <v>0</v>
      </c>
      <c r="L43" s="212">
        <f t="shared" si="6"/>
        <v>0</v>
      </c>
      <c r="M43" s="212">
        <f t="shared" si="6"/>
        <v>13</v>
      </c>
      <c r="N43" s="212">
        <f t="shared" si="6"/>
        <v>0</v>
      </c>
      <c r="O43" s="212">
        <f t="shared" si="6"/>
        <v>0</v>
      </c>
    </row>
    <row r="44" spans="1:15" x14ac:dyDescent="0.2">
      <c r="A44" s="216"/>
      <c r="B44" s="205" t="s">
        <v>38</v>
      </c>
      <c r="C44" s="4" t="s">
        <v>270</v>
      </c>
      <c r="D44" s="216" t="s">
        <v>54</v>
      </c>
      <c r="E44" s="216">
        <v>1</v>
      </c>
      <c r="F44" s="218">
        <f>IF((H44-J44)*30=0,1,(H44-J44)*30)</f>
        <v>480</v>
      </c>
      <c r="G44" s="218">
        <f>(I44-J44)*30+30</f>
        <v>510</v>
      </c>
      <c r="H44" s="212">
        <v>16</v>
      </c>
      <c r="I44" s="212">
        <f>H44</f>
        <v>16</v>
      </c>
      <c r="J44" s="212">
        <f>SUM(K44:P44)</f>
        <v>0</v>
      </c>
      <c r="K44" s="212">
        <f t="shared" si="6"/>
        <v>0</v>
      </c>
      <c r="L44" s="212">
        <f t="shared" si="6"/>
        <v>0</v>
      </c>
      <c r="M44" s="212">
        <f t="shared" si="6"/>
        <v>0</v>
      </c>
      <c r="N44" s="212">
        <f t="shared" si="6"/>
        <v>0</v>
      </c>
      <c r="O44" s="212">
        <f t="shared" si="6"/>
        <v>0</v>
      </c>
    </row>
    <row r="45" spans="1:15" x14ac:dyDescent="0.2">
      <c r="A45" s="216"/>
      <c r="B45" s="205"/>
      <c r="C45" s="4"/>
      <c r="D45" s="216"/>
      <c r="E45" s="216"/>
      <c r="F45" s="218"/>
      <c r="G45" s="218"/>
    </row>
    <row r="46" spans="1:15" x14ac:dyDescent="0.2">
      <c r="A46" s="216"/>
      <c r="B46" s="205" t="s">
        <v>296</v>
      </c>
      <c r="C46" s="4" t="s">
        <v>271</v>
      </c>
      <c r="D46" s="216"/>
      <c r="E46" s="216"/>
      <c r="F46" s="218"/>
      <c r="G46" s="218"/>
    </row>
    <row r="47" spans="1:15" x14ac:dyDescent="0.2">
      <c r="A47" s="216"/>
      <c r="B47" s="205" t="s">
        <v>39</v>
      </c>
      <c r="C47" s="4" t="s">
        <v>263</v>
      </c>
      <c r="D47" s="216" t="s">
        <v>54</v>
      </c>
      <c r="E47" s="216">
        <v>1</v>
      </c>
      <c r="F47" s="218">
        <f>IF((H47-J47)*30=0,1,(H47-J47)*30)</f>
        <v>480</v>
      </c>
      <c r="G47" s="218">
        <f>(I47-J47)*30+30</f>
        <v>540</v>
      </c>
      <c r="H47" s="212">
        <v>16</v>
      </c>
      <c r="I47" s="212">
        <v>17</v>
      </c>
      <c r="J47" s="212">
        <f>SUM(K47:P47)</f>
        <v>0</v>
      </c>
      <c r="K47" s="212">
        <f t="shared" ref="K47:O48" si="7">IF(K$3&gt;$H47,0,IF(K$3&lt;=$H47-3,0,K$3))</f>
        <v>0</v>
      </c>
      <c r="L47" s="212">
        <f t="shared" si="7"/>
        <v>0</v>
      </c>
      <c r="M47" s="212">
        <f t="shared" si="7"/>
        <v>0</v>
      </c>
      <c r="N47" s="212">
        <f t="shared" si="7"/>
        <v>0</v>
      </c>
      <c r="O47" s="212">
        <f t="shared" si="7"/>
        <v>0</v>
      </c>
    </row>
    <row r="48" spans="1:15" x14ac:dyDescent="0.2">
      <c r="A48" s="216"/>
      <c r="B48" s="205" t="s">
        <v>40</v>
      </c>
      <c r="C48" s="4" t="s">
        <v>267</v>
      </c>
      <c r="D48" s="216" t="s">
        <v>54</v>
      </c>
      <c r="E48" s="216">
        <v>1</v>
      </c>
      <c r="F48" s="218">
        <f>IF((H48-J48)*30=0,1,(H48-J48)*30)</f>
        <v>480</v>
      </c>
      <c r="G48" s="218">
        <f>(I48-J48)*30+30</f>
        <v>540</v>
      </c>
      <c r="H48" s="212">
        <v>16</v>
      </c>
      <c r="I48" s="212">
        <v>17</v>
      </c>
      <c r="J48" s="212">
        <f>SUM(K48:P48)</f>
        <v>0</v>
      </c>
      <c r="K48" s="212">
        <f t="shared" si="7"/>
        <v>0</v>
      </c>
      <c r="L48" s="212">
        <f t="shared" si="7"/>
        <v>0</v>
      </c>
      <c r="M48" s="212">
        <f t="shared" si="7"/>
        <v>0</v>
      </c>
      <c r="N48" s="212">
        <f t="shared" si="7"/>
        <v>0</v>
      </c>
      <c r="O48" s="212">
        <f t="shared" si="7"/>
        <v>0</v>
      </c>
    </row>
    <row r="49" spans="1:15" x14ac:dyDescent="0.2">
      <c r="A49" s="216"/>
      <c r="B49" s="205"/>
      <c r="C49" s="4"/>
      <c r="D49" s="216"/>
      <c r="E49" s="216"/>
      <c r="F49" s="218"/>
      <c r="G49" s="218"/>
    </row>
    <row r="50" spans="1:15" x14ac:dyDescent="0.2">
      <c r="A50" s="216"/>
      <c r="B50" s="216" t="s">
        <v>297</v>
      </c>
      <c r="C50" s="217" t="s">
        <v>285</v>
      </c>
      <c r="D50" s="216"/>
      <c r="E50" s="216"/>
      <c r="F50" s="218"/>
      <c r="G50" s="218"/>
    </row>
    <row r="51" spans="1:15" x14ac:dyDescent="0.2">
      <c r="A51" s="216"/>
      <c r="B51" s="216" t="s">
        <v>41</v>
      </c>
      <c r="C51" s="217" t="s">
        <v>262</v>
      </c>
      <c r="D51" s="216" t="s">
        <v>54</v>
      </c>
      <c r="E51" s="216">
        <v>1</v>
      </c>
      <c r="F51" s="218">
        <f>IF((H51-J51)*30=0,1,(H51-J51)*30)</f>
        <v>60</v>
      </c>
      <c r="G51" s="218">
        <f>(I51-J51)*30+30</f>
        <v>90</v>
      </c>
      <c r="H51" s="212">
        <v>15</v>
      </c>
      <c r="I51" s="212">
        <f>H51</f>
        <v>15</v>
      </c>
      <c r="J51" s="212">
        <f>SUM(K51:P51)</f>
        <v>13</v>
      </c>
      <c r="K51" s="212">
        <f t="shared" ref="K51:O54" si="8">IF(K$3&gt;$H51,0,IF(K$3&lt;=$H51-3,0,K$3))</f>
        <v>0</v>
      </c>
      <c r="L51" s="212">
        <f t="shared" si="8"/>
        <v>0</v>
      </c>
      <c r="M51" s="212">
        <f t="shared" si="8"/>
        <v>13</v>
      </c>
      <c r="N51" s="212">
        <f t="shared" si="8"/>
        <v>0</v>
      </c>
      <c r="O51" s="212">
        <f t="shared" si="8"/>
        <v>0</v>
      </c>
    </row>
    <row r="52" spans="1:15" x14ac:dyDescent="0.2">
      <c r="A52" s="216"/>
      <c r="B52" s="216" t="s">
        <v>42</v>
      </c>
      <c r="C52" s="217" t="s">
        <v>263</v>
      </c>
      <c r="D52" s="216" t="s">
        <v>54</v>
      </c>
      <c r="E52" s="216">
        <v>1</v>
      </c>
      <c r="F52" s="218">
        <f>IF((H52-J52)*30=0,1,(H52-J52)*30)</f>
        <v>60</v>
      </c>
      <c r="G52" s="218">
        <f>(I52-J52)*30+30</f>
        <v>150</v>
      </c>
      <c r="H52" s="212">
        <v>15</v>
      </c>
      <c r="I52" s="212">
        <v>17</v>
      </c>
      <c r="J52" s="212">
        <f>SUM(K52:P52)</f>
        <v>13</v>
      </c>
      <c r="K52" s="212">
        <f t="shared" si="8"/>
        <v>0</v>
      </c>
      <c r="L52" s="212">
        <f t="shared" si="8"/>
        <v>0</v>
      </c>
      <c r="M52" s="212">
        <f t="shared" si="8"/>
        <v>13</v>
      </c>
      <c r="N52" s="212">
        <f t="shared" si="8"/>
        <v>0</v>
      </c>
      <c r="O52" s="212">
        <f t="shared" si="8"/>
        <v>0</v>
      </c>
    </row>
    <row r="53" spans="1:15" x14ac:dyDescent="0.2">
      <c r="A53" s="216"/>
      <c r="B53" s="216" t="s">
        <v>43</v>
      </c>
      <c r="C53" s="217" t="s">
        <v>266</v>
      </c>
      <c r="D53" s="216" t="s">
        <v>54</v>
      </c>
      <c r="E53" s="216">
        <v>1</v>
      </c>
      <c r="F53" s="218">
        <f>IF((H53-J53)*30=0,1,(H53-J53)*30)</f>
        <v>480</v>
      </c>
      <c r="G53" s="218">
        <f>(I53-J53)*30+30</f>
        <v>540</v>
      </c>
      <c r="H53" s="212">
        <v>16</v>
      </c>
      <c r="I53" s="212">
        <v>17</v>
      </c>
      <c r="J53" s="212">
        <f>SUM(K53:P53)</f>
        <v>0</v>
      </c>
      <c r="K53" s="212">
        <f t="shared" si="8"/>
        <v>0</v>
      </c>
      <c r="L53" s="212">
        <f t="shared" si="8"/>
        <v>0</v>
      </c>
      <c r="M53" s="212">
        <f t="shared" si="8"/>
        <v>0</v>
      </c>
      <c r="N53" s="212">
        <f t="shared" si="8"/>
        <v>0</v>
      </c>
      <c r="O53" s="212">
        <f t="shared" si="8"/>
        <v>0</v>
      </c>
    </row>
    <row r="54" spans="1:15" x14ac:dyDescent="0.2">
      <c r="A54" s="216"/>
      <c r="B54" s="216" t="s">
        <v>44</v>
      </c>
      <c r="C54" s="217" t="s">
        <v>267</v>
      </c>
      <c r="D54" s="216" t="s">
        <v>54</v>
      </c>
      <c r="E54" s="216">
        <v>1</v>
      </c>
      <c r="F54" s="218">
        <f>IF((H54-J54)*30=0,1,(H54-J54)*30)</f>
        <v>480</v>
      </c>
      <c r="G54" s="218">
        <f>(I54-J54)*30+30</f>
        <v>540</v>
      </c>
      <c r="H54" s="212">
        <v>16</v>
      </c>
      <c r="I54" s="212">
        <v>17</v>
      </c>
      <c r="J54" s="212">
        <f>SUM(K54:P54)</f>
        <v>0</v>
      </c>
      <c r="K54" s="212">
        <f t="shared" si="8"/>
        <v>0</v>
      </c>
      <c r="L54" s="212">
        <f t="shared" si="8"/>
        <v>0</v>
      </c>
      <c r="M54" s="212">
        <f t="shared" si="8"/>
        <v>0</v>
      </c>
      <c r="N54" s="212">
        <f t="shared" si="8"/>
        <v>0</v>
      </c>
      <c r="O54" s="212">
        <f t="shared" si="8"/>
        <v>0</v>
      </c>
    </row>
    <row r="55" spans="1:15" x14ac:dyDescent="0.2">
      <c r="A55" s="216"/>
      <c r="B55" s="216"/>
      <c r="C55" s="217"/>
      <c r="D55" s="216"/>
      <c r="E55" s="216"/>
      <c r="F55" s="218"/>
      <c r="G55" s="218"/>
    </row>
    <row r="56" spans="1:15" x14ac:dyDescent="0.2">
      <c r="A56" s="216"/>
      <c r="B56" s="216" t="s">
        <v>298</v>
      </c>
      <c r="C56" s="217" t="s">
        <v>273</v>
      </c>
      <c r="D56" s="216"/>
      <c r="E56" s="216"/>
      <c r="F56" s="218"/>
      <c r="G56" s="218"/>
    </row>
    <row r="57" spans="1:15" x14ac:dyDescent="0.2">
      <c r="A57" s="216"/>
      <c r="B57" s="216" t="s">
        <v>45</v>
      </c>
      <c r="C57" s="217" t="s">
        <v>262</v>
      </c>
      <c r="D57" s="216" t="s">
        <v>54</v>
      </c>
      <c r="E57" s="216">
        <v>1</v>
      </c>
      <c r="F57" s="218">
        <f>IF((H57-J57)*30=0,1,(H57-J57)*30)</f>
        <v>1</v>
      </c>
      <c r="G57" s="218">
        <f>(I57-J57)*30+30</f>
        <v>30</v>
      </c>
      <c r="H57" s="212">
        <v>17</v>
      </c>
      <c r="I57" s="212">
        <f>H57</f>
        <v>17</v>
      </c>
      <c r="J57" s="212">
        <f>SUM(K57:P57)</f>
        <v>17</v>
      </c>
      <c r="K57" s="212">
        <f t="shared" ref="K57:O60" si="9">IF(K$3&gt;$H57,0,IF(K$3&lt;=$H57-3,0,K$3))</f>
        <v>0</v>
      </c>
      <c r="L57" s="212">
        <f t="shared" si="9"/>
        <v>0</v>
      </c>
      <c r="M57" s="212">
        <f t="shared" si="9"/>
        <v>0</v>
      </c>
      <c r="N57" s="212">
        <f t="shared" si="9"/>
        <v>17</v>
      </c>
      <c r="O57" s="212">
        <f t="shared" si="9"/>
        <v>0</v>
      </c>
    </row>
    <row r="58" spans="1:15" x14ac:dyDescent="0.2">
      <c r="A58" s="216"/>
      <c r="B58" s="216" t="s">
        <v>46</v>
      </c>
      <c r="C58" s="217" t="s">
        <v>274</v>
      </c>
      <c r="D58" s="216" t="s">
        <v>54</v>
      </c>
      <c r="E58" s="216">
        <v>1</v>
      </c>
      <c r="F58" s="218">
        <f>IF((H58-J58)*30=0,1,(H58-J58)*30)</f>
        <v>1</v>
      </c>
      <c r="G58" s="218">
        <f>(I58-J58)*30+30</f>
        <v>30</v>
      </c>
      <c r="H58" s="212">
        <v>17</v>
      </c>
      <c r="I58" s="212">
        <f>H58</f>
        <v>17</v>
      </c>
      <c r="J58" s="212">
        <f>SUM(K58:P58)</f>
        <v>17</v>
      </c>
      <c r="K58" s="212">
        <f t="shared" si="9"/>
        <v>0</v>
      </c>
      <c r="L58" s="212">
        <f t="shared" si="9"/>
        <v>0</v>
      </c>
      <c r="M58" s="212">
        <f t="shared" si="9"/>
        <v>0</v>
      </c>
      <c r="N58" s="212">
        <f t="shared" si="9"/>
        <v>17</v>
      </c>
      <c r="O58" s="212">
        <f t="shared" si="9"/>
        <v>0</v>
      </c>
    </row>
    <row r="59" spans="1:15" x14ac:dyDescent="0.2">
      <c r="A59" s="216"/>
      <c r="B59" s="216" t="s">
        <v>47</v>
      </c>
      <c r="C59" s="217" t="s">
        <v>275</v>
      </c>
      <c r="D59" s="216" t="s">
        <v>54</v>
      </c>
      <c r="E59" s="216">
        <v>1</v>
      </c>
      <c r="F59" s="218">
        <f>IF((H59-J59)*30=0,1,(H59-J59)*30)</f>
        <v>30</v>
      </c>
      <c r="G59" s="218">
        <f>(I59-J59)*30+30</f>
        <v>90</v>
      </c>
      <c r="H59" s="212">
        <v>18</v>
      </c>
      <c r="I59" s="212">
        <v>19</v>
      </c>
      <c r="J59" s="212">
        <f>SUM(K59:P59)</f>
        <v>17</v>
      </c>
      <c r="K59" s="212">
        <f t="shared" si="9"/>
        <v>0</v>
      </c>
      <c r="L59" s="212">
        <f t="shared" si="9"/>
        <v>0</v>
      </c>
      <c r="M59" s="212">
        <f t="shared" si="9"/>
        <v>0</v>
      </c>
      <c r="N59" s="212">
        <f t="shared" si="9"/>
        <v>17</v>
      </c>
      <c r="O59" s="212">
        <f t="shared" si="9"/>
        <v>0</v>
      </c>
    </row>
    <row r="60" spans="1:15" x14ac:dyDescent="0.2">
      <c r="A60" s="216"/>
      <c r="B60" s="216" t="s">
        <v>48</v>
      </c>
      <c r="C60" s="217" t="s">
        <v>276</v>
      </c>
      <c r="D60" s="216" t="s">
        <v>54</v>
      </c>
      <c r="E60" s="216">
        <v>1</v>
      </c>
      <c r="F60" s="218">
        <f>IF((H60-J60)*30=0,1,(H60-J60)*30)</f>
        <v>600</v>
      </c>
      <c r="G60" s="218">
        <f>(I60-J60)*30+30</f>
        <v>630</v>
      </c>
      <c r="H60" s="212">
        <v>20</v>
      </c>
      <c r="I60" s="212">
        <f>H60</f>
        <v>20</v>
      </c>
      <c r="J60" s="212">
        <f>SUM(K60:P60)</f>
        <v>0</v>
      </c>
      <c r="K60" s="212">
        <f t="shared" si="9"/>
        <v>0</v>
      </c>
      <c r="L60" s="212">
        <f t="shared" si="9"/>
        <v>0</v>
      </c>
      <c r="M60" s="212">
        <f t="shared" si="9"/>
        <v>0</v>
      </c>
      <c r="N60" s="212">
        <f t="shared" si="9"/>
        <v>0</v>
      </c>
      <c r="O60" s="212">
        <f t="shared" si="9"/>
        <v>0</v>
      </c>
    </row>
    <row r="61" spans="1:15" x14ac:dyDescent="0.2">
      <c r="A61" s="216"/>
      <c r="B61" s="216"/>
      <c r="C61" s="217"/>
      <c r="D61" s="216"/>
      <c r="E61" s="216"/>
      <c r="F61" s="218"/>
      <c r="G61" s="218"/>
    </row>
    <row r="62" spans="1:15" x14ac:dyDescent="0.2">
      <c r="A62" s="216"/>
      <c r="B62" s="216" t="s">
        <v>299</v>
      </c>
      <c r="C62" s="217" t="s">
        <v>49</v>
      </c>
      <c r="D62" s="216"/>
      <c r="E62" s="216"/>
      <c r="F62" s="218"/>
      <c r="G62" s="218"/>
    </row>
    <row r="63" spans="1:15" x14ac:dyDescent="0.2">
      <c r="A63" s="216"/>
      <c r="B63" s="216" t="s">
        <v>50</v>
      </c>
      <c r="C63" s="217" t="s">
        <v>262</v>
      </c>
      <c r="D63" s="216" t="s">
        <v>54</v>
      </c>
      <c r="E63" s="216">
        <v>1</v>
      </c>
      <c r="F63" s="218">
        <f>IF((H63-J63)*30=0,1,(H63-J63)*30)</f>
        <v>600</v>
      </c>
      <c r="G63" s="218">
        <f>(I63-J63)*30+30</f>
        <v>630</v>
      </c>
      <c r="H63" s="212">
        <v>20</v>
      </c>
      <c r="I63" s="212">
        <f>H63</f>
        <v>20</v>
      </c>
      <c r="J63" s="212">
        <f>SUM(K63:P63)</f>
        <v>0</v>
      </c>
      <c r="K63" s="212">
        <f t="shared" ref="K63:O66" si="10">IF(K$3&gt;$H63,0,IF(K$3&lt;=$H63-3,0,K$3))</f>
        <v>0</v>
      </c>
      <c r="L63" s="212">
        <f t="shared" si="10"/>
        <v>0</v>
      </c>
      <c r="M63" s="212">
        <f t="shared" si="10"/>
        <v>0</v>
      </c>
      <c r="N63" s="212">
        <f t="shared" si="10"/>
        <v>0</v>
      </c>
      <c r="O63" s="212">
        <f t="shared" si="10"/>
        <v>0</v>
      </c>
    </row>
    <row r="64" spans="1:15" x14ac:dyDescent="0.2">
      <c r="A64" s="216"/>
      <c r="B64" s="216" t="s">
        <v>51</v>
      </c>
      <c r="C64" s="217" t="s">
        <v>263</v>
      </c>
      <c r="D64" s="216" t="s">
        <v>54</v>
      </c>
      <c r="E64" s="216">
        <v>1</v>
      </c>
      <c r="F64" s="218">
        <f>IF((H64-J64)*30=0,1,(H64-J64)*30)</f>
        <v>600</v>
      </c>
      <c r="G64" s="218">
        <f>(I64-J64)*30+30</f>
        <v>660</v>
      </c>
      <c r="H64" s="212">
        <v>20</v>
      </c>
      <c r="I64" s="212">
        <v>21</v>
      </c>
      <c r="J64" s="212">
        <f>SUM(K64:P64)</f>
        <v>0</v>
      </c>
      <c r="K64" s="212">
        <f t="shared" si="10"/>
        <v>0</v>
      </c>
      <c r="L64" s="212">
        <f t="shared" si="10"/>
        <v>0</v>
      </c>
      <c r="M64" s="212">
        <f t="shared" si="10"/>
        <v>0</v>
      </c>
      <c r="N64" s="212">
        <f t="shared" si="10"/>
        <v>0</v>
      </c>
      <c r="O64" s="212">
        <f t="shared" si="10"/>
        <v>0</v>
      </c>
    </row>
    <row r="65" spans="1:15" x14ac:dyDescent="0.2">
      <c r="A65" s="216"/>
      <c r="B65" s="216" t="s">
        <v>52</v>
      </c>
      <c r="C65" s="217" t="s">
        <v>266</v>
      </c>
      <c r="D65" s="216" t="s">
        <v>54</v>
      </c>
      <c r="E65" s="216">
        <v>1</v>
      </c>
      <c r="F65" s="218">
        <f>IF((H65-J65)*30=0,1,(H65-J65)*30)</f>
        <v>600</v>
      </c>
      <c r="G65" s="218">
        <f>(I65-J65)*30+30</f>
        <v>660</v>
      </c>
      <c r="H65" s="212">
        <v>20</v>
      </c>
      <c r="I65" s="212">
        <v>21</v>
      </c>
      <c r="J65" s="212">
        <f>SUM(K65:P65)</f>
        <v>0</v>
      </c>
      <c r="K65" s="212">
        <f t="shared" si="10"/>
        <v>0</v>
      </c>
      <c r="L65" s="212">
        <f t="shared" si="10"/>
        <v>0</v>
      </c>
      <c r="M65" s="212">
        <f t="shared" si="10"/>
        <v>0</v>
      </c>
      <c r="N65" s="212">
        <f t="shared" si="10"/>
        <v>0</v>
      </c>
      <c r="O65" s="212">
        <f t="shared" si="10"/>
        <v>0</v>
      </c>
    </row>
    <row r="66" spans="1:15" x14ac:dyDescent="0.2">
      <c r="A66" s="216"/>
      <c r="B66" s="216" t="s">
        <v>53</v>
      </c>
      <c r="C66" s="217" t="s">
        <v>267</v>
      </c>
      <c r="D66" s="216" t="s">
        <v>54</v>
      </c>
      <c r="E66" s="216">
        <v>1</v>
      </c>
      <c r="F66" s="218">
        <f>IF((H66-J66)*30=0,1,(H66-J66)*30)</f>
        <v>600</v>
      </c>
      <c r="G66" s="218">
        <f>(I66-J66)*30+30</f>
        <v>660</v>
      </c>
      <c r="H66" s="212">
        <v>20</v>
      </c>
      <c r="I66" s="212">
        <v>21</v>
      </c>
      <c r="J66" s="212">
        <f>SUM(K66:P66)</f>
        <v>0</v>
      </c>
      <c r="K66" s="212">
        <f t="shared" si="10"/>
        <v>0</v>
      </c>
      <c r="L66" s="212">
        <f t="shared" si="10"/>
        <v>0</v>
      </c>
      <c r="M66" s="212">
        <f t="shared" si="10"/>
        <v>0</v>
      </c>
      <c r="N66" s="212">
        <f t="shared" si="10"/>
        <v>0</v>
      </c>
      <c r="O66" s="212">
        <f t="shared" si="10"/>
        <v>0</v>
      </c>
    </row>
    <row r="67" spans="1:15" x14ac:dyDescent="0.2">
      <c r="A67" s="216"/>
      <c r="B67" s="216"/>
      <c r="C67" s="217"/>
      <c r="D67" s="216"/>
      <c r="E67" s="216"/>
      <c r="F67" s="218"/>
      <c r="G67" s="218"/>
    </row>
    <row r="68" spans="1:15" x14ac:dyDescent="0.2">
      <c r="A68" s="216"/>
      <c r="B68" s="216" t="s">
        <v>300</v>
      </c>
      <c r="C68" s="217" t="s">
        <v>268</v>
      </c>
      <c r="D68" s="216" t="s">
        <v>54</v>
      </c>
      <c r="E68" s="216">
        <v>1</v>
      </c>
      <c r="F68" s="218">
        <f>IF((H68-J68)*30=0,1,(H68-J68)*30)</f>
        <v>1</v>
      </c>
      <c r="G68" s="218">
        <f>(I68-J68)*30+30</f>
        <v>60</v>
      </c>
      <c r="H68" s="212">
        <v>21</v>
      </c>
      <c r="I68" s="212">
        <v>22</v>
      </c>
      <c r="J68" s="212">
        <f>SUM(K68:P68)</f>
        <v>21</v>
      </c>
      <c r="K68" s="212">
        <f>IF(K$3&gt;$H68,0,IF(K$3&lt;=$H68-3,0,K$3))</f>
        <v>0</v>
      </c>
      <c r="L68" s="212">
        <f>IF(L$3&gt;$H68,0,IF(L$3&lt;=$H68-3,0,L$3))</f>
        <v>0</v>
      </c>
      <c r="M68" s="212">
        <f>IF(M$3&gt;$H68,0,IF(M$3&lt;=$H68-3,0,M$3))</f>
        <v>0</v>
      </c>
      <c r="N68" s="212">
        <f>IF(N$3&gt;$H68,0,IF(N$3&lt;=$H68-3,0,N$3))</f>
        <v>0</v>
      </c>
      <c r="O68" s="212">
        <f>IF(O$3&gt;$H68,0,IF(O$3&lt;=$H68-3,0,O$3))</f>
        <v>21</v>
      </c>
    </row>
    <row r="69" spans="1:15" x14ac:dyDescent="0.2">
      <c r="F69" s="213"/>
      <c r="G69" s="213"/>
    </row>
    <row r="70" spans="1:15" x14ac:dyDescent="0.2">
      <c r="F70" s="213"/>
      <c r="G70" s="213"/>
    </row>
    <row r="71" spans="1:15" x14ac:dyDescent="0.2">
      <c r="F71" s="213"/>
      <c r="G71" s="213"/>
    </row>
    <row r="72" spans="1:15" x14ac:dyDescent="0.2">
      <c r="F72" s="213"/>
      <c r="G72" s="213"/>
    </row>
    <row r="73" spans="1:15" x14ac:dyDescent="0.2">
      <c r="F73" s="213"/>
      <c r="G73" s="213"/>
    </row>
    <row r="74" spans="1:15" x14ac:dyDescent="0.2">
      <c r="F74" s="213"/>
      <c r="G74" s="213"/>
    </row>
    <row r="75" spans="1:15" x14ac:dyDescent="0.2">
      <c r="F75" s="213"/>
      <c r="G75" s="213"/>
    </row>
    <row r="76" spans="1:15" x14ac:dyDescent="0.2">
      <c r="F76" s="213"/>
      <c r="G76" s="213"/>
    </row>
    <row r="77" spans="1:15" x14ac:dyDescent="0.2">
      <c r="F77" s="213"/>
      <c r="G77" s="213"/>
    </row>
    <row r="78" spans="1:15" x14ac:dyDescent="0.2">
      <c r="F78" s="213"/>
      <c r="G78" s="213"/>
    </row>
    <row r="79" spans="1:15" x14ac:dyDescent="0.2">
      <c r="F79" s="213"/>
      <c r="G79" s="213"/>
    </row>
    <row r="80" spans="1:15" x14ac:dyDescent="0.2">
      <c r="F80" s="213"/>
      <c r="G80" s="213"/>
    </row>
    <row r="81" spans="6:7" x14ac:dyDescent="0.2">
      <c r="F81" s="213"/>
      <c r="G81" s="213"/>
    </row>
    <row r="82" spans="6:7" x14ac:dyDescent="0.2">
      <c r="F82" s="213"/>
      <c r="G82" s="213"/>
    </row>
    <row r="83" spans="6:7" x14ac:dyDescent="0.2">
      <c r="F83" s="213"/>
      <c r="G83" s="213"/>
    </row>
    <row r="84" spans="6:7" x14ac:dyDescent="0.2">
      <c r="F84" s="213"/>
      <c r="G84" s="213"/>
    </row>
    <row r="85" spans="6:7" x14ac:dyDescent="0.2">
      <c r="F85" s="213"/>
      <c r="G85" s="213"/>
    </row>
    <row r="86" spans="6:7" x14ac:dyDescent="0.2">
      <c r="F86" s="213"/>
      <c r="G86" s="213"/>
    </row>
    <row r="87" spans="6:7" x14ac:dyDescent="0.2">
      <c r="F87" s="213"/>
      <c r="G87" s="213"/>
    </row>
    <row r="88" spans="6:7" x14ac:dyDescent="0.2">
      <c r="F88" s="213"/>
      <c r="G88" s="213"/>
    </row>
    <row r="89" spans="6:7" x14ac:dyDescent="0.2">
      <c r="F89" s="213"/>
      <c r="G89" s="213"/>
    </row>
    <row r="90" spans="6:7" x14ac:dyDescent="0.2">
      <c r="F90" s="213"/>
      <c r="G90" s="213"/>
    </row>
    <row r="91" spans="6:7" x14ac:dyDescent="0.2">
      <c r="F91" s="213"/>
      <c r="G91" s="213"/>
    </row>
    <row r="92" spans="6:7" x14ac:dyDescent="0.2">
      <c r="F92" s="213"/>
      <c r="G92" s="213"/>
    </row>
    <row r="93" spans="6:7" x14ac:dyDescent="0.2">
      <c r="F93" s="213"/>
      <c r="G93" s="213"/>
    </row>
    <row r="94" spans="6:7" x14ac:dyDescent="0.2">
      <c r="F94" s="213"/>
      <c r="G94" s="213"/>
    </row>
    <row r="95" spans="6:7" x14ac:dyDescent="0.2">
      <c r="F95" s="213"/>
      <c r="G95" s="213"/>
    </row>
    <row r="96" spans="6:7" x14ac:dyDescent="0.2">
      <c r="F96" s="213"/>
      <c r="G96" s="213"/>
    </row>
    <row r="97" spans="6:7" x14ac:dyDescent="0.2">
      <c r="F97" s="213"/>
      <c r="G97" s="213"/>
    </row>
    <row r="98" spans="6:7" x14ac:dyDescent="0.2">
      <c r="F98" s="213"/>
      <c r="G98" s="213"/>
    </row>
    <row r="99" spans="6:7" x14ac:dyDescent="0.2">
      <c r="F99" s="213"/>
      <c r="G99" s="213"/>
    </row>
    <row r="100" spans="6:7" x14ac:dyDescent="0.2">
      <c r="F100" s="213"/>
      <c r="G100" s="213"/>
    </row>
    <row r="101" spans="6:7" x14ac:dyDescent="0.2">
      <c r="F101" s="213"/>
      <c r="G101" s="213"/>
    </row>
    <row r="102" spans="6:7" x14ac:dyDescent="0.2">
      <c r="F102" s="213"/>
      <c r="G102" s="213"/>
    </row>
    <row r="103" spans="6:7" x14ac:dyDescent="0.2">
      <c r="F103" s="213"/>
      <c r="G103" s="213"/>
    </row>
    <row r="104" spans="6:7" x14ac:dyDescent="0.2">
      <c r="F104" s="213"/>
      <c r="G104" s="213"/>
    </row>
    <row r="105" spans="6:7" x14ac:dyDescent="0.2">
      <c r="F105" s="213"/>
      <c r="G105" s="213"/>
    </row>
    <row r="106" spans="6:7" x14ac:dyDescent="0.2">
      <c r="F106" s="213"/>
      <c r="G106" s="213"/>
    </row>
    <row r="107" spans="6:7" x14ac:dyDescent="0.2">
      <c r="F107" s="213"/>
      <c r="G107" s="213"/>
    </row>
    <row r="108" spans="6:7" x14ac:dyDescent="0.2">
      <c r="F108" s="213"/>
      <c r="G108" s="213"/>
    </row>
    <row r="109" spans="6:7" x14ac:dyDescent="0.2">
      <c r="F109" s="213"/>
      <c r="G109" s="213"/>
    </row>
    <row r="110" spans="6:7" x14ac:dyDescent="0.2">
      <c r="F110" s="213"/>
      <c r="G110" s="213"/>
    </row>
    <row r="111" spans="6:7" x14ac:dyDescent="0.2">
      <c r="F111" s="213"/>
      <c r="G111" s="213"/>
    </row>
    <row r="112" spans="6:7" x14ac:dyDescent="0.2">
      <c r="F112" s="213"/>
      <c r="G112" s="213"/>
    </row>
    <row r="113" spans="6:7" x14ac:dyDescent="0.2">
      <c r="F113" s="213"/>
      <c r="G113" s="213"/>
    </row>
    <row r="114" spans="6:7" x14ac:dyDescent="0.2">
      <c r="F114" s="213"/>
      <c r="G114" s="213"/>
    </row>
    <row r="115" spans="6:7" x14ac:dyDescent="0.2">
      <c r="F115" s="213"/>
      <c r="G115" s="213"/>
    </row>
    <row r="116" spans="6:7" x14ac:dyDescent="0.2">
      <c r="F116" s="213"/>
      <c r="G116" s="213"/>
    </row>
    <row r="117" spans="6:7" x14ac:dyDescent="0.2">
      <c r="F117" s="213"/>
      <c r="G117" s="213"/>
    </row>
    <row r="118" spans="6:7" x14ac:dyDescent="0.2">
      <c r="F118" s="213"/>
      <c r="G118" s="213"/>
    </row>
    <row r="119" spans="6:7" x14ac:dyDescent="0.2">
      <c r="F119" s="213"/>
      <c r="G119" s="213"/>
    </row>
    <row r="120" spans="6:7" x14ac:dyDescent="0.2">
      <c r="F120" s="213"/>
      <c r="G120" s="213"/>
    </row>
    <row r="121" spans="6:7" x14ac:dyDescent="0.2">
      <c r="F121" s="213"/>
      <c r="G121" s="213"/>
    </row>
    <row r="122" spans="6:7" x14ac:dyDescent="0.2">
      <c r="F122" s="213"/>
      <c r="G122" s="213"/>
    </row>
    <row r="123" spans="6:7" x14ac:dyDescent="0.2">
      <c r="F123" s="213"/>
      <c r="G123" s="213"/>
    </row>
    <row r="124" spans="6:7" x14ac:dyDescent="0.2">
      <c r="F124" s="213"/>
      <c r="G124" s="213"/>
    </row>
    <row r="125" spans="6:7" x14ac:dyDescent="0.2">
      <c r="F125" s="213"/>
      <c r="G125" s="213"/>
    </row>
    <row r="126" spans="6:7" x14ac:dyDescent="0.2">
      <c r="F126" s="213"/>
      <c r="G126" s="213"/>
    </row>
    <row r="127" spans="6:7" x14ac:dyDescent="0.2">
      <c r="F127" s="213"/>
      <c r="G127" s="213"/>
    </row>
    <row r="128" spans="6:7" x14ac:dyDescent="0.2">
      <c r="F128" s="213"/>
      <c r="G128" s="213"/>
    </row>
    <row r="129" spans="6:7" x14ac:dyDescent="0.2">
      <c r="F129" s="213"/>
      <c r="G129" s="213"/>
    </row>
    <row r="130" spans="6:7" x14ac:dyDescent="0.2">
      <c r="F130" s="213"/>
      <c r="G130" s="213"/>
    </row>
    <row r="131" spans="6:7" x14ac:dyDescent="0.2">
      <c r="F131" s="213"/>
      <c r="G131" s="213"/>
    </row>
    <row r="132" spans="6:7" x14ac:dyDescent="0.2">
      <c r="F132" s="213"/>
      <c r="G132" s="213"/>
    </row>
    <row r="133" spans="6:7" x14ac:dyDescent="0.2">
      <c r="F133" s="213"/>
      <c r="G133" s="213"/>
    </row>
    <row r="134" spans="6:7" x14ac:dyDescent="0.2">
      <c r="F134" s="213"/>
      <c r="G134" s="213"/>
    </row>
    <row r="135" spans="6:7" x14ac:dyDescent="0.2">
      <c r="F135" s="213"/>
      <c r="G135" s="213"/>
    </row>
    <row r="136" spans="6:7" x14ac:dyDescent="0.2">
      <c r="F136" s="213"/>
      <c r="G136" s="213"/>
    </row>
    <row r="137" spans="6:7" x14ac:dyDescent="0.2">
      <c r="F137" s="213"/>
      <c r="G137" s="213"/>
    </row>
    <row r="138" spans="6:7" x14ac:dyDescent="0.2">
      <c r="F138" s="213"/>
      <c r="G138" s="213"/>
    </row>
    <row r="139" spans="6:7" x14ac:dyDescent="0.2">
      <c r="F139" s="213"/>
      <c r="G139" s="213"/>
    </row>
    <row r="140" spans="6:7" x14ac:dyDescent="0.2">
      <c r="F140" s="213"/>
      <c r="G140" s="213"/>
    </row>
    <row r="141" spans="6:7" x14ac:dyDescent="0.2">
      <c r="F141" s="213"/>
      <c r="G141" s="213"/>
    </row>
    <row r="142" spans="6:7" x14ac:dyDescent="0.2">
      <c r="F142" s="213"/>
      <c r="G142" s="213"/>
    </row>
    <row r="143" spans="6:7" x14ac:dyDescent="0.2">
      <c r="F143" s="213"/>
      <c r="G143" s="213"/>
    </row>
    <row r="144" spans="6:7" x14ac:dyDescent="0.2">
      <c r="F144" s="213"/>
      <c r="G144" s="213"/>
    </row>
    <row r="145" spans="6:7" x14ac:dyDescent="0.2">
      <c r="F145" s="213"/>
      <c r="G145" s="213"/>
    </row>
    <row r="146" spans="6:7" x14ac:dyDescent="0.2">
      <c r="F146" s="213"/>
      <c r="G146" s="213"/>
    </row>
    <row r="147" spans="6:7" x14ac:dyDescent="0.2">
      <c r="F147" s="213"/>
      <c r="G147" s="213"/>
    </row>
    <row r="148" spans="6:7" x14ac:dyDescent="0.2">
      <c r="F148" s="213"/>
      <c r="G148" s="213"/>
    </row>
    <row r="149" spans="6:7" x14ac:dyDescent="0.2">
      <c r="F149" s="213"/>
      <c r="G149" s="213"/>
    </row>
    <row r="150" spans="6:7" x14ac:dyDescent="0.2">
      <c r="F150" s="213"/>
      <c r="G150" s="213"/>
    </row>
    <row r="151" spans="6:7" x14ac:dyDescent="0.2">
      <c r="F151" s="213"/>
      <c r="G151" s="213"/>
    </row>
    <row r="152" spans="6:7" x14ac:dyDescent="0.2">
      <c r="F152" s="213"/>
      <c r="G152" s="213"/>
    </row>
    <row r="153" spans="6:7" x14ac:dyDescent="0.2">
      <c r="F153" s="213"/>
      <c r="G153" s="213"/>
    </row>
    <row r="154" spans="6:7" x14ac:dyDescent="0.2">
      <c r="F154" s="213"/>
      <c r="G154" s="213"/>
    </row>
    <row r="155" spans="6:7" x14ac:dyDescent="0.2">
      <c r="F155" s="213"/>
      <c r="G155" s="213"/>
    </row>
    <row r="156" spans="6:7" x14ac:dyDescent="0.2">
      <c r="F156" s="213"/>
      <c r="G156" s="213"/>
    </row>
    <row r="157" spans="6:7" x14ac:dyDescent="0.2">
      <c r="F157" s="213"/>
      <c r="G157" s="213"/>
    </row>
    <row r="158" spans="6:7" x14ac:dyDescent="0.2">
      <c r="F158" s="213"/>
      <c r="G158" s="213"/>
    </row>
    <row r="159" spans="6:7" x14ac:dyDescent="0.2">
      <c r="F159" s="213"/>
      <c r="G159" s="213"/>
    </row>
    <row r="160" spans="6:7" x14ac:dyDescent="0.2">
      <c r="F160" s="213"/>
      <c r="G160" s="213"/>
    </row>
    <row r="161" spans="6:7" x14ac:dyDescent="0.2">
      <c r="F161" s="213"/>
      <c r="G161" s="213"/>
    </row>
    <row r="162" spans="6:7" x14ac:dyDescent="0.2">
      <c r="F162" s="213"/>
      <c r="G162" s="213"/>
    </row>
    <row r="163" spans="6:7" x14ac:dyDescent="0.2">
      <c r="F163" s="213"/>
      <c r="G163" s="213"/>
    </row>
    <row r="164" spans="6:7" x14ac:dyDescent="0.2">
      <c r="F164" s="213"/>
      <c r="G164" s="213"/>
    </row>
    <row r="165" spans="6:7" x14ac:dyDescent="0.2">
      <c r="F165" s="213"/>
      <c r="G165" s="213"/>
    </row>
    <row r="166" spans="6:7" x14ac:dyDescent="0.2">
      <c r="F166" s="213"/>
      <c r="G166" s="213"/>
    </row>
    <row r="167" spans="6:7" x14ac:dyDescent="0.2">
      <c r="F167" s="213"/>
      <c r="G167" s="213"/>
    </row>
    <row r="168" spans="6:7" x14ac:dyDescent="0.2">
      <c r="F168" s="213"/>
      <c r="G168" s="213"/>
    </row>
    <row r="169" spans="6:7" x14ac:dyDescent="0.2">
      <c r="F169" s="213"/>
      <c r="G169" s="213"/>
    </row>
    <row r="170" spans="6:7" x14ac:dyDescent="0.2">
      <c r="F170" s="213"/>
      <c r="G170" s="213"/>
    </row>
    <row r="171" spans="6:7" x14ac:dyDescent="0.2">
      <c r="F171" s="213"/>
      <c r="G171" s="213"/>
    </row>
    <row r="172" spans="6:7" x14ac:dyDescent="0.2">
      <c r="F172" s="213"/>
      <c r="G172" s="213"/>
    </row>
    <row r="173" spans="6:7" x14ac:dyDescent="0.2">
      <c r="F173" s="213"/>
      <c r="G173" s="213"/>
    </row>
    <row r="174" spans="6:7" x14ac:dyDescent="0.2">
      <c r="F174" s="213"/>
      <c r="G174" s="213"/>
    </row>
    <row r="175" spans="6:7" x14ac:dyDescent="0.2">
      <c r="F175" s="213"/>
      <c r="G175" s="213"/>
    </row>
    <row r="176" spans="6:7" x14ac:dyDescent="0.2">
      <c r="F176" s="213"/>
      <c r="G176" s="213"/>
    </row>
    <row r="177" spans="6:7" x14ac:dyDescent="0.2">
      <c r="F177" s="213"/>
      <c r="G177" s="213"/>
    </row>
    <row r="178" spans="6:7" x14ac:dyDescent="0.2">
      <c r="F178" s="213"/>
      <c r="G178" s="213"/>
    </row>
    <row r="179" spans="6:7" x14ac:dyDescent="0.2">
      <c r="F179" s="213"/>
      <c r="G179" s="213"/>
    </row>
    <row r="180" spans="6:7" x14ac:dyDescent="0.2">
      <c r="F180" s="213"/>
      <c r="G180" s="213"/>
    </row>
    <row r="181" spans="6:7" x14ac:dyDescent="0.2">
      <c r="F181" s="213"/>
      <c r="G181" s="213"/>
    </row>
    <row r="182" spans="6:7" x14ac:dyDescent="0.2">
      <c r="F182" s="213"/>
      <c r="G182" s="213"/>
    </row>
    <row r="183" spans="6:7" x14ac:dyDescent="0.2">
      <c r="F183" s="213"/>
      <c r="G183" s="213"/>
    </row>
    <row r="184" spans="6:7" x14ac:dyDescent="0.2">
      <c r="F184" s="213"/>
      <c r="G184" s="213"/>
    </row>
    <row r="185" spans="6:7" x14ac:dyDescent="0.2">
      <c r="F185" s="213"/>
      <c r="G185" s="213"/>
    </row>
    <row r="186" spans="6:7" x14ac:dyDescent="0.2">
      <c r="F186" s="213"/>
      <c r="G186" s="213"/>
    </row>
    <row r="187" spans="6:7" x14ac:dyDescent="0.2">
      <c r="F187" s="213"/>
      <c r="G187" s="213"/>
    </row>
    <row r="188" spans="6:7" x14ac:dyDescent="0.2">
      <c r="F188" s="213"/>
      <c r="G188" s="213"/>
    </row>
    <row r="189" spans="6:7" x14ac:dyDescent="0.2">
      <c r="F189" s="213"/>
      <c r="G189" s="213"/>
    </row>
    <row r="190" spans="6:7" x14ac:dyDescent="0.2">
      <c r="F190" s="213"/>
      <c r="G190" s="213"/>
    </row>
    <row r="191" spans="6:7" x14ac:dyDescent="0.2">
      <c r="F191" s="213"/>
      <c r="G191" s="213"/>
    </row>
    <row r="192" spans="6:7" x14ac:dyDescent="0.2">
      <c r="F192" s="213"/>
      <c r="G192" s="213"/>
    </row>
    <row r="193" spans="6:7" x14ac:dyDescent="0.2">
      <c r="F193" s="213"/>
      <c r="G193" s="213"/>
    </row>
    <row r="194" spans="6:7" x14ac:dyDescent="0.2">
      <c r="F194" s="213"/>
      <c r="G194" s="213"/>
    </row>
    <row r="195" spans="6:7" x14ac:dyDescent="0.2">
      <c r="F195" s="213"/>
      <c r="G195" s="213"/>
    </row>
    <row r="196" spans="6:7" x14ac:dyDescent="0.2">
      <c r="F196" s="213"/>
      <c r="G196" s="213"/>
    </row>
    <row r="197" spans="6:7" x14ac:dyDescent="0.2">
      <c r="F197" s="213"/>
      <c r="G197" s="213"/>
    </row>
    <row r="198" spans="6:7" x14ac:dyDescent="0.2">
      <c r="F198" s="213"/>
      <c r="G198" s="213"/>
    </row>
    <row r="199" spans="6:7" x14ac:dyDescent="0.2">
      <c r="F199" s="213"/>
      <c r="G199" s="213"/>
    </row>
    <row r="200" spans="6:7" x14ac:dyDescent="0.2">
      <c r="F200" s="213"/>
      <c r="G200" s="213"/>
    </row>
    <row r="201" spans="6:7" x14ac:dyDescent="0.2">
      <c r="F201" s="213"/>
      <c r="G201" s="213"/>
    </row>
    <row r="202" spans="6:7" x14ac:dyDescent="0.2">
      <c r="G202" s="213"/>
    </row>
    <row r="203" spans="6:7" x14ac:dyDescent="0.2">
      <c r="G203" s="213"/>
    </row>
    <row r="204" spans="6:7" x14ac:dyDescent="0.2">
      <c r="G204" s="213"/>
    </row>
    <row r="205" spans="6:7" x14ac:dyDescent="0.2">
      <c r="G205" s="213"/>
    </row>
    <row r="206" spans="6:7" x14ac:dyDescent="0.2">
      <c r="G206" s="213"/>
    </row>
    <row r="207" spans="6:7" x14ac:dyDescent="0.2">
      <c r="G207" s="213"/>
    </row>
    <row r="208" spans="6:7" x14ac:dyDescent="0.2">
      <c r="G208" s="213"/>
    </row>
    <row r="209" spans="7:7" x14ac:dyDescent="0.2">
      <c r="G209" s="213"/>
    </row>
    <row r="210" spans="7:7" x14ac:dyDescent="0.2">
      <c r="G210" s="213"/>
    </row>
    <row r="211" spans="7:7" x14ac:dyDescent="0.2">
      <c r="G211" s="213"/>
    </row>
    <row r="212" spans="7:7" x14ac:dyDescent="0.2">
      <c r="G212" s="213"/>
    </row>
    <row r="213" spans="7:7" x14ac:dyDescent="0.2">
      <c r="G213" s="213"/>
    </row>
    <row r="214" spans="7:7" x14ac:dyDescent="0.2">
      <c r="G214" s="213"/>
    </row>
    <row r="215" spans="7:7" x14ac:dyDescent="0.2">
      <c r="G215" s="213"/>
    </row>
    <row r="216" spans="7:7" x14ac:dyDescent="0.2">
      <c r="G216" s="213"/>
    </row>
    <row r="217" spans="7:7" x14ac:dyDescent="0.2">
      <c r="G217" s="213"/>
    </row>
    <row r="218" spans="7:7" x14ac:dyDescent="0.2">
      <c r="G218" s="213"/>
    </row>
    <row r="219" spans="7:7" x14ac:dyDescent="0.2">
      <c r="G219" s="213"/>
    </row>
    <row r="220" spans="7:7" x14ac:dyDescent="0.2">
      <c r="G220" s="213"/>
    </row>
    <row r="221" spans="7:7" x14ac:dyDescent="0.2">
      <c r="G221" s="213"/>
    </row>
    <row r="222" spans="7:7" x14ac:dyDescent="0.2">
      <c r="G222" s="213"/>
    </row>
    <row r="223" spans="7:7" x14ac:dyDescent="0.2">
      <c r="G223" s="213"/>
    </row>
    <row r="224" spans="7:7" x14ac:dyDescent="0.2">
      <c r="G224" s="213"/>
    </row>
    <row r="225" spans="7:7" x14ac:dyDescent="0.2">
      <c r="G225" s="213"/>
    </row>
    <row r="226" spans="7:7" x14ac:dyDescent="0.2">
      <c r="G226" s="213"/>
    </row>
    <row r="227" spans="7:7" x14ac:dyDescent="0.2">
      <c r="G227" s="213"/>
    </row>
    <row r="228" spans="7:7" x14ac:dyDescent="0.2">
      <c r="G228" s="213"/>
    </row>
    <row r="229" spans="7:7" x14ac:dyDescent="0.2">
      <c r="G229" s="213"/>
    </row>
    <row r="230" spans="7:7" x14ac:dyDescent="0.2">
      <c r="G230" s="213"/>
    </row>
    <row r="231" spans="7:7" x14ac:dyDescent="0.2">
      <c r="G231" s="213"/>
    </row>
    <row r="232" spans="7:7" x14ac:dyDescent="0.2">
      <c r="G232" s="213"/>
    </row>
    <row r="233" spans="7:7" x14ac:dyDescent="0.2">
      <c r="G233" s="213"/>
    </row>
    <row r="234" spans="7:7" x14ac:dyDescent="0.2">
      <c r="G234" s="213"/>
    </row>
    <row r="235" spans="7:7" x14ac:dyDescent="0.2">
      <c r="G235" s="213"/>
    </row>
    <row r="236" spans="7:7" x14ac:dyDescent="0.2">
      <c r="G236" s="213"/>
    </row>
    <row r="237" spans="7:7" x14ac:dyDescent="0.2">
      <c r="G237" s="213"/>
    </row>
    <row r="238" spans="7:7" x14ac:dyDescent="0.2">
      <c r="G238" s="213"/>
    </row>
    <row r="239" spans="7:7" x14ac:dyDescent="0.2">
      <c r="G239" s="213"/>
    </row>
    <row r="240" spans="7:7" x14ac:dyDescent="0.2">
      <c r="G240" s="213"/>
    </row>
    <row r="241" spans="7:7" x14ac:dyDescent="0.2">
      <c r="G241" s="213"/>
    </row>
    <row r="242" spans="7:7" x14ac:dyDescent="0.2">
      <c r="G242" s="213"/>
    </row>
    <row r="243" spans="7:7" x14ac:dyDescent="0.2">
      <c r="G243" s="213"/>
    </row>
    <row r="244" spans="7:7" x14ac:dyDescent="0.2">
      <c r="G244" s="213"/>
    </row>
    <row r="245" spans="7:7" x14ac:dyDescent="0.2">
      <c r="G245" s="213"/>
    </row>
    <row r="246" spans="7:7" x14ac:dyDescent="0.2">
      <c r="G246" s="213"/>
    </row>
    <row r="247" spans="7:7" x14ac:dyDescent="0.2">
      <c r="G247" s="213"/>
    </row>
    <row r="248" spans="7:7" x14ac:dyDescent="0.2">
      <c r="G248" s="213"/>
    </row>
    <row r="249" spans="7:7" x14ac:dyDescent="0.2">
      <c r="G249" s="213"/>
    </row>
    <row r="250" spans="7:7" x14ac:dyDescent="0.2">
      <c r="G250" s="213"/>
    </row>
    <row r="251" spans="7:7" x14ac:dyDescent="0.2">
      <c r="G251" s="213"/>
    </row>
    <row r="252" spans="7:7" x14ac:dyDescent="0.2">
      <c r="G252" s="213"/>
    </row>
    <row r="253" spans="7:7" x14ac:dyDescent="0.2">
      <c r="G253" s="213"/>
    </row>
    <row r="254" spans="7:7" x14ac:dyDescent="0.2">
      <c r="G254" s="213"/>
    </row>
    <row r="255" spans="7:7" x14ac:dyDescent="0.2">
      <c r="G255" s="213"/>
    </row>
    <row r="256" spans="7:7" x14ac:dyDescent="0.2">
      <c r="G256" s="213"/>
    </row>
    <row r="257" spans="7:7" x14ac:dyDescent="0.2">
      <c r="G257" s="213"/>
    </row>
    <row r="258" spans="7:7" x14ac:dyDescent="0.2">
      <c r="G258" s="213"/>
    </row>
    <row r="259" spans="7:7" x14ac:dyDescent="0.2">
      <c r="G259" s="213"/>
    </row>
    <row r="260" spans="7:7" x14ac:dyDescent="0.2">
      <c r="G260" s="213"/>
    </row>
    <row r="261" spans="7:7" x14ac:dyDescent="0.2">
      <c r="G261" s="213"/>
    </row>
    <row r="262" spans="7:7" x14ac:dyDescent="0.2">
      <c r="G262" s="213"/>
    </row>
    <row r="263" spans="7:7" x14ac:dyDescent="0.2">
      <c r="G263" s="213"/>
    </row>
    <row r="264" spans="7:7" x14ac:dyDescent="0.2">
      <c r="G264" s="213"/>
    </row>
    <row r="265" spans="7:7" x14ac:dyDescent="0.2">
      <c r="G265" s="213"/>
    </row>
    <row r="266" spans="7:7" x14ac:dyDescent="0.2">
      <c r="G266" s="213"/>
    </row>
    <row r="267" spans="7:7" x14ac:dyDescent="0.2">
      <c r="G267" s="213"/>
    </row>
    <row r="268" spans="7:7" x14ac:dyDescent="0.2">
      <c r="G268" s="213"/>
    </row>
    <row r="269" spans="7:7" x14ac:dyDescent="0.2">
      <c r="G269" s="213"/>
    </row>
    <row r="270" spans="7:7" x14ac:dyDescent="0.2">
      <c r="G270" s="213"/>
    </row>
    <row r="271" spans="7:7" x14ac:dyDescent="0.2">
      <c r="G271" s="213"/>
    </row>
    <row r="272" spans="7:7" x14ac:dyDescent="0.2">
      <c r="G272" s="213"/>
    </row>
    <row r="273" spans="7:7" x14ac:dyDescent="0.2">
      <c r="G273" s="213"/>
    </row>
    <row r="274" spans="7:7" x14ac:dyDescent="0.2">
      <c r="G274" s="213"/>
    </row>
    <row r="275" spans="7:7" x14ac:dyDescent="0.2">
      <c r="G275" s="213"/>
    </row>
    <row r="276" spans="7:7" x14ac:dyDescent="0.2">
      <c r="G276" s="213"/>
    </row>
    <row r="277" spans="7:7" x14ac:dyDescent="0.2">
      <c r="G277" s="213"/>
    </row>
    <row r="278" spans="7:7" x14ac:dyDescent="0.2">
      <c r="G278" s="213"/>
    </row>
    <row r="279" spans="7:7" x14ac:dyDescent="0.2">
      <c r="G279" s="213"/>
    </row>
    <row r="280" spans="7:7" x14ac:dyDescent="0.2">
      <c r="G280" s="213"/>
    </row>
    <row r="281" spans="7:7" x14ac:dyDescent="0.2">
      <c r="G281" s="213"/>
    </row>
    <row r="282" spans="7:7" x14ac:dyDescent="0.2">
      <c r="G282" s="213"/>
    </row>
    <row r="283" spans="7:7" x14ac:dyDescent="0.2">
      <c r="G283" s="213"/>
    </row>
    <row r="284" spans="7:7" x14ac:dyDescent="0.2">
      <c r="G284" s="213"/>
    </row>
    <row r="285" spans="7:7" x14ac:dyDescent="0.2">
      <c r="G285" s="213"/>
    </row>
    <row r="286" spans="7:7" x14ac:dyDescent="0.2">
      <c r="G286" s="213"/>
    </row>
    <row r="287" spans="7:7" x14ac:dyDescent="0.2">
      <c r="G287" s="213"/>
    </row>
    <row r="288" spans="7:7" x14ac:dyDescent="0.2">
      <c r="G288" s="213"/>
    </row>
    <row r="289" spans="7:7" x14ac:dyDescent="0.2">
      <c r="G289" s="213"/>
    </row>
    <row r="290" spans="7:7" x14ac:dyDescent="0.2">
      <c r="G290" s="213"/>
    </row>
    <row r="291" spans="7:7" x14ac:dyDescent="0.2">
      <c r="G291" s="213"/>
    </row>
    <row r="292" spans="7:7" x14ac:dyDescent="0.2">
      <c r="G292" s="213"/>
    </row>
    <row r="293" spans="7:7" x14ac:dyDescent="0.2">
      <c r="G293" s="213"/>
    </row>
    <row r="294" spans="7:7" x14ac:dyDescent="0.2">
      <c r="G294" s="213"/>
    </row>
    <row r="295" spans="7:7" x14ac:dyDescent="0.2">
      <c r="G295" s="213"/>
    </row>
    <row r="296" spans="7:7" x14ac:dyDescent="0.2">
      <c r="G296" s="213"/>
    </row>
    <row r="297" spans="7:7" x14ac:dyDescent="0.2">
      <c r="G297" s="213"/>
    </row>
    <row r="298" spans="7:7" x14ac:dyDescent="0.2">
      <c r="G298" s="213"/>
    </row>
    <row r="299" spans="7:7" x14ac:dyDescent="0.2">
      <c r="G299" s="213"/>
    </row>
    <row r="300" spans="7:7" x14ac:dyDescent="0.2">
      <c r="G300" s="213"/>
    </row>
    <row r="301" spans="7:7" x14ac:dyDescent="0.2">
      <c r="G301" s="213"/>
    </row>
    <row r="302" spans="7:7" x14ac:dyDescent="0.2">
      <c r="G302" s="213"/>
    </row>
    <row r="303" spans="7:7" x14ac:dyDescent="0.2">
      <c r="G303" s="213"/>
    </row>
    <row r="304" spans="7:7" x14ac:dyDescent="0.2">
      <c r="G304" s="213"/>
    </row>
    <row r="305" spans="7:7" x14ac:dyDescent="0.2">
      <c r="G305" s="213"/>
    </row>
    <row r="306" spans="7:7" x14ac:dyDescent="0.2">
      <c r="G306" s="213"/>
    </row>
    <row r="307" spans="7:7" x14ac:dyDescent="0.2">
      <c r="G307" s="213"/>
    </row>
    <row r="308" spans="7:7" x14ac:dyDescent="0.2">
      <c r="G308" s="213"/>
    </row>
    <row r="309" spans="7:7" x14ac:dyDescent="0.2">
      <c r="G309" s="213"/>
    </row>
    <row r="310" spans="7:7" x14ac:dyDescent="0.2">
      <c r="G310" s="213"/>
    </row>
    <row r="311" spans="7:7" x14ac:dyDescent="0.2">
      <c r="G311" s="213"/>
    </row>
    <row r="312" spans="7:7" x14ac:dyDescent="0.2">
      <c r="G312" s="213"/>
    </row>
    <row r="313" spans="7:7" x14ac:dyDescent="0.2">
      <c r="G313" s="213"/>
    </row>
    <row r="314" spans="7:7" x14ac:dyDescent="0.2">
      <c r="G314" s="213"/>
    </row>
    <row r="315" spans="7:7" x14ac:dyDescent="0.2">
      <c r="G315" s="213"/>
    </row>
    <row r="316" spans="7:7" x14ac:dyDescent="0.2">
      <c r="G316" s="213"/>
    </row>
    <row r="317" spans="7:7" x14ac:dyDescent="0.2">
      <c r="G317" s="213"/>
    </row>
    <row r="318" spans="7:7" x14ac:dyDescent="0.2">
      <c r="G318" s="213"/>
    </row>
    <row r="319" spans="7:7" x14ac:dyDescent="0.2">
      <c r="G319" s="213"/>
    </row>
    <row r="320" spans="7:7" x14ac:dyDescent="0.2">
      <c r="G320" s="213"/>
    </row>
    <row r="321" spans="7:7" x14ac:dyDescent="0.2">
      <c r="G321" s="213"/>
    </row>
    <row r="322" spans="7:7" x14ac:dyDescent="0.2">
      <c r="G322" s="213"/>
    </row>
    <row r="323" spans="7:7" x14ac:dyDescent="0.2">
      <c r="G323" s="213"/>
    </row>
    <row r="324" spans="7:7" x14ac:dyDescent="0.2">
      <c r="G324" s="213"/>
    </row>
    <row r="325" spans="7:7" x14ac:dyDescent="0.2">
      <c r="G325" s="213"/>
    </row>
    <row r="326" spans="7:7" x14ac:dyDescent="0.2">
      <c r="G326" s="213"/>
    </row>
    <row r="327" spans="7:7" x14ac:dyDescent="0.2">
      <c r="G327" s="213"/>
    </row>
    <row r="328" spans="7:7" x14ac:dyDescent="0.2">
      <c r="G328" s="213"/>
    </row>
    <row r="329" spans="7:7" x14ac:dyDescent="0.2">
      <c r="G329" s="213"/>
    </row>
    <row r="330" spans="7:7" x14ac:dyDescent="0.2">
      <c r="G330" s="213"/>
    </row>
    <row r="331" spans="7:7" x14ac:dyDescent="0.2">
      <c r="G331" s="213"/>
    </row>
    <row r="332" spans="7:7" x14ac:dyDescent="0.2">
      <c r="G332" s="213"/>
    </row>
    <row r="333" spans="7:7" x14ac:dyDescent="0.2">
      <c r="G333" s="213"/>
    </row>
    <row r="334" spans="7:7" x14ac:dyDescent="0.2">
      <c r="G334" s="213"/>
    </row>
    <row r="335" spans="7:7" x14ac:dyDescent="0.2">
      <c r="G335" s="213"/>
    </row>
    <row r="336" spans="7:7" x14ac:dyDescent="0.2">
      <c r="G336" s="213"/>
    </row>
    <row r="337" spans="7:7" x14ac:dyDescent="0.2">
      <c r="G337" s="213"/>
    </row>
    <row r="338" spans="7:7" x14ac:dyDescent="0.2">
      <c r="G338" s="213"/>
    </row>
    <row r="339" spans="7:7" x14ac:dyDescent="0.2">
      <c r="G339" s="213"/>
    </row>
    <row r="340" spans="7:7" x14ac:dyDescent="0.2">
      <c r="G340" s="213"/>
    </row>
    <row r="341" spans="7:7" x14ac:dyDescent="0.2">
      <c r="G341" s="213"/>
    </row>
    <row r="342" spans="7:7" x14ac:dyDescent="0.2">
      <c r="G342" s="213"/>
    </row>
    <row r="343" spans="7:7" x14ac:dyDescent="0.2">
      <c r="G343" s="213"/>
    </row>
    <row r="344" spans="7:7" x14ac:dyDescent="0.2">
      <c r="G344" s="213"/>
    </row>
    <row r="345" spans="7:7" x14ac:dyDescent="0.2">
      <c r="G345" s="213"/>
    </row>
    <row r="346" spans="7:7" x14ac:dyDescent="0.2">
      <c r="G346" s="213"/>
    </row>
    <row r="347" spans="7:7" x14ac:dyDescent="0.2">
      <c r="G347" s="213"/>
    </row>
    <row r="348" spans="7:7" x14ac:dyDescent="0.2">
      <c r="G348" s="213"/>
    </row>
    <row r="349" spans="7:7" x14ac:dyDescent="0.2">
      <c r="G349" s="213"/>
    </row>
    <row r="350" spans="7:7" x14ac:dyDescent="0.2">
      <c r="G350" s="213"/>
    </row>
    <row r="351" spans="7:7" x14ac:dyDescent="0.2">
      <c r="G351" s="213"/>
    </row>
    <row r="352" spans="7:7" x14ac:dyDescent="0.2">
      <c r="G352" s="213"/>
    </row>
    <row r="353" spans="7:7" x14ac:dyDescent="0.2">
      <c r="G353" s="213"/>
    </row>
  </sheetData>
  <mergeCells count="2">
    <mergeCell ref="D1:E1"/>
    <mergeCell ref="F1:G1"/>
  </mergeCells>
  <phoneticPr fontId="15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2"/>
  <sheetViews>
    <sheetView topLeftCell="B2" workbookViewId="0">
      <selection activeCell="O37" sqref="O37"/>
    </sheetView>
  </sheetViews>
  <sheetFormatPr defaultRowHeight="12.75" x14ac:dyDescent="0.2"/>
  <cols>
    <col min="1" max="1" width="3" style="207" bestFit="1" customWidth="1"/>
    <col min="2" max="2" width="25.28515625" style="206" customWidth="1"/>
    <col min="3" max="20" width="6.5703125" style="206" customWidth="1"/>
    <col min="21" max="16384" width="9.140625" style="206"/>
  </cols>
  <sheetData>
    <row r="1" spans="1:25" hidden="1" x14ac:dyDescent="0.2">
      <c r="C1" s="2">
        <v>1</v>
      </c>
      <c r="D1" s="2">
        <v>2</v>
      </c>
      <c r="E1" s="2">
        <v>3</v>
      </c>
      <c r="F1" s="2">
        <v>4</v>
      </c>
      <c r="G1" s="2">
        <v>5</v>
      </c>
      <c r="H1" s="2">
        <v>6</v>
      </c>
      <c r="I1" s="2">
        <v>7</v>
      </c>
      <c r="J1" s="2">
        <v>8</v>
      </c>
      <c r="K1" s="2">
        <v>9</v>
      </c>
      <c r="L1" s="2">
        <v>10</v>
      </c>
      <c r="M1" s="2">
        <v>11</v>
      </c>
      <c r="N1" s="2">
        <v>12</v>
      </c>
      <c r="O1" s="2">
        <v>13</v>
      </c>
      <c r="P1" s="2">
        <v>14</v>
      </c>
      <c r="Q1" s="2">
        <v>15</v>
      </c>
      <c r="R1" s="2">
        <v>16</v>
      </c>
      <c r="S1" s="2">
        <v>17</v>
      </c>
      <c r="T1" s="2">
        <v>18</v>
      </c>
    </row>
    <row r="2" spans="1:25" x14ac:dyDescent="0.2">
      <c r="C2" s="2">
        <v>5</v>
      </c>
      <c r="D2" s="2">
        <v>6</v>
      </c>
      <c r="E2" s="2">
        <v>7</v>
      </c>
      <c r="F2" s="2">
        <v>8</v>
      </c>
      <c r="G2" s="2">
        <v>9</v>
      </c>
      <c r="H2" s="2">
        <v>10</v>
      </c>
      <c r="I2" s="2">
        <v>11</v>
      </c>
      <c r="J2" s="2">
        <v>12</v>
      </c>
      <c r="K2" s="2">
        <v>13</v>
      </c>
      <c r="L2" s="2">
        <v>14</v>
      </c>
      <c r="M2" s="2">
        <v>15</v>
      </c>
      <c r="N2" s="2">
        <v>16</v>
      </c>
      <c r="O2" s="2">
        <v>17</v>
      </c>
      <c r="P2" s="2">
        <v>18</v>
      </c>
      <c r="Q2" s="2">
        <v>19</v>
      </c>
      <c r="R2" s="2">
        <v>20</v>
      </c>
      <c r="S2" s="2">
        <v>21</v>
      </c>
      <c r="T2" s="2">
        <v>22</v>
      </c>
    </row>
    <row r="3" spans="1:25" x14ac:dyDescent="0.2">
      <c r="A3" s="207">
        <v>60</v>
      </c>
      <c r="B3" s="207" t="s">
        <v>261</v>
      </c>
      <c r="C3" s="208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7"/>
      <c r="U3" s="207"/>
      <c r="V3" s="207"/>
      <c r="W3" s="207"/>
      <c r="X3" s="207"/>
      <c r="Y3" s="207"/>
    </row>
    <row r="4" spans="1:25" x14ac:dyDescent="0.2">
      <c r="A4" s="207">
        <v>2</v>
      </c>
      <c r="B4" s="209" t="s">
        <v>278</v>
      </c>
      <c r="C4" s="210">
        <f>100-SUM(D4:T4)</f>
        <v>63</v>
      </c>
      <c r="D4" s="207">
        <v>2</v>
      </c>
      <c r="E4" s="207">
        <v>2</v>
      </c>
      <c r="F4" s="207">
        <v>2</v>
      </c>
      <c r="G4" s="207">
        <v>2</v>
      </c>
      <c r="H4" s="207">
        <v>2</v>
      </c>
      <c r="I4" s="207">
        <v>2</v>
      </c>
      <c r="J4" s="207">
        <v>2</v>
      </c>
      <c r="K4" s="207">
        <v>2</v>
      </c>
      <c r="L4" s="207">
        <v>2</v>
      </c>
      <c r="M4" s="207">
        <v>2</v>
      </c>
      <c r="N4" s="207">
        <v>2</v>
      </c>
      <c r="O4" s="207">
        <v>2</v>
      </c>
      <c r="P4" s="207">
        <v>2</v>
      </c>
      <c r="Q4" s="207">
        <v>2</v>
      </c>
      <c r="R4" s="207">
        <v>2</v>
      </c>
      <c r="S4" s="207">
        <v>2</v>
      </c>
      <c r="T4" s="207">
        <v>5</v>
      </c>
      <c r="U4" s="207"/>
      <c r="V4" s="207"/>
      <c r="W4" s="207"/>
      <c r="X4" s="207"/>
      <c r="Y4" s="207"/>
    </row>
    <row r="5" spans="1:25" x14ac:dyDescent="0.2">
      <c r="A5" s="207">
        <v>61</v>
      </c>
      <c r="B5" s="207" t="s">
        <v>257</v>
      </c>
      <c r="C5" s="208"/>
      <c r="D5" s="208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</row>
    <row r="6" spans="1:25" x14ac:dyDescent="0.2">
      <c r="A6" s="207">
        <v>4</v>
      </c>
      <c r="B6" s="209" t="s">
        <v>262</v>
      </c>
      <c r="C6" s="210">
        <v>100</v>
      </c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</row>
    <row r="7" spans="1:25" x14ac:dyDescent="0.2">
      <c r="A7" s="207">
        <v>5</v>
      </c>
      <c r="B7" s="209" t="s">
        <v>263</v>
      </c>
      <c r="C7" s="210">
        <v>50</v>
      </c>
      <c r="D7" s="210">
        <v>50</v>
      </c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7"/>
      <c r="Y7" s="207"/>
    </row>
    <row r="8" spans="1:25" x14ac:dyDescent="0.2">
      <c r="A8" s="207">
        <v>6</v>
      </c>
      <c r="B8" s="209" t="s">
        <v>264</v>
      </c>
      <c r="C8" s="207"/>
      <c r="D8" s="210">
        <v>100</v>
      </c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207"/>
      <c r="W8" s="207"/>
      <c r="X8" s="207"/>
      <c r="Y8" s="207"/>
    </row>
    <row r="9" spans="1:25" x14ac:dyDescent="0.2">
      <c r="A9" s="207">
        <v>62</v>
      </c>
      <c r="B9" s="207" t="s">
        <v>258</v>
      </c>
      <c r="C9" s="207"/>
      <c r="D9" s="208"/>
      <c r="E9" s="208"/>
      <c r="F9" s="207"/>
      <c r="G9" s="207"/>
      <c r="H9" s="207"/>
      <c r="I9" s="207"/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</row>
    <row r="10" spans="1:25" x14ac:dyDescent="0.2">
      <c r="A10" s="207">
        <v>8</v>
      </c>
      <c r="B10" s="209" t="s">
        <v>262</v>
      </c>
      <c r="C10" s="207"/>
      <c r="D10" s="210">
        <v>100</v>
      </c>
      <c r="E10" s="207"/>
      <c r="F10" s="207"/>
      <c r="G10" s="207"/>
      <c r="H10" s="207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</row>
    <row r="11" spans="1:25" x14ac:dyDescent="0.2">
      <c r="A11" s="207">
        <v>9</v>
      </c>
      <c r="B11" s="209" t="s">
        <v>265</v>
      </c>
      <c r="C11" s="207"/>
      <c r="D11" s="210">
        <v>50</v>
      </c>
      <c r="E11" s="210">
        <v>50</v>
      </c>
      <c r="F11" s="207"/>
      <c r="G11" s="207"/>
      <c r="H11" s="207"/>
      <c r="I11" s="207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</row>
    <row r="12" spans="1:25" x14ac:dyDescent="0.2">
      <c r="A12" s="207">
        <v>63</v>
      </c>
      <c r="B12" s="207" t="s">
        <v>259</v>
      </c>
      <c r="C12" s="207"/>
      <c r="D12" s="207"/>
      <c r="E12" s="208"/>
      <c r="F12" s="208"/>
      <c r="G12" s="208"/>
      <c r="H12" s="208"/>
      <c r="I12" s="208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</row>
    <row r="13" spans="1:25" x14ac:dyDescent="0.2">
      <c r="A13" s="207">
        <v>11</v>
      </c>
      <c r="B13" s="209" t="s">
        <v>262</v>
      </c>
      <c r="C13" s="207"/>
      <c r="D13" s="207"/>
      <c r="E13" s="210">
        <v>100</v>
      </c>
      <c r="F13" s="207"/>
      <c r="G13" s="207"/>
      <c r="H13" s="207"/>
      <c r="I13" s="207"/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</row>
    <row r="14" spans="1:25" x14ac:dyDescent="0.2">
      <c r="A14" s="207">
        <v>12</v>
      </c>
      <c r="B14" s="209" t="s">
        <v>263</v>
      </c>
      <c r="C14" s="207"/>
      <c r="D14" s="207"/>
      <c r="E14" s="210">
        <v>33</v>
      </c>
      <c r="F14" s="210">
        <v>33</v>
      </c>
      <c r="G14" s="207"/>
      <c r="H14" s="210">
        <v>34</v>
      </c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</row>
    <row r="15" spans="1:25" x14ac:dyDescent="0.2">
      <c r="A15" s="207">
        <v>13</v>
      </c>
      <c r="B15" s="209" t="s">
        <v>266</v>
      </c>
      <c r="C15" s="207"/>
      <c r="D15" s="207"/>
      <c r="E15" s="207"/>
      <c r="F15" s="210">
        <v>33</v>
      </c>
      <c r="G15" s="210">
        <v>33</v>
      </c>
      <c r="H15" s="210">
        <v>34</v>
      </c>
      <c r="I15" s="207"/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</row>
    <row r="16" spans="1:25" x14ac:dyDescent="0.2">
      <c r="A16" s="207">
        <v>64</v>
      </c>
      <c r="B16" s="209" t="s">
        <v>267</v>
      </c>
      <c r="C16" s="207"/>
      <c r="D16" s="207"/>
      <c r="E16" s="207"/>
      <c r="F16" s="207"/>
      <c r="G16" s="207"/>
      <c r="H16" s="210">
        <v>50</v>
      </c>
      <c r="I16" s="210">
        <v>50</v>
      </c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</row>
    <row r="17" spans="1:25" x14ac:dyDescent="0.2">
      <c r="A17" s="207">
        <v>15</v>
      </c>
      <c r="B17" s="209" t="s">
        <v>268</v>
      </c>
      <c r="C17" s="207"/>
      <c r="D17" s="207"/>
      <c r="E17" s="207"/>
      <c r="F17" s="207"/>
      <c r="G17" s="207"/>
      <c r="H17" s="207"/>
      <c r="I17" s="210">
        <v>100</v>
      </c>
      <c r="J17" s="207"/>
      <c r="K17" s="207"/>
      <c r="L17" s="207"/>
      <c r="M17" s="207"/>
      <c r="N17" s="207"/>
      <c r="O17" s="207"/>
      <c r="P17" s="207"/>
      <c r="Q17" s="207"/>
      <c r="R17" s="207"/>
      <c r="S17" s="207"/>
      <c r="T17" s="207"/>
      <c r="U17" s="207"/>
      <c r="V17" s="207"/>
      <c r="W17" s="207"/>
      <c r="X17" s="207"/>
      <c r="Y17" s="207"/>
    </row>
    <row r="18" spans="1:25" x14ac:dyDescent="0.2">
      <c r="A18" s="207">
        <v>65</v>
      </c>
      <c r="B18" s="207" t="s">
        <v>260</v>
      </c>
      <c r="C18" s="207"/>
      <c r="D18" s="207"/>
      <c r="E18" s="207"/>
      <c r="F18" s="207"/>
      <c r="G18" s="208"/>
      <c r="H18" s="208"/>
      <c r="I18" s="208"/>
      <c r="J18" s="208"/>
      <c r="K18" s="208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</row>
    <row r="19" spans="1:25" x14ac:dyDescent="0.2">
      <c r="A19" s="207">
        <v>17</v>
      </c>
      <c r="B19" s="209" t="s">
        <v>262</v>
      </c>
      <c r="C19" s="207"/>
      <c r="D19" s="207"/>
      <c r="E19" s="207"/>
      <c r="F19" s="207"/>
      <c r="G19" s="210">
        <v>100</v>
      </c>
      <c r="H19" s="207"/>
      <c r="I19" s="207"/>
      <c r="J19" s="207"/>
      <c r="K19" s="207"/>
      <c r="L19" s="207"/>
      <c r="M19" s="207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207"/>
      <c r="Y19" s="207"/>
    </row>
    <row r="20" spans="1:25" x14ac:dyDescent="0.2">
      <c r="A20" s="207">
        <v>18</v>
      </c>
      <c r="B20" s="209" t="s">
        <v>269</v>
      </c>
      <c r="C20" s="207"/>
      <c r="D20" s="207"/>
      <c r="E20" s="207"/>
      <c r="F20" s="207"/>
      <c r="G20" s="210">
        <v>50</v>
      </c>
      <c r="H20" s="210">
        <v>50</v>
      </c>
      <c r="I20" s="207"/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</row>
    <row r="21" spans="1:25" x14ac:dyDescent="0.2">
      <c r="A21" s="207">
        <v>19</v>
      </c>
      <c r="B21" s="209" t="s">
        <v>266</v>
      </c>
      <c r="C21" s="207"/>
      <c r="D21" s="207"/>
      <c r="E21" s="207"/>
      <c r="F21" s="207"/>
      <c r="G21" s="207"/>
      <c r="H21" s="210">
        <v>33</v>
      </c>
      <c r="I21" s="210">
        <v>33</v>
      </c>
      <c r="J21" s="210">
        <v>34</v>
      </c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</row>
    <row r="22" spans="1:25" x14ac:dyDescent="0.2">
      <c r="A22" s="207">
        <v>20</v>
      </c>
      <c r="B22" s="209" t="s">
        <v>267</v>
      </c>
      <c r="C22" s="207"/>
      <c r="D22" s="207"/>
      <c r="E22" s="207"/>
      <c r="F22" s="207"/>
      <c r="G22" s="207"/>
      <c r="H22" s="207"/>
      <c r="I22" s="207"/>
      <c r="J22" s="210">
        <v>50</v>
      </c>
      <c r="K22" s="210">
        <v>50</v>
      </c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</row>
    <row r="23" spans="1:25" x14ac:dyDescent="0.2">
      <c r="A23" s="207">
        <v>66</v>
      </c>
      <c r="B23" s="207" t="s">
        <v>204</v>
      </c>
      <c r="C23" s="207"/>
      <c r="D23" s="207"/>
      <c r="E23" s="207"/>
      <c r="F23" s="207"/>
      <c r="G23" s="207"/>
      <c r="H23" s="207"/>
      <c r="I23" s="208"/>
      <c r="J23" s="208"/>
      <c r="K23" s="208"/>
      <c r="L23" s="208"/>
      <c r="M23" s="208"/>
      <c r="N23" s="208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</row>
    <row r="24" spans="1:25" x14ac:dyDescent="0.2">
      <c r="A24" s="207">
        <v>22</v>
      </c>
      <c r="B24" s="209" t="s">
        <v>262</v>
      </c>
      <c r="C24" s="207"/>
      <c r="D24" s="207"/>
      <c r="E24" s="207"/>
      <c r="F24" s="207"/>
      <c r="G24" s="207"/>
      <c r="H24" s="207"/>
      <c r="I24" s="210">
        <v>100</v>
      </c>
      <c r="J24" s="207"/>
      <c r="K24" s="207"/>
      <c r="L24" s="207"/>
      <c r="M24" s="207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207"/>
    </row>
    <row r="25" spans="1:25" x14ac:dyDescent="0.2">
      <c r="A25" s="207">
        <v>23</v>
      </c>
      <c r="B25" s="209" t="s">
        <v>269</v>
      </c>
      <c r="C25" s="207"/>
      <c r="D25" s="207"/>
      <c r="E25" s="207"/>
      <c r="F25" s="207"/>
      <c r="G25" s="207"/>
      <c r="H25" s="207"/>
      <c r="I25" s="210">
        <v>50</v>
      </c>
      <c r="J25" s="210">
        <v>50</v>
      </c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</row>
    <row r="26" spans="1:25" x14ac:dyDescent="0.2">
      <c r="A26" s="207">
        <v>24</v>
      </c>
      <c r="B26" s="209" t="s">
        <v>266</v>
      </c>
      <c r="C26" s="207"/>
      <c r="D26" s="207"/>
      <c r="E26" s="207"/>
      <c r="F26" s="207"/>
      <c r="G26" s="207"/>
      <c r="H26" s="207"/>
      <c r="I26" s="207"/>
      <c r="J26" s="210">
        <v>33</v>
      </c>
      <c r="K26" s="210">
        <v>33</v>
      </c>
      <c r="L26" s="210">
        <v>34</v>
      </c>
      <c r="M26" s="207"/>
      <c r="N26" s="207"/>
      <c r="O26" s="207"/>
      <c r="P26" s="207"/>
      <c r="Q26" s="207"/>
      <c r="R26" s="207"/>
      <c r="S26" s="207"/>
      <c r="T26" s="207"/>
      <c r="U26" s="207"/>
      <c r="V26" s="207"/>
      <c r="W26" s="207"/>
      <c r="X26" s="207"/>
      <c r="Y26" s="207"/>
    </row>
    <row r="27" spans="1:25" x14ac:dyDescent="0.2">
      <c r="A27" s="207">
        <v>25</v>
      </c>
      <c r="B27" s="209" t="s">
        <v>267</v>
      </c>
      <c r="C27" s="207"/>
      <c r="D27" s="207"/>
      <c r="E27" s="207"/>
      <c r="F27" s="207"/>
      <c r="G27" s="207"/>
      <c r="H27" s="207"/>
      <c r="I27" s="207"/>
      <c r="J27" s="207"/>
      <c r="K27" s="207"/>
      <c r="L27" s="210">
        <v>50</v>
      </c>
      <c r="M27" s="210">
        <v>50</v>
      </c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207"/>
    </row>
    <row r="28" spans="1:25" x14ac:dyDescent="0.2">
      <c r="A28" s="207">
        <v>26</v>
      </c>
      <c r="B28" s="209" t="s">
        <v>268</v>
      </c>
      <c r="C28" s="207"/>
      <c r="D28" s="207"/>
      <c r="E28" s="207"/>
      <c r="F28" s="207"/>
      <c r="G28" s="207"/>
      <c r="H28" s="207"/>
      <c r="I28" s="207"/>
      <c r="J28" s="207"/>
      <c r="K28" s="207"/>
      <c r="L28" s="207"/>
      <c r="M28" s="207"/>
      <c r="N28" s="210">
        <v>100</v>
      </c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207"/>
    </row>
    <row r="29" spans="1:25" x14ac:dyDescent="0.2">
      <c r="A29" s="207">
        <v>67</v>
      </c>
      <c r="B29" s="207" t="s">
        <v>205</v>
      </c>
      <c r="C29" s="207"/>
      <c r="D29" s="207"/>
      <c r="E29" s="207"/>
      <c r="F29" s="207"/>
      <c r="G29" s="207"/>
      <c r="H29" s="207"/>
      <c r="I29" s="207"/>
      <c r="J29" s="207"/>
      <c r="K29" s="207"/>
      <c r="L29" s="208"/>
      <c r="M29" s="208"/>
      <c r="N29" s="208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</row>
    <row r="30" spans="1:25" x14ac:dyDescent="0.2">
      <c r="A30" s="207">
        <v>28</v>
      </c>
      <c r="B30" s="209" t="s">
        <v>262</v>
      </c>
      <c r="C30" s="207"/>
      <c r="D30" s="207"/>
      <c r="E30" s="207"/>
      <c r="F30" s="207"/>
      <c r="G30" s="207"/>
      <c r="H30" s="207"/>
      <c r="I30" s="207"/>
      <c r="J30" s="207"/>
      <c r="K30" s="207"/>
      <c r="L30" s="210">
        <v>100</v>
      </c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</row>
    <row r="31" spans="1:25" x14ac:dyDescent="0.2">
      <c r="A31" s="207">
        <v>29</v>
      </c>
      <c r="B31" s="209" t="s">
        <v>266</v>
      </c>
      <c r="C31" s="207"/>
      <c r="D31" s="207"/>
      <c r="E31" s="207"/>
      <c r="F31" s="207"/>
      <c r="G31" s="207"/>
      <c r="H31" s="207"/>
      <c r="I31" s="207"/>
      <c r="J31" s="207"/>
      <c r="K31" s="207"/>
      <c r="L31" s="210">
        <v>33</v>
      </c>
      <c r="M31" s="210">
        <v>33</v>
      </c>
      <c r="N31" s="210">
        <v>34</v>
      </c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</row>
    <row r="32" spans="1:25" x14ac:dyDescent="0.2">
      <c r="A32" s="207">
        <v>30</v>
      </c>
      <c r="B32" s="209" t="s">
        <v>270</v>
      </c>
      <c r="C32" s="207"/>
      <c r="D32" s="207"/>
      <c r="E32" s="207"/>
      <c r="F32" s="207"/>
      <c r="G32" s="207"/>
      <c r="H32" s="207"/>
      <c r="I32" s="207"/>
      <c r="J32" s="207"/>
      <c r="K32" s="207"/>
      <c r="L32" s="207"/>
      <c r="M32" s="207"/>
      <c r="N32" s="210">
        <v>100</v>
      </c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</row>
    <row r="33" spans="1:25" x14ac:dyDescent="0.2">
      <c r="A33" s="207">
        <v>68</v>
      </c>
      <c r="B33" s="207" t="s">
        <v>271</v>
      </c>
      <c r="C33" s="207"/>
      <c r="D33" s="207"/>
      <c r="E33" s="207"/>
      <c r="F33" s="207"/>
      <c r="G33" s="207"/>
      <c r="H33" s="207"/>
      <c r="I33" s="207"/>
      <c r="J33" s="207"/>
      <c r="K33" s="207"/>
      <c r="L33" s="207"/>
      <c r="M33" s="207"/>
      <c r="N33" s="208"/>
      <c r="O33" s="208"/>
      <c r="P33" s="207"/>
      <c r="Q33" s="207"/>
      <c r="R33" s="207"/>
      <c r="S33" s="207"/>
      <c r="T33" s="207"/>
      <c r="U33" s="207"/>
      <c r="V33" s="207"/>
      <c r="W33" s="207"/>
      <c r="X33" s="207"/>
      <c r="Y33" s="207"/>
    </row>
    <row r="34" spans="1:25" x14ac:dyDescent="0.2">
      <c r="A34" s="207">
        <v>32</v>
      </c>
      <c r="B34" s="209" t="s">
        <v>263</v>
      </c>
      <c r="C34" s="207"/>
      <c r="D34" s="207"/>
      <c r="E34" s="207"/>
      <c r="F34" s="207"/>
      <c r="G34" s="207"/>
      <c r="H34" s="207"/>
      <c r="I34" s="207"/>
      <c r="J34" s="207"/>
      <c r="K34" s="207"/>
      <c r="L34" s="207"/>
      <c r="M34" s="207"/>
      <c r="N34" s="210">
        <v>50</v>
      </c>
      <c r="O34" s="210">
        <v>50</v>
      </c>
      <c r="P34" s="207"/>
      <c r="Q34" s="207"/>
      <c r="R34" s="207"/>
      <c r="S34" s="207"/>
      <c r="T34" s="207"/>
      <c r="U34" s="207"/>
      <c r="V34" s="207"/>
      <c r="W34" s="207"/>
      <c r="X34" s="207"/>
      <c r="Y34" s="207"/>
    </row>
    <row r="35" spans="1:25" x14ac:dyDescent="0.2">
      <c r="A35" s="207">
        <v>33</v>
      </c>
      <c r="B35" s="209" t="s">
        <v>267</v>
      </c>
      <c r="C35" s="207"/>
      <c r="D35" s="207"/>
      <c r="E35" s="207"/>
      <c r="F35" s="207"/>
      <c r="G35" s="207"/>
      <c r="H35" s="207"/>
      <c r="I35" s="207"/>
      <c r="J35" s="207"/>
      <c r="K35" s="207"/>
      <c r="L35" s="207"/>
      <c r="M35" s="207"/>
      <c r="N35" s="210">
        <v>50</v>
      </c>
      <c r="O35" s="210">
        <v>50</v>
      </c>
      <c r="P35" s="207"/>
      <c r="Q35" s="207"/>
      <c r="R35" s="207"/>
      <c r="S35" s="207"/>
      <c r="T35" s="207"/>
      <c r="U35" s="207"/>
      <c r="V35" s="207"/>
      <c r="W35" s="207"/>
      <c r="X35" s="207"/>
      <c r="Y35" s="207"/>
    </row>
    <row r="36" spans="1:25" x14ac:dyDescent="0.2">
      <c r="A36" s="207">
        <v>69</v>
      </c>
      <c r="B36" s="207" t="s">
        <v>272</v>
      </c>
      <c r="C36" s="207"/>
      <c r="D36" s="207"/>
      <c r="E36" s="207"/>
      <c r="F36" s="207"/>
      <c r="G36" s="207"/>
      <c r="H36" s="207"/>
      <c r="I36" s="207"/>
      <c r="J36" s="207"/>
      <c r="K36" s="207"/>
      <c r="L36" s="207"/>
      <c r="M36" s="208"/>
      <c r="N36" s="208"/>
      <c r="O36" s="208"/>
      <c r="P36" s="207"/>
      <c r="Q36" s="207"/>
      <c r="R36" s="207"/>
      <c r="S36" s="207"/>
      <c r="T36" s="207"/>
      <c r="U36" s="207"/>
      <c r="V36" s="207"/>
      <c r="W36" s="207"/>
      <c r="X36" s="207"/>
      <c r="Y36" s="207"/>
    </row>
    <row r="37" spans="1:25" x14ac:dyDescent="0.2">
      <c r="A37" s="207">
        <v>35</v>
      </c>
      <c r="B37" s="209" t="s">
        <v>262</v>
      </c>
      <c r="C37" s="207"/>
      <c r="D37" s="207"/>
      <c r="E37" s="207"/>
      <c r="F37" s="207"/>
      <c r="G37" s="207"/>
      <c r="H37" s="207"/>
      <c r="I37" s="207"/>
      <c r="J37" s="207"/>
      <c r="K37" s="207"/>
      <c r="L37" s="207"/>
      <c r="M37" s="210">
        <v>100</v>
      </c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207"/>
    </row>
    <row r="38" spans="1:25" x14ac:dyDescent="0.2">
      <c r="A38" s="207">
        <v>36</v>
      </c>
      <c r="B38" s="209" t="s">
        <v>263</v>
      </c>
      <c r="C38" s="207"/>
      <c r="D38" s="207"/>
      <c r="E38" s="207"/>
      <c r="F38" s="207"/>
      <c r="G38" s="207"/>
      <c r="H38" s="207"/>
      <c r="I38" s="207"/>
      <c r="J38" s="207"/>
      <c r="K38" s="207"/>
      <c r="L38" s="207"/>
      <c r="M38" s="210">
        <v>33</v>
      </c>
      <c r="N38" s="210">
        <v>33</v>
      </c>
      <c r="O38" s="210">
        <v>34</v>
      </c>
      <c r="P38" s="207"/>
      <c r="Q38" s="207"/>
      <c r="R38" s="207"/>
      <c r="S38" s="207"/>
      <c r="T38" s="207"/>
      <c r="U38" s="207"/>
      <c r="V38" s="207"/>
      <c r="W38" s="207"/>
      <c r="X38" s="207"/>
      <c r="Y38" s="207"/>
    </row>
    <row r="39" spans="1:25" x14ac:dyDescent="0.2">
      <c r="A39" s="207">
        <v>37</v>
      </c>
      <c r="B39" s="209" t="s">
        <v>266</v>
      </c>
      <c r="C39" s="207"/>
      <c r="D39" s="207"/>
      <c r="E39" s="207"/>
      <c r="F39" s="207"/>
      <c r="G39" s="207"/>
      <c r="H39" s="207"/>
      <c r="I39" s="207"/>
      <c r="J39" s="207"/>
      <c r="K39" s="207"/>
      <c r="L39" s="207"/>
      <c r="M39" s="207"/>
      <c r="N39" s="210">
        <v>50</v>
      </c>
      <c r="O39" s="210">
        <v>50</v>
      </c>
      <c r="P39" s="207"/>
      <c r="Q39" s="207"/>
      <c r="R39" s="207"/>
      <c r="S39" s="207"/>
      <c r="T39" s="207"/>
      <c r="U39" s="207"/>
      <c r="V39" s="207"/>
      <c r="W39" s="207"/>
      <c r="X39" s="207"/>
      <c r="Y39" s="207"/>
    </row>
    <row r="40" spans="1:25" x14ac:dyDescent="0.2">
      <c r="A40" s="207">
        <v>38</v>
      </c>
      <c r="B40" s="209" t="s">
        <v>267</v>
      </c>
      <c r="C40" s="207"/>
      <c r="D40" s="207"/>
      <c r="E40" s="207"/>
      <c r="F40" s="207"/>
      <c r="G40" s="207"/>
      <c r="H40" s="207"/>
      <c r="I40" s="207"/>
      <c r="J40" s="207"/>
      <c r="K40" s="207"/>
      <c r="L40" s="207"/>
      <c r="M40" s="207"/>
      <c r="N40" s="210">
        <v>50</v>
      </c>
      <c r="O40" s="210">
        <v>50</v>
      </c>
      <c r="P40" s="207"/>
      <c r="Q40" s="207"/>
      <c r="R40" s="207"/>
      <c r="S40" s="207"/>
      <c r="T40" s="207"/>
      <c r="U40" s="207"/>
      <c r="V40" s="207"/>
      <c r="W40" s="207"/>
      <c r="X40" s="207"/>
      <c r="Y40" s="207"/>
    </row>
    <row r="41" spans="1:25" x14ac:dyDescent="0.2">
      <c r="A41" s="207">
        <v>70</v>
      </c>
      <c r="B41" s="207" t="s">
        <v>273</v>
      </c>
      <c r="C41" s="207"/>
      <c r="D41" s="207"/>
      <c r="E41" s="207"/>
      <c r="F41" s="207"/>
      <c r="G41" s="207"/>
      <c r="H41" s="207"/>
      <c r="I41" s="207"/>
      <c r="J41" s="207"/>
      <c r="K41" s="207"/>
      <c r="L41" s="207"/>
      <c r="M41" s="207"/>
      <c r="N41" s="207"/>
      <c r="O41" s="208"/>
      <c r="P41" s="208"/>
      <c r="Q41" s="208"/>
      <c r="R41" s="208"/>
      <c r="S41" s="207"/>
      <c r="T41" s="207"/>
      <c r="U41" s="207"/>
      <c r="V41" s="207"/>
      <c r="W41" s="207"/>
      <c r="X41" s="207"/>
      <c r="Y41" s="207"/>
    </row>
    <row r="42" spans="1:25" x14ac:dyDescent="0.2">
      <c r="A42" s="207">
        <v>40</v>
      </c>
      <c r="B42" s="209" t="s">
        <v>262</v>
      </c>
      <c r="C42" s="207"/>
      <c r="D42" s="207"/>
      <c r="E42" s="207"/>
      <c r="F42" s="207"/>
      <c r="G42" s="207"/>
      <c r="H42" s="207"/>
      <c r="I42" s="207"/>
      <c r="J42" s="207"/>
      <c r="K42" s="207"/>
      <c r="L42" s="207"/>
      <c r="M42" s="207"/>
      <c r="N42" s="207"/>
      <c r="O42" s="210">
        <v>100</v>
      </c>
      <c r="P42" s="207"/>
      <c r="Q42" s="207"/>
      <c r="R42" s="207"/>
      <c r="S42" s="207"/>
      <c r="T42" s="207"/>
      <c r="U42" s="207"/>
      <c r="V42" s="207"/>
      <c r="W42" s="207"/>
      <c r="X42" s="207"/>
      <c r="Y42" s="207"/>
    </row>
    <row r="43" spans="1:25" x14ac:dyDescent="0.2">
      <c r="A43" s="207">
        <v>41</v>
      </c>
      <c r="B43" s="209" t="s">
        <v>274</v>
      </c>
      <c r="C43" s="207"/>
      <c r="D43" s="207"/>
      <c r="E43" s="207"/>
      <c r="F43" s="207"/>
      <c r="G43" s="207"/>
      <c r="H43" s="207"/>
      <c r="I43" s="207"/>
      <c r="J43" s="207"/>
      <c r="K43" s="207"/>
      <c r="L43" s="207"/>
      <c r="M43" s="207"/>
      <c r="N43" s="207"/>
      <c r="O43" s="210">
        <v>100</v>
      </c>
      <c r="P43" s="207"/>
      <c r="Q43" s="207"/>
      <c r="R43" s="207"/>
      <c r="S43" s="207"/>
      <c r="T43" s="207"/>
      <c r="U43" s="207"/>
      <c r="V43" s="207"/>
      <c r="W43" s="207"/>
      <c r="X43" s="207"/>
      <c r="Y43" s="207"/>
    </row>
    <row r="44" spans="1:25" x14ac:dyDescent="0.2">
      <c r="A44" s="207">
        <v>42</v>
      </c>
      <c r="B44" s="209" t="s">
        <v>275</v>
      </c>
      <c r="C44" s="207"/>
      <c r="D44" s="207"/>
      <c r="E44" s="207"/>
      <c r="F44" s="207"/>
      <c r="G44" s="207"/>
      <c r="H44" s="207"/>
      <c r="I44" s="207"/>
      <c r="J44" s="207"/>
      <c r="K44" s="207"/>
      <c r="L44" s="207"/>
      <c r="M44" s="207"/>
      <c r="N44" s="207"/>
      <c r="O44" s="207"/>
      <c r="P44" s="210">
        <v>50</v>
      </c>
      <c r="Q44" s="210">
        <v>50</v>
      </c>
      <c r="R44" s="207"/>
      <c r="S44" s="207"/>
      <c r="T44" s="207"/>
      <c r="U44" s="207"/>
      <c r="V44" s="207"/>
      <c r="W44" s="207"/>
      <c r="X44" s="207"/>
      <c r="Y44" s="207"/>
    </row>
    <row r="45" spans="1:25" x14ac:dyDescent="0.2">
      <c r="A45" s="207">
        <v>43</v>
      </c>
      <c r="B45" s="209" t="s">
        <v>276</v>
      </c>
      <c r="C45" s="207"/>
      <c r="D45" s="207"/>
      <c r="E45" s="207"/>
      <c r="F45" s="207"/>
      <c r="G45" s="207"/>
      <c r="H45" s="207"/>
      <c r="I45" s="207"/>
      <c r="J45" s="207"/>
      <c r="K45" s="207"/>
      <c r="L45" s="207"/>
      <c r="M45" s="207"/>
      <c r="N45" s="207"/>
      <c r="O45" s="207"/>
      <c r="P45" s="207"/>
      <c r="Q45" s="207"/>
      <c r="R45" s="210">
        <v>100</v>
      </c>
      <c r="S45" s="207"/>
      <c r="T45" s="207"/>
      <c r="U45" s="207"/>
      <c r="V45" s="207"/>
      <c r="W45" s="207"/>
      <c r="X45" s="207"/>
      <c r="Y45" s="207"/>
    </row>
    <row r="46" spans="1:25" x14ac:dyDescent="0.2">
      <c r="A46" s="207">
        <v>71</v>
      </c>
      <c r="B46" s="207" t="s">
        <v>277</v>
      </c>
      <c r="C46" s="207"/>
      <c r="D46" s="207"/>
      <c r="E46" s="207"/>
      <c r="F46" s="207"/>
      <c r="G46" s="207"/>
      <c r="H46" s="207"/>
      <c r="I46" s="207"/>
      <c r="J46" s="207"/>
      <c r="K46" s="207"/>
      <c r="L46" s="207"/>
      <c r="M46" s="207"/>
      <c r="N46" s="207"/>
      <c r="O46" s="207"/>
      <c r="P46" s="207"/>
      <c r="Q46" s="207"/>
      <c r="R46" s="208"/>
      <c r="S46" s="208"/>
      <c r="T46" s="207"/>
      <c r="U46" s="207"/>
      <c r="V46" s="207"/>
      <c r="W46" s="207"/>
      <c r="X46" s="207"/>
      <c r="Y46" s="207"/>
    </row>
    <row r="47" spans="1:25" x14ac:dyDescent="0.2">
      <c r="A47" s="207">
        <v>45</v>
      </c>
      <c r="B47" s="209" t="s">
        <v>262</v>
      </c>
      <c r="C47" s="207"/>
      <c r="D47" s="207"/>
      <c r="E47" s="207"/>
      <c r="F47" s="207"/>
      <c r="G47" s="207"/>
      <c r="H47" s="207"/>
      <c r="I47" s="207"/>
      <c r="J47" s="207"/>
      <c r="K47" s="207"/>
      <c r="L47" s="207"/>
      <c r="M47" s="207"/>
      <c r="N47" s="207"/>
      <c r="O47" s="207"/>
      <c r="P47" s="207"/>
      <c r="Q47" s="207"/>
      <c r="R47" s="210">
        <v>100</v>
      </c>
      <c r="S47" s="207"/>
      <c r="T47" s="207"/>
      <c r="U47" s="207"/>
      <c r="V47" s="207"/>
      <c r="W47" s="207"/>
      <c r="X47" s="207"/>
      <c r="Y47" s="207"/>
    </row>
    <row r="48" spans="1:25" x14ac:dyDescent="0.2">
      <c r="A48" s="207">
        <v>46</v>
      </c>
      <c r="B48" s="209" t="s">
        <v>263</v>
      </c>
      <c r="C48" s="207"/>
      <c r="D48" s="207"/>
      <c r="E48" s="207"/>
      <c r="F48" s="207"/>
      <c r="G48" s="207"/>
      <c r="H48" s="207"/>
      <c r="I48" s="207"/>
      <c r="J48" s="207"/>
      <c r="K48" s="207"/>
      <c r="L48" s="207"/>
      <c r="M48" s="207"/>
      <c r="N48" s="207"/>
      <c r="O48" s="207"/>
      <c r="P48" s="207"/>
      <c r="Q48" s="207"/>
      <c r="R48" s="210">
        <v>50</v>
      </c>
      <c r="S48" s="210">
        <v>50</v>
      </c>
      <c r="T48" s="207"/>
      <c r="U48" s="207"/>
      <c r="V48" s="207"/>
      <c r="W48" s="207"/>
      <c r="X48" s="207"/>
      <c r="Y48" s="207"/>
    </row>
    <row r="49" spans="1:25" x14ac:dyDescent="0.2">
      <c r="A49" s="207">
        <v>47</v>
      </c>
      <c r="B49" s="209" t="s">
        <v>266</v>
      </c>
      <c r="C49" s="207"/>
      <c r="D49" s="207"/>
      <c r="E49" s="207"/>
      <c r="F49" s="207"/>
      <c r="G49" s="207"/>
      <c r="H49" s="207"/>
      <c r="I49" s="207"/>
      <c r="J49" s="207"/>
      <c r="K49" s="207"/>
      <c r="L49" s="207"/>
      <c r="M49" s="207"/>
      <c r="N49" s="207"/>
      <c r="O49" s="207"/>
      <c r="P49" s="207"/>
      <c r="Q49" s="207"/>
      <c r="R49" s="210">
        <v>50</v>
      </c>
      <c r="S49" s="210">
        <v>50</v>
      </c>
      <c r="T49" s="207"/>
      <c r="U49" s="207"/>
      <c r="V49" s="207"/>
      <c r="W49" s="207"/>
      <c r="X49" s="207"/>
      <c r="Y49" s="207"/>
    </row>
    <row r="50" spans="1:25" x14ac:dyDescent="0.2">
      <c r="A50" s="207">
        <v>48</v>
      </c>
      <c r="B50" s="209" t="s">
        <v>267</v>
      </c>
      <c r="C50" s="207"/>
      <c r="D50" s="207"/>
      <c r="E50" s="207"/>
      <c r="F50" s="207"/>
      <c r="G50" s="207"/>
      <c r="H50" s="207"/>
      <c r="I50" s="207"/>
      <c r="J50" s="207"/>
      <c r="K50" s="207"/>
      <c r="L50" s="207"/>
      <c r="M50" s="207"/>
      <c r="N50" s="207"/>
      <c r="O50" s="207"/>
      <c r="P50" s="207"/>
      <c r="Q50" s="207"/>
      <c r="R50" s="210">
        <v>50</v>
      </c>
      <c r="S50" s="210">
        <v>50</v>
      </c>
      <c r="T50" s="207"/>
      <c r="U50" s="207"/>
      <c r="V50" s="207"/>
      <c r="W50" s="207"/>
      <c r="X50" s="207"/>
      <c r="Y50" s="207"/>
    </row>
    <row r="51" spans="1:25" x14ac:dyDescent="0.2">
      <c r="A51" s="207">
        <v>72</v>
      </c>
      <c r="B51" s="207" t="s">
        <v>268</v>
      </c>
      <c r="C51" s="207"/>
      <c r="D51" s="207"/>
      <c r="E51" s="207"/>
      <c r="F51" s="207"/>
      <c r="G51" s="207"/>
      <c r="H51" s="207"/>
      <c r="I51" s="207"/>
      <c r="J51" s="207"/>
      <c r="K51" s="207"/>
      <c r="L51" s="207"/>
      <c r="M51" s="207"/>
      <c r="N51" s="207"/>
      <c r="O51" s="207"/>
      <c r="P51" s="207"/>
      <c r="Q51" s="207"/>
      <c r="R51" s="207"/>
      <c r="S51" s="208"/>
      <c r="T51" s="208"/>
      <c r="U51" s="207"/>
      <c r="V51" s="207"/>
      <c r="W51" s="207"/>
      <c r="X51" s="207"/>
      <c r="Y51" s="207"/>
    </row>
    <row r="52" spans="1:25" x14ac:dyDescent="0.2">
      <c r="A52" s="207">
        <v>50</v>
      </c>
      <c r="B52" s="209" t="s">
        <v>278</v>
      </c>
      <c r="C52" s="207"/>
      <c r="D52" s="207"/>
      <c r="E52" s="207"/>
      <c r="F52" s="207"/>
      <c r="G52" s="207"/>
      <c r="H52" s="207"/>
      <c r="I52" s="207"/>
      <c r="J52" s="207"/>
      <c r="K52" s="207"/>
      <c r="L52" s="207"/>
      <c r="M52" s="207"/>
      <c r="N52" s="207"/>
      <c r="O52" s="207"/>
      <c r="P52" s="207"/>
      <c r="Q52" s="207"/>
      <c r="R52" s="207"/>
      <c r="S52" s="210">
        <v>50</v>
      </c>
      <c r="T52" s="210">
        <v>50</v>
      </c>
      <c r="U52" s="207"/>
      <c r="V52" s="207"/>
      <c r="W52" s="207"/>
      <c r="X52" s="207"/>
      <c r="Y52" s="207"/>
    </row>
  </sheetData>
  <phoneticPr fontId="15" type="noConversion"/>
  <printOptions gridLines="1"/>
  <pageMargins left="0.63" right="0.11811023622047245" top="0.39370078740157483" bottom="0.23622047244094491" header="0.31496062992125984" footer="0.15748031496062992"/>
  <pageSetup paperSize="9" scale="85" fitToWidth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zoomScale="75" workbookViewId="0">
      <selection activeCell="O37" sqref="O37"/>
    </sheetView>
  </sheetViews>
  <sheetFormatPr defaultColWidth="11.42578125" defaultRowHeight="12.75" x14ac:dyDescent="0.2"/>
  <cols>
    <col min="1" max="1" width="7.85546875" customWidth="1"/>
    <col min="2" max="2" width="2" customWidth="1"/>
    <col min="3" max="3" width="32.42578125" customWidth="1"/>
    <col min="4" max="4" width="13.7109375" customWidth="1"/>
    <col min="5" max="5" width="6.7109375" customWidth="1"/>
    <col min="6" max="6" width="14.7109375" customWidth="1"/>
    <col min="7" max="7" width="7.85546875" customWidth="1"/>
    <col min="8" max="8" width="23.140625" customWidth="1"/>
    <col min="9" max="9" width="2" customWidth="1"/>
    <col min="10" max="10" width="15.7109375" style="85" hidden="1" customWidth="1"/>
    <col min="11" max="11" width="7.5703125" style="85" customWidth="1"/>
    <col min="12" max="12" width="18.5703125" customWidth="1"/>
    <col min="13" max="13" width="2.140625" customWidth="1"/>
    <col min="14" max="26" width="11.5703125" customWidth="1"/>
  </cols>
  <sheetData>
    <row r="1" spans="1:13" s="5" customFormat="1" ht="9" customHeight="1" thickBot="1" x14ac:dyDescent="0.25">
      <c r="J1" s="6"/>
      <c r="K1" s="6"/>
    </row>
    <row r="2" spans="1:13" s="5" customFormat="1" ht="15.6" customHeight="1" x14ac:dyDescent="0.2">
      <c r="E2" s="7" t="s">
        <v>71</v>
      </c>
      <c r="F2" s="8"/>
      <c r="G2" s="9"/>
      <c r="H2" s="9"/>
      <c r="I2" s="8"/>
      <c r="J2" s="8"/>
      <c r="K2" s="8"/>
      <c r="L2" s="10" t="s">
        <v>72</v>
      </c>
      <c r="M2" s="11"/>
    </row>
    <row r="3" spans="1:13" s="5" customFormat="1" ht="13.15" customHeight="1" x14ac:dyDescent="0.2">
      <c r="E3" s="12"/>
      <c r="F3" s="13" t="s">
        <v>73</v>
      </c>
      <c r="G3" s="13"/>
      <c r="H3" s="13"/>
      <c r="I3" s="13"/>
      <c r="J3" s="13"/>
      <c r="K3" s="13"/>
      <c r="L3" s="14"/>
      <c r="M3" s="15"/>
    </row>
    <row r="4" spans="1:13" s="5" customFormat="1" ht="15.6" customHeight="1" x14ac:dyDescent="0.2">
      <c r="E4" s="16" t="s">
        <v>253</v>
      </c>
      <c r="F4" s="17"/>
      <c r="G4" s="18" t="s">
        <v>254</v>
      </c>
      <c r="H4" s="18"/>
      <c r="I4" s="18"/>
      <c r="J4" s="19"/>
      <c r="K4" s="19"/>
      <c r="L4" s="20" t="s">
        <v>255</v>
      </c>
      <c r="M4" s="21"/>
    </row>
    <row r="5" spans="1:13" s="5" customFormat="1" ht="15" customHeight="1" thickBot="1" x14ac:dyDescent="0.25">
      <c r="E5" s="22"/>
      <c r="F5" s="23">
        <v>38504</v>
      </c>
      <c r="G5" s="24" t="s">
        <v>74</v>
      </c>
      <c r="H5" s="24"/>
      <c r="I5" s="24"/>
      <c r="J5" s="24"/>
      <c r="K5" s="24"/>
      <c r="L5" s="25"/>
      <c r="M5" s="26"/>
    </row>
    <row r="6" spans="1:13" s="5" customFormat="1" ht="9" customHeight="1" thickBot="1" x14ac:dyDescent="0.25">
      <c r="J6" s="6"/>
      <c r="K6" s="6"/>
    </row>
    <row r="7" spans="1:13" s="5" customFormat="1" ht="19.5" customHeight="1" x14ac:dyDescent="0.2">
      <c r="A7" s="27" t="s">
        <v>75</v>
      </c>
      <c r="B7" s="684" t="s">
        <v>76</v>
      </c>
      <c r="C7" s="685"/>
      <c r="D7" s="685"/>
      <c r="E7" s="685"/>
      <c r="F7" s="686"/>
      <c r="G7" s="29" t="s">
        <v>77</v>
      </c>
      <c r="H7" s="687" t="s">
        <v>78</v>
      </c>
      <c r="I7" s="688"/>
      <c r="J7" s="688"/>
      <c r="K7" s="688"/>
      <c r="L7" s="688"/>
      <c r="M7" s="30"/>
    </row>
    <row r="8" spans="1:13" ht="13.15" customHeight="1" x14ac:dyDescent="0.2">
      <c r="A8" s="31"/>
      <c r="B8" s="32"/>
      <c r="C8" s="33"/>
      <c r="D8" s="33"/>
      <c r="E8" s="33"/>
      <c r="F8" s="33"/>
      <c r="G8" s="34"/>
      <c r="H8" s="35"/>
      <c r="I8" s="36"/>
      <c r="J8" s="37"/>
      <c r="K8" s="36"/>
      <c r="L8" s="38" t="str">
        <f>IF(J8=0," ",IF(J8=" -"," -",H8*J8))</f>
        <v xml:space="preserve"> </v>
      </c>
      <c r="M8" s="39"/>
    </row>
    <row r="9" spans="1:13" ht="13.15" customHeight="1" x14ac:dyDescent="0.2">
      <c r="A9" s="31"/>
      <c r="B9" s="32"/>
      <c r="C9" s="40" t="s">
        <v>74</v>
      </c>
      <c r="D9" s="33"/>
      <c r="E9" s="33"/>
      <c r="F9" s="33"/>
      <c r="G9" s="34"/>
      <c r="H9" s="41"/>
      <c r="I9" s="42"/>
      <c r="J9" s="43"/>
      <c r="K9" s="42"/>
      <c r="L9" s="38"/>
      <c r="M9" s="39"/>
    </row>
    <row r="10" spans="1:13" ht="13.15" customHeight="1" x14ac:dyDescent="0.2">
      <c r="A10" s="31"/>
      <c r="B10" s="32"/>
      <c r="C10" s="33"/>
      <c r="D10" s="33"/>
      <c r="E10" s="33"/>
      <c r="F10" s="33"/>
      <c r="G10" s="34"/>
      <c r="H10" s="41"/>
      <c r="I10" s="42"/>
      <c r="J10" s="43"/>
      <c r="K10" s="42"/>
      <c r="L10" s="38"/>
      <c r="M10" s="39"/>
    </row>
    <row r="11" spans="1:13" ht="13.15" customHeight="1" x14ac:dyDescent="0.2">
      <c r="A11" s="31">
        <v>1</v>
      </c>
      <c r="B11" s="32"/>
      <c r="C11" s="44" t="s">
        <v>79</v>
      </c>
      <c r="D11" s="45"/>
      <c r="E11" s="46"/>
      <c r="F11" s="46"/>
      <c r="G11" s="34"/>
      <c r="H11" s="38"/>
      <c r="I11" s="42"/>
      <c r="J11" s="43"/>
      <c r="K11" s="42"/>
      <c r="L11" s="38"/>
      <c r="M11" s="39"/>
    </row>
    <row r="12" spans="1:13" ht="13.15" customHeight="1" x14ac:dyDescent="0.2">
      <c r="A12" s="47"/>
      <c r="B12" s="48"/>
      <c r="C12" s="46"/>
      <c r="D12" s="46"/>
      <c r="E12" s="46"/>
      <c r="F12" s="46"/>
      <c r="G12" s="34"/>
      <c r="H12" s="41"/>
      <c r="I12" s="42"/>
      <c r="J12" s="43"/>
      <c r="K12" s="42"/>
      <c r="L12" s="38"/>
      <c r="M12" s="39"/>
    </row>
    <row r="13" spans="1:13" ht="13.15" customHeight="1" x14ac:dyDescent="0.2">
      <c r="A13" s="31">
        <v>1.1000000000000001</v>
      </c>
      <c r="B13" s="32"/>
      <c r="C13" s="44" t="s">
        <v>80</v>
      </c>
      <c r="D13" s="44"/>
      <c r="E13" s="44"/>
      <c r="F13" s="44"/>
      <c r="G13" s="34" t="s">
        <v>81</v>
      </c>
      <c r="H13" s="41"/>
      <c r="I13" s="42"/>
      <c r="J13" s="43"/>
      <c r="K13" s="42"/>
      <c r="L13" s="38">
        <f>'Interceptor(mão-de-obra)'!L167</f>
        <v>131565.54164350004</v>
      </c>
      <c r="M13" s="39"/>
    </row>
    <row r="14" spans="1:13" ht="13.15" customHeight="1" x14ac:dyDescent="0.2">
      <c r="A14" s="31"/>
      <c r="B14" s="32"/>
      <c r="C14" s="44"/>
      <c r="D14" s="44"/>
      <c r="E14" s="44"/>
      <c r="F14" s="44"/>
      <c r="G14" s="34"/>
      <c r="H14" s="41"/>
      <c r="I14" s="42"/>
      <c r="J14" s="43"/>
      <c r="K14" s="42"/>
      <c r="L14" s="38"/>
      <c r="M14" s="39"/>
    </row>
    <row r="15" spans="1:13" ht="13.15" customHeight="1" x14ac:dyDescent="0.2">
      <c r="A15" s="31">
        <v>1.2</v>
      </c>
      <c r="B15" s="32"/>
      <c r="C15" s="44" t="s">
        <v>82</v>
      </c>
      <c r="D15" s="44"/>
      <c r="E15" s="44"/>
      <c r="F15" s="44"/>
      <c r="G15" s="34" t="s">
        <v>81</v>
      </c>
      <c r="H15" s="49"/>
      <c r="I15" s="42"/>
      <c r="J15" s="43"/>
      <c r="K15" s="42"/>
      <c r="L15" s="38">
        <f>'Interceptor (materiais)'!L157</f>
        <v>264928.59288464999</v>
      </c>
      <c r="M15" s="39"/>
    </row>
    <row r="16" spans="1:13" x14ac:dyDescent="0.2">
      <c r="A16" s="31"/>
      <c r="B16" s="32"/>
      <c r="C16" s="44"/>
      <c r="D16" s="44"/>
      <c r="E16" s="50"/>
      <c r="F16" s="50"/>
      <c r="G16" s="34"/>
      <c r="H16" s="41"/>
      <c r="I16" s="42"/>
      <c r="J16" s="43"/>
      <c r="K16" s="42"/>
      <c r="L16" s="38"/>
      <c r="M16" s="39"/>
    </row>
    <row r="17" spans="1:13" ht="13.15" customHeight="1" x14ac:dyDescent="0.2">
      <c r="A17" s="31"/>
      <c r="B17" s="32"/>
      <c r="C17" s="44"/>
      <c r="D17" s="44"/>
      <c r="E17" s="50"/>
      <c r="F17" s="50"/>
      <c r="G17" s="34"/>
      <c r="H17" s="51"/>
      <c r="I17" s="42"/>
      <c r="J17" s="43"/>
      <c r="K17" s="42"/>
      <c r="L17" s="38"/>
      <c r="M17" s="39"/>
    </row>
    <row r="18" spans="1:13" ht="13.15" customHeight="1" x14ac:dyDescent="0.2">
      <c r="A18" s="31"/>
      <c r="B18" s="32"/>
      <c r="C18" s="44"/>
      <c r="D18" s="44"/>
      <c r="E18" s="50"/>
      <c r="F18" s="50"/>
      <c r="G18" s="34"/>
      <c r="H18" s="51"/>
      <c r="I18" s="42"/>
      <c r="J18" s="43"/>
      <c r="K18" s="42"/>
      <c r="L18" s="38"/>
      <c r="M18" s="39"/>
    </row>
    <row r="19" spans="1:13" ht="13.15" customHeight="1" x14ac:dyDescent="0.2">
      <c r="A19" s="31"/>
      <c r="B19" s="32"/>
      <c r="C19" s="52" t="s">
        <v>0</v>
      </c>
      <c r="D19" s="44"/>
      <c r="E19" s="50"/>
      <c r="F19" s="53"/>
      <c r="G19" s="34"/>
      <c r="H19" s="54"/>
      <c r="I19" s="55"/>
      <c r="J19" s="56"/>
      <c r="K19" s="55"/>
      <c r="L19" s="57">
        <f>SUM(L11:L18)</f>
        <v>396494.13452815003</v>
      </c>
      <c r="M19" s="39"/>
    </row>
    <row r="20" spans="1:13" ht="13.15" customHeight="1" x14ac:dyDescent="0.2">
      <c r="A20" s="31"/>
      <c r="B20" s="32"/>
      <c r="C20" s="52"/>
      <c r="D20" s="44"/>
      <c r="E20" s="50"/>
      <c r="F20" s="50"/>
      <c r="G20" s="34"/>
      <c r="H20" s="51"/>
      <c r="I20" s="42"/>
      <c r="J20" s="43"/>
      <c r="K20" s="42"/>
      <c r="L20" s="57"/>
      <c r="M20" s="39"/>
    </row>
    <row r="21" spans="1:13" ht="13.15" customHeight="1" x14ac:dyDescent="0.2">
      <c r="A21" s="31"/>
      <c r="B21" s="32"/>
      <c r="C21" s="52" t="s">
        <v>83</v>
      </c>
      <c r="D21" s="44"/>
      <c r="E21" s="50"/>
      <c r="F21" s="50"/>
      <c r="G21" s="34"/>
      <c r="H21" s="51"/>
      <c r="I21" s="42"/>
      <c r="J21" s="43"/>
      <c r="K21" s="42"/>
      <c r="L21" s="57"/>
      <c r="M21" s="39"/>
    </row>
    <row r="22" spans="1:13" ht="13.15" customHeight="1" x14ac:dyDescent="0.2">
      <c r="A22" s="31"/>
      <c r="B22" s="32"/>
      <c r="C22" s="44" t="s">
        <v>84</v>
      </c>
      <c r="D22" s="44"/>
      <c r="E22" s="58"/>
      <c r="F22" s="59"/>
      <c r="G22" s="34"/>
      <c r="H22" s="51"/>
      <c r="I22" s="42"/>
      <c r="J22" s="43"/>
      <c r="K22" s="42"/>
      <c r="L22" s="60"/>
      <c r="M22" s="39"/>
    </row>
    <row r="23" spans="1:13" ht="13.15" customHeight="1" x14ac:dyDescent="0.2">
      <c r="A23" s="31"/>
      <c r="B23" s="32"/>
      <c r="C23" s="44" t="s">
        <v>85</v>
      </c>
      <c r="D23" s="44"/>
      <c r="E23" s="58"/>
      <c r="F23" s="59"/>
      <c r="G23" s="34"/>
      <c r="H23" s="51"/>
      <c r="I23" s="42"/>
      <c r="J23" s="43"/>
      <c r="K23" s="42"/>
      <c r="L23" s="60"/>
      <c r="M23" s="39"/>
    </row>
    <row r="24" spans="1:13" ht="13.15" customHeight="1" x14ac:dyDescent="0.2">
      <c r="A24" s="31"/>
      <c r="B24" s="32"/>
      <c r="C24" s="44" t="s">
        <v>86</v>
      </c>
      <c r="D24" s="44"/>
      <c r="E24" s="58"/>
      <c r="F24" s="59"/>
      <c r="G24" s="34"/>
      <c r="H24" s="51"/>
      <c r="I24" s="42"/>
      <c r="J24" s="43"/>
      <c r="K24" s="42"/>
      <c r="L24" s="60"/>
      <c r="M24" s="39"/>
    </row>
    <row r="25" spans="1:13" ht="13.15" customHeight="1" x14ac:dyDescent="0.2">
      <c r="A25" s="31"/>
      <c r="B25" s="32"/>
      <c r="C25" s="61"/>
      <c r="D25" s="44"/>
      <c r="E25" s="58"/>
      <c r="F25" s="59"/>
      <c r="G25" s="34"/>
      <c r="H25" s="51"/>
      <c r="I25" s="42"/>
      <c r="J25" s="43"/>
      <c r="K25" s="42"/>
      <c r="L25" s="60"/>
      <c r="M25" s="39"/>
    </row>
    <row r="26" spans="1:13" ht="13.15" customHeight="1" x14ac:dyDescent="0.2">
      <c r="A26" s="31"/>
      <c r="B26" s="32"/>
      <c r="C26" s="61"/>
      <c r="D26" s="44"/>
      <c r="E26" s="58"/>
      <c r="F26" s="59"/>
      <c r="G26" s="34"/>
      <c r="H26" s="51"/>
      <c r="I26" s="42"/>
      <c r="J26" s="43"/>
      <c r="K26" s="42"/>
      <c r="L26" s="60"/>
      <c r="M26" s="39"/>
    </row>
    <row r="27" spans="1:13" ht="13.15" customHeight="1" x14ac:dyDescent="0.2">
      <c r="A27" s="31"/>
      <c r="B27" s="32"/>
      <c r="C27" s="44"/>
      <c r="D27" s="44"/>
      <c r="E27" s="58"/>
      <c r="F27" s="59"/>
      <c r="G27" s="34"/>
      <c r="H27" s="51"/>
      <c r="I27" s="42"/>
      <c r="J27" s="43"/>
      <c r="K27" s="42"/>
      <c r="L27" s="60"/>
      <c r="M27" s="39"/>
    </row>
    <row r="28" spans="1:13" ht="13.15" customHeight="1" x14ac:dyDescent="0.2">
      <c r="A28" s="31"/>
      <c r="B28" s="32"/>
      <c r="C28" s="44"/>
      <c r="D28" s="44"/>
      <c r="E28" s="58"/>
      <c r="F28" s="59"/>
      <c r="G28" s="34"/>
      <c r="H28" s="51"/>
      <c r="I28" s="42"/>
      <c r="J28" s="43"/>
      <c r="K28" s="42"/>
      <c r="L28" s="60"/>
      <c r="M28" s="39"/>
    </row>
    <row r="29" spans="1:13" ht="13.15" customHeight="1" x14ac:dyDescent="0.2">
      <c r="A29" s="31"/>
      <c r="B29" s="32"/>
      <c r="C29" s="44"/>
      <c r="D29" s="44"/>
      <c r="E29" s="58"/>
      <c r="F29" s="59"/>
      <c r="G29" s="34"/>
      <c r="H29" s="51"/>
      <c r="I29" s="42"/>
      <c r="J29" s="43"/>
      <c r="K29" s="42"/>
      <c r="L29" s="60"/>
      <c r="M29" s="39"/>
    </row>
    <row r="30" spans="1:13" ht="13.15" customHeight="1" x14ac:dyDescent="0.2">
      <c r="A30" s="31"/>
      <c r="B30" s="32"/>
      <c r="C30" s="62"/>
      <c r="D30" s="44"/>
      <c r="E30" s="58"/>
      <c r="F30" s="59"/>
      <c r="G30" s="34"/>
      <c r="H30" s="51"/>
      <c r="I30" s="42"/>
      <c r="J30" s="43"/>
      <c r="K30" s="42"/>
      <c r="L30" s="60"/>
      <c r="M30" s="39"/>
    </row>
    <row r="31" spans="1:13" ht="13.15" customHeight="1" x14ac:dyDescent="0.2">
      <c r="A31" s="31"/>
      <c r="B31" s="32"/>
      <c r="C31" s="44"/>
      <c r="D31" s="44"/>
      <c r="E31" s="58"/>
      <c r="F31" s="59"/>
      <c r="G31" s="34"/>
      <c r="H31" s="51"/>
      <c r="I31" s="42"/>
      <c r="J31" s="43"/>
      <c r="K31" s="42"/>
      <c r="L31" s="60"/>
      <c r="M31" s="39"/>
    </row>
    <row r="32" spans="1:13" ht="13.15" customHeight="1" x14ac:dyDescent="0.2">
      <c r="A32" s="31"/>
      <c r="B32" s="32"/>
      <c r="C32" s="52"/>
      <c r="D32" s="44"/>
      <c r="E32" s="63"/>
      <c r="F32" s="59"/>
      <c r="G32" s="34"/>
      <c r="H32" s="51"/>
      <c r="I32" s="42"/>
      <c r="J32" s="43"/>
      <c r="K32" s="42"/>
      <c r="L32" s="57"/>
      <c r="M32" s="39"/>
    </row>
    <row r="33" spans="1:13" ht="13.15" customHeight="1" x14ac:dyDescent="0.2">
      <c r="A33" s="31"/>
      <c r="B33" s="32"/>
      <c r="C33" s="52"/>
      <c r="D33" s="44"/>
      <c r="E33" s="63"/>
      <c r="F33" s="59"/>
      <c r="G33" s="34"/>
      <c r="H33" s="51"/>
      <c r="I33" s="42"/>
      <c r="J33" s="43"/>
      <c r="K33" s="42"/>
      <c r="L33" s="57"/>
      <c r="M33" s="39"/>
    </row>
    <row r="34" spans="1:13" ht="13.15" customHeight="1" x14ac:dyDescent="0.2">
      <c r="A34" s="31"/>
      <c r="B34" s="32"/>
      <c r="C34" s="52"/>
      <c r="D34" s="64"/>
      <c r="E34" s="58"/>
      <c r="F34" s="59"/>
      <c r="G34" s="34"/>
      <c r="H34" s="51"/>
      <c r="I34" s="42"/>
      <c r="J34" s="43"/>
      <c r="K34" s="42"/>
      <c r="L34" s="57"/>
      <c r="M34" s="39"/>
    </row>
    <row r="35" spans="1:13" ht="13.15" customHeight="1" x14ac:dyDescent="0.2">
      <c r="A35" s="31"/>
      <c r="B35" s="32"/>
      <c r="C35" s="52"/>
      <c r="D35" s="64"/>
      <c r="E35" s="58"/>
      <c r="F35" s="59"/>
      <c r="G35" s="34"/>
      <c r="H35" s="51"/>
      <c r="I35" s="42"/>
      <c r="J35" s="43"/>
      <c r="K35" s="42"/>
      <c r="L35" s="57"/>
      <c r="M35" s="39"/>
    </row>
    <row r="36" spans="1:13" ht="13.7" customHeight="1" thickBot="1" x14ac:dyDescent="0.25">
      <c r="A36" s="65"/>
      <c r="B36" s="66"/>
      <c r="C36" s="67"/>
      <c r="D36" s="67"/>
      <c r="E36" s="67"/>
      <c r="F36" s="67"/>
      <c r="G36" s="68"/>
      <c r="H36" s="69"/>
      <c r="I36" s="67"/>
      <c r="J36" s="70"/>
      <c r="K36" s="67"/>
      <c r="L36" s="70" t="str">
        <f>IF(J36=0," ",IF(J36=" -"," -",H36*J36))</f>
        <v xml:space="preserve"> </v>
      </c>
      <c r="M36" s="71"/>
    </row>
    <row r="37" spans="1:13" ht="6" customHeight="1" thickBot="1" x14ac:dyDescent="0.25">
      <c r="A37" s="72"/>
      <c r="B37" s="72"/>
      <c r="C37" s="42"/>
      <c r="D37" s="42"/>
      <c r="E37" s="42"/>
      <c r="F37" s="42"/>
      <c r="G37" s="72"/>
      <c r="H37" s="73"/>
      <c r="I37" s="42"/>
      <c r="J37" s="43"/>
      <c r="K37" s="42"/>
      <c r="L37" s="43"/>
      <c r="M37" s="42"/>
    </row>
    <row r="38" spans="1:13" ht="14.25" x14ac:dyDescent="0.2">
      <c r="A38" s="74" t="s">
        <v>87</v>
      </c>
      <c r="B38" s="75"/>
      <c r="C38" s="76"/>
      <c r="D38" s="77" t="s">
        <v>88</v>
      </c>
      <c r="E38" s="75"/>
      <c r="F38" s="75"/>
      <c r="G38" s="78" t="s">
        <v>89</v>
      </c>
      <c r="H38" s="79"/>
      <c r="I38" s="77" t="s">
        <v>90</v>
      </c>
      <c r="J38" s="80"/>
      <c r="K38" s="81"/>
      <c r="L38" s="82"/>
      <c r="M38" s="83"/>
    </row>
    <row r="39" spans="1:13" ht="13.5" thickBot="1" x14ac:dyDescent="0.25">
      <c r="A39" s="678"/>
      <c r="B39" s="679"/>
      <c r="C39" s="680"/>
      <c r="D39" s="681"/>
      <c r="E39" s="682"/>
      <c r="F39" s="683"/>
      <c r="G39" s="66"/>
      <c r="H39" s="84"/>
      <c r="I39" s="67"/>
      <c r="J39" s="70"/>
      <c r="K39" s="67"/>
      <c r="L39" s="70"/>
      <c r="M39" s="71"/>
    </row>
  </sheetData>
  <dataConsolidate/>
  <mergeCells count="4">
    <mergeCell ref="A39:C39"/>
    <mergeCell ref="D39:F39"/>
    <mergeCell ref="B7:F7"/>
    <mergeCell ref="H7:L7"/>
  </mergeCells>
  <phoneticPr fontId="15" type="noConversion"/>
  <printOptions horizontalCentered="1" verticalCentered="1"/>
  <pageMargins left="0.39370078740157483" right="0.39370078740157483" top="0.70866141732283472" bottom="0.62992125984251968" header="0.94488188976377963" footer="0.39370078740157483"/>
  <pageSetup paperSize="9" orientation="landscape" horizontalDpi="4294967294" verticalDpi="360" r:id="rId1"/>
  <headerFooter alignWithMargins="0">
    <oddHeader>&amp;R&amp;9&amp;P
&amp;D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1"/>
  <sheetViews>
    <sheetView workbookViewId="0">
      <selection activeCell="O37" sqref="O37"/>
    </sheetView>
  </sheetViews>
  <sheetFormatPr defaultRowHeight="12.75" x14ac:dyDescent="0.2"/>
  <cols>
    <col min="10" max="10" width="14.42578125" customWidth="1"/>
    <col min="11" max="11" width="17.140625" customWidth="1"/>
    <col min="12" max="12" width="19.140625" customWidth="1"/>
    <col min="14" max="14" width="14.42578125" hidden="1" customWidth="1"/>
    <col min="15" max="15" width="17.140625" hidden="1" customWidth="1"/>
  </cols>
  <sheetData>
    <row r="1" spans="1:15" x14ac:dyDescent="0.2">
      <c r="G1" s="86" t="s">
        <v>91</v>
      </c>
      <c r="H1" s="87"/>
      <c r="I1" s="87"/>
      <c r="J1" s="87"/>
      <c r="K1" s="87"/>
      <c r="L1" s="88" t="s">
        <v>92</v>
      </c>
      <c r="N1" s="87"/>
      <c r="O1" s="87"/>
    </row>
    <row r="2" spans="1:15" ht="15" x14ac:dyDescent="0.25">
      <c r="G2" s="695" t="s">
        <v>93</v>
      </c>
      <c r="H2" s="696"/>
      <c r="I2" s="696"/>
      <c r="J2" s="696"/>
      <c r="K2" s="89"/>
      <c r="L2" s="90"/>
      <c r="O2" s="89"/>
    </row>
    <row r="3" spans="1:15" x14ac:dyDescent="0.2">
      <c r="G3" s="91" t="s">
        <v>94</v>
      </c>
      <c r="H3" s="85"/>
      <c r="I3" s="85"/>
      <c r="J3" s="85"/>
      <c r="K3" s="85"/>
      <c r="L3" s="92" t="s">
        <v>95</v>
      </c>
      <c r="N3" s="85"/>
      <c r="O3" s="85"/>
    </row>
    <row r="4" spans="1:15" ht="15.75" thickBot="1" x14ac:dyDescent="0.3">
      <c r="G4" s="697" t="s">
        <v>79</v>
      </c>
      <c r="H4" s="698"/>
      <c r="I4" s="698"/>
      <c r="J4" s="698"/>
      <c r="K4" s="699"/>
      <c r="L4" s="93">
        <v>38504</v>
      </c>
    </row>
    <row r="5" spans="1:15" ht="5.25" customHeight="1" thickBot="1" x14ac:dyDescent="0.25"/>
    <row r="6" spans="1:15" x14ac:dyDescent="0.2">
      <c r="A6" s="94" t="s">
        <v>75</v>
      </c>
      <c r="B6" s="685" t="s">
        <v>76</v>
      </c>
      <c r="C6" s="685"/>
      <c r="D6" s="685"/>
      <c r="E6" s="685"/>
      <c r="F6" s="685"/>
      <c r="G6" s="685"/>
      <c r="H6" s="685"/>
      <c r="I6" s="95" t="s">
        <v>77</v>
      </c>
      <c r="J6" s="28" t="s">
        <v>96</v>
      </c>
      <c r="K6" s="95" t="s">
        <v>97</v>
      </c>
      <c r="L6" s="30" t="s">
        <v>98</v>
      </c>
      <c r="N6" s="28" t="s">
        <v>96</v>
      </c>
      <c r="O6" s="95" t="s">
        <v>97</v>
      </c>
    </row>
    <row r="7" spans="1:15" x14ac:dyDescent="0.2">
      <c r="A7" s="96"/>
      <c r="B7" s="97"/>
      <c r="C7" s="85"/>
      <c r="D7" s="85"/>
      <c r="E7" s="85"/>
      <c r="F7" s="85"/>
      <c r="G7" s="85"/>
      <c r="H7" s="85"/>
      <c r="I7" s="98"/>
      <c r="J7" s="99"/>
      <c r="K7" s="98"/>
      <c r="L7" s="100"/>
      <c r="N7" s="99"/>
      <c r="O7" s="98"/>
    </row>
    <row r="8" spans="1:15" x14ac:dyDescent="0.2">
      <c r="A8" s="101"/>
      <c r="B8" s="102"/>
      <c r="C8" s="85"/>
      <c r="D8" s="85"/>
      <c r="E8" s="85"/>
      <c r="F8" s="85"/>
      <c r="G8" s="85"/>
      <c r="H8" s="103"/>
      <c r="I8" s="104"/>
      <c r="J8" s="105"/>
      <c r="K8" s="104"/>
      <c r="L8" s="106"/>
      <c r="N8" s="99"/>
      <c r="O8" s="85"/>
    </row>
    <row r="9" spans="1:15" ht="12.75" customHeight="1" x14ac:dyDescent="0.2">
      <c r="A9" s="107" t="s">
        <v>99</v>
      </c>
      <c r="B9" s="108" t="s">
        <v>79</v>
      </c>
      <c r="C9" s="62"/>
      <c r="D9" s="62"/>
      <c r="E9" s="62"/>
      <c r="F9" s="62"/>
      <c r="G9" s="62"/>
      <c r="H9" s="109"/>
      <c r="I9" s="110"/>
      <c r="J9" s="105"/>
      <c r="K9" s="111"/>
      <c r="L9" s="112" t="str">
        <f t="shared" ref="L9:L17" si="0">IF(K9=0," ",IF(K9=" -"," -",J9*K9))</f>
        <v xml:space="preserve"> </v>
      </c>
      <c r="N9" s="105"/>
      <c r="O9" s="111"/>
    </row>
    <row r="10" spans="1:15" x14ac:dyDescent="0.2">
      <c r="A10" s="113"/>
      <c r="B10" s="114"/>
      <c r="C10" s="62"/>
      <c r="D10" s="62"/>
      <c r="E10" s="62"/>
      <c r="F10" s="62"/>
      <c r="G10" s="62"/>
      <c r="H10" s="109"/>
      <c r="I10" s="110"/>
      <c r="J10" s="115"/>
      <c r="K10" s="111"/>
      <c r="L10" s="112" t="str">
        <f t="shared" si="0"/>
        <v xml:space="preserve"> </v>
      </c>
      <c r="N10" s="105"/>
      <c r="O10" s="111"/>
    </row>
    <row r="11" spans="1:15" x14ac:dyDescent="0.2">
      <c r="A11" s="113"/>
      <c r="B11" s="116" t="s">
        <v>100</v>
      </c>
      <c r="C11" s="62"/>
      <c r="D11" s="62"/>
      <c r="E11" s="62"/>
      <c r="F11" s="62"/>
      <c r="G11" s="62"/>
      <c r="H11" s="109"/>
      <c r="I11" s="110"/>
      <c r="J11" s="117"/>
      <c r="K11" s="111"/>
      <c r="L11" s="112" t="str">
        <f t="shared" si="0"/>
        <v xml:space="preserve"> </v>
      </c>
      <c r="N11" s="105"/>
      <c r="O11" s="111"/>
    </row>
    <row r="12" spans="1:15" x14ac:dyDescent="0.2">
      <c r="A12" s="113"/>
      <c r="B12" s="114"/>
      <c r="C12" s="62"/>
      <c r="D12" s="62"/>
      <c r="E12" s="62"/>
      <c r="F12" s="62"/>
      <c r="G12" s="62"/>
      <c r="H12" s="109"/>
      <c r="I12" s="110"/>
      <c r="J12" s="117"/>
      <c r="K12" s="111"/>
      <c r="L12" s="112" t="str">
        <f t="shared" si="0"/>
        <v xml:space="preserve"> </v>
      </c>
      <c r="N12" s="105"/>
      <c r="O12" s="111"/>
    </row>
    <row r="13" spans="1:15" x14ac:dyDescent="0.2">
      <c r="A13" s="113"/>
      <c r="B13" s="114" t="s">
        <v>101</v>
      </c>
      <c r="C13" s="62"/>
      <c r="D13" s="62"/>
      <c r="E13" s="62"/>
      <c r="F13" s="62"/>
      <c r="G13" s="62"/>
      <c r="H13" s="109"/>
      <c r="I13" s="118" t="s">
        <v>102</v>
      </c>
      <c r="J13" s="117">
        <v>886</v>
      </c>
      <c r="K13" s="119"/>
      <c r="L13" s="120" t="str">
        <f t="shared" si="0"/>
        <v xml:space="preserve"> </v>
      </c>
      <c r="N13" s="121">
        <v>886</v>
      </c>
      <c r="O13" s="119">
        <v>1.03</v>
      </c>
    </row>
    <row r="14" spans="1:15" x14ac:dyDescent="0.2">
      <c r="A14" s="113"/>
      <c r="B14" s="114" t="s">
        <v>103</v>
      </c>
      <c r="C14" s="62"/>
      <c r="D14" s="62"/>
      <c r="E14" s="62"/>
      <c r="F14" s="62"/>
      <c r="G14" s="62"/>
      <c r="H14" s="109"/>
      <c r="I14" s="118" t="s">
        <v>104</v>
      </c>
      <c r="J14" s="122">
        <f>886*0.000144</f>
        <v>0.127584</v>
      </c>
      <c r="K14" s="119">
        <v>3977.6</v>
      </c>
      <c r="L14" s="112">
        <f t="shared" si="0"/>
        <v>507.47811840000003</v>
      </c>
      <c r="N14" s="121"/>
      <c r="O14" s="119"/>
    </row>
    <row r="15" spans="1:15" x14ac:dyDescent="0.2">
      <c r="A15" s="113"/>
      <c r="B15" s="114" t="s">
        <v>105</v>
      </c>
      <c r="C15" s="62"/>
      <c r="D15" s="62"/>
      <c r="E15" s="62"/>
      <c r="F15" s="62"/>
      <c r="G15" s="62"/>
      <c r="H15" s="109"/>
      <c r="I15" s="118" t="s">
        <v>104</v>
      </c>
      <c r="J15" s="122">
        <f>886*0.000288</f>
        <v>0.25516800000000001</v>
      </c>
      <c r="K15" s="123">
        <v>648.67999999999995</v>
      </c>
      <c r="L15" s="112">
        <f t="shared" si="0"/>
        <v>165.52237823999999</v>
      </c>
      <c r="N15" s="121"/>
      <c r="O15" s="119"/>
    </row>
    <row r="16" spans="1:15" x14ac:dyDescent="0.2">
      <c r="A16" s="113"/>
      <c r="B16" s="114" t="s">
        <v>106</v>
      </c>
      <c r="C16" s="62"/>
      <c r="D16" s="62"/>
      <c r="E16" s="62"/>
      <c r="F16" s="62"/>
      <c r="G16" s="62"/>
      <c r="H16" s="109"/>
      <c r="I16" s="110" t="s">
        <v>104</v>
      </c>
      <c r="J16" s="122">
        <f>886*0.000144</f>
        <v>0.127584</v>
      </c>
      <c r="K16" s="119">
        <v>1733.16</v>
      </c>
      <c r="L16" s="112">
        <f t="shared" si="0"/>
        <v>221.12348544000002</v>
      </c>
      <c r="N16" s="105"/>
      <c r="O16" s="119"/>
    </row>
    <row r="17" spans="1:15" x14ac:dyDescent="0.2">
      <c r="A17" s="113"/>
      <c r="B17" s="114" t="s">
        <v>107</v>
      </c>
      <c r="C17" s="62"/>
      <c r="D17" s="62"/>
      <c r="E17" s="62"/>
      <c r="F17" s="62"/>
      <c r="G17" s="62"/>
      <c r="H17" s="109"/>
      <c r="I17" s="110" t="s">
        <v>104</v>
      </c>
      <c r="J17" s="122">
        <f>(886*0.000144)</f>
        <v>0.127584</v>
      </c>
      <c r="K17" s="119">
        <v>139.01</v>
      </c>
      <c r="L17" s="112">
        <f t="shared" si="0"/>
        <v>17.73545184</v>
      </c>
      <c r="N17" s="105"/>
      <c r="O17" s="119"/>
    </row>
    <row r="18" spans="1:15" x14ac:dyDescent="0.2">
      <c r="A18" s="113"/>
      <c r="B18" s="114"/>
      <c r="C18" s="62"/>
      <c r="D18" s="62"/>
      <c r="E18" s="62"/>
      <c r="F18" s="62"/>
      <c r="G18" s="62"/>
      <c r="H18" s="109"/>
      <c r="I18" s="110"/>
      <c r="J18" s="122"/>
      <c r="K18" s="119"/>
      <c r="L18" s="120"/>
      <c r="N18" s="105"/>
      <c r="O18" s="119"/>
    </row>
    <row r="19" spans="1:15" x14ac:dyDescent="0.2">
      <c r="A19" s="113"/>
      <c r="B19" s="114"/>
      <c r="C19" s="62"/>
      <c r="D19" s="62"/>
      <c r="E19" s="62"/>
      <c r="F19" s="62"/>
      <c r="G19" s="62"/>
      <c r="H19" s="109"/>
      <c r="I19" s="110"/>
      <c r="J19" s="105"/>
      <c r="K19" s="124"/>
      <c r="L19" s="125"/>
      <c r="N19" s="105"/>
      <c r="O19" s="119"/>
    </row>
    <row r="20" spans="1:15" x14ac:dyDescent="0.2">
      <c r="A20" s="113"/>
      <c r="B20" s="116" t="s">
        <v>108</v>
      </c>
      <c r="C20" s="62"/>
      <c r="D20" s="62"/>
      <c r="E20" s="62"/>
      <c r="F20" s="62"/>
      <c r="G20" s="62"/>
      <c r="H20" s="109"/>
      <c r="I20" s="110" t="s">
        <v>109</v>
      </c>
      <c r="J20" s="117">
        <v>400</v>
      </c>
      <c r="K20" s="119"/>
      <c r="L20" s="120" t="str">
        <f>IF(K20=0," ",IF(K20=" -"," -",J20*K20))</f>
        <v xml:space="preserve"> </v>
      </c>
      <c r="N20" s="105">
        <v>400</v>
      </c>
      <c r="O20" s="119">
        <v>100.01</v>
      </c>
    </row>
    <row r="21" spans="1:15" x14ac:dyDescent="0.2">
      <c r="A21" s="113"/>
      <c r="B21" s="116" t="s">
        <v>110</v>
      </c>
      <c r="C21" s="62"/>
      <c r="D21" s="62"/>
      <c r="E21" s="62"/>
      <c r="F21" s="62"/>
      <c r="G21" s="62"/>
      <c r="H21" s="109"/>
      <c r="I21" s="110" t="s">
        <v>111</v>
      </c>
      <c r="J21" s="126">
        <f>400*1.12</f>
        <v>448.00000000000006</v>
      </c>
      <c r="K21" s="119">
        <v>5.79</v>
      </c>
      <c r="L21" s="112">
        <f>IF(K21=0," ",IF(K21=" -"," -",J21*K21))</f>
        <v>2593.9200000000005</v>
      </c>
      <c r="N21" s="105"/>
      <c r="O21" s="119"/>
    </row>
    <row r="22" spans="1:15" x14ac:dyDescent="0.2">
      <c r="A22" s="113"/>
      <c r="B22" s="116" t="s">
        <v>112</v>
      </c>
      <c r="C22" s="62"/>
      <c r="D22" s="62"/>
      <c r="E22" s="62"/>
      <c r="F22" s="62"/>
      <c r="G22" s="62"/>
      <c r="H22" s="109"/>
      <c r="I22" s="110" t="s">
        <v>111</v>
      </c>
      <c r="J22" s="126">
        <f>400*13.611</f>
        <v>5444.4000000000005</v>
      </c>
      <c r="K22" s="119">
        <v>3.72</v>
      </c>
      <c r="L22" s="112">
        <f>IF(K22=0," ",IF(K22=" -"," -",J22*K22))</f>
        <v>20253.168000000001</v>
      </c>
      <c r="N22" s="105"/>
      <c r="O22" s="119"/>
    </row>
    <row r="23" spans="1:15" x14ac:dyDescent="0.2">
      <c r="A23" s="113"/>
      <c r="B23" s="114"/>
      <c r="C23" s="62"/>
      <c r="D23" s="62"/>
      <c r="E23" s="62"/>
      <c r="F23" s="62"/>
      <c r="G23" s="62"/>
      <c r="H23" s="109"/>
      <c r="I23" s="110"/>
      <c r="J23" s="127"/>
      <c r="K23" s="119"/>
      <c r="L23" s="112"/>
      <c r="N23" s="105"/>
      <c r="O23" s="119"/>
    </row>
    <row r="24" spans="1:15" x14ac:dyDescent="0.2">
      <c r="A24" s="113"/>
      <c r="B24" s="116" t="s">
        <v>113</v>
      </c>
      <c r="C24" s="62"/>
      <c r="D24" s="62"/>
      <c r="E24" s="62"/>
      <c r="F24" s="62"/>
      <c r="G24" s="62"/>
      <c r="H24" s="109"/>
      <c r="I24" s="110"/>
      <c r="J24" s="128"/>
      <c r="K24" s="119"/>
      <c r="L24" s="120"/>
      <c r="N24" s="105"/>
      <c r="O24" s="119"/>
    </row>
    <row r="25" spans="1:15" x14ac:dyDescent="0.2">
      <c r="A25" s="113"/>
      <c r="B25" s="114"/>
      <c r="C25" s="62"/>
      <c r="D25" s="62"/>
      <c r="E25" s="62"/>
      <c r="F25" s="62"/>
      <c r="G25" s="62"/>
      <c r="H25" s="109"/>
      <c r="I25" s="110"/>
      <c r="J25" s="105"/>
      <c r="K25" s="119"/>
      <c r="L25" s="112"/>
      <c r="N25" s="105"/>
      <c r="O25" s="119"/>
    </row>
    <row r="26" spans="1:15" x14ac:dyDescent="0.2">
      <c r="A26" s="113"/>
      <c r="B26" s="114" t="s">
        <v>114</v>
      </c>
      <c r="C26" s="62"/>
      <c r="D26" s="62"/>
      <c r="E26" s="62"/>
      <c r="F26" s="62"/>
      <c r="G26" s="62"/>
      <c r="H26" s="109"/>
      <c r="I26" s="110"/>
      <c r="J26" s="105"/>
      <c r="K26" s="119"/>
      <c r="L26" s="112" t="str">
        <f t="shared" ref="L26:L35" si="1">IF(K26=0," ",IF(K26=" -"," -",J26*K26))</f>
        <v xml:space="preserve"> </v>
      </c>
      <c r="N26" s="105"/>
      <c r="O26" s="119"/>
    </row>
    <row r="27" spans="1:15" x14ac:dyDescent="0.2">
      <c r="A27" s="113"/>
      <c r="B27" s="114" t="s">
        <v>115</v>
      </c>
      <c r="C27" s="62"/>
      <c r="D27" s="62"/>
      <c r="E27" s="62"/>
      <c r="F27" s="62"/>
      <c r="G27" s="62"/>
      <c r="H27" s="109"/>
      <c r="I27" s="110" t="s">
        <v>109</v>
      </c>
      <c r="J27" s="117">
        <v>250</v>
      </c>
      <c r="K27" s="119"/>
      <c r="L27" s="120" t="str">
        <f t="shared" si="1"/>
        <v xml:space="preserve"> </v>
      </c>
      <c r="N27" s="105">
        <v>16</v>
      </c>
      <c r="O27" s="119">
        <v>14.47</v>
      </c>
    </row>
    <row r="28" spans="1:15" x14ac:dyDescent="0.2">
      <c r="A28" s="113"/>
      <c r="B28" s="114" t="s">
        <v>116</v>
      </c>
      <c r="C28" s="62"/>
      <c r="D28" s="62"/>
      <c r="E28" s="62"/>
      <c r="F28" s="62"/>
      <c r="G28" s="62"/>
      <c r="H28" s="109"/>
      <c r="I28" s="110" t="s">
        <v>111</v>
      </c>
      <c r="J28" s="126">
        <f>(250*3.8898)</f>
        <v>972.45</v>
      </c>
      <c r="K28" s="119">
        <v>3.72</v>
      </c>
      <c r="L28" s="120">
        <f t="shared" si="1"/>
        <v>3617.5140000000006</v>
      </c>
      <c r="N28" s="129">
        <v>0.5</v>
      </c>
      <c r="O28" s="119">
        <v>18.04</v>
      </c>
    </row>
    <row r="29" spans="1:15" x14ac:dyDescent="0.2">
      <c r="A29" s="113"/>
      <c r="B29" s="114"/>
      <c r="C29" s="62"/>
      <c r="D29" s="62"/>
      <c r="E29" s="62"/>
      <c r="F29" s="62"/>
      <c r="G29" s="62"/>
      <c r="H29" s="109"/>
      <c r="I29" s="110"/>
      <c r="J29" s="105"/>
      <c r="K29" s="130"/>
      <c r="L29" s="112" t="str">
        <f t="shared" si="1"/>
        <v xml:space="preserve"> </v>
      </c>
      <c r="N29" s="105"/>
      <c r="O29" s="119"/>
    </row>
    <row r="30" spans="1:15" x14ac:dyDescent="0.2">
      <c r="A30" s="113"/>
      <c r="B30" s="114" t="s">
        <v>117</v>
      </c>
      <c r="C30" s="62"/>
      <c r="D30" s="62"/>
      <c r="E30" s="62"/>
      <c r="F30" s="62"/>
      <c r="G30" s="62"/>
      <c r="H30" s="109"/>
      <c r="I30" s="110"/>
      <c r="J30" s="105"/>
      <c r="K30" s="119"/>
      <c r="L30" s="112" t="str">
        <f t="shared" si="1"/>
        <v xml:space="preserve"> </v>
      </c>
      <c r="N30" s="105"/>
      <c r="O30" s="119"/>
    </row>
    <row r="31" spans="1:15" x14ac:dyDescent="0.2">
      <c r="A31" s="113"/>
      <c r="B31" s="114" t="s">
        <v>118</v>
      </c>
      <c r="C31" s="62"/>
      <c r="D31" s="62"/>
      <c r="E31" s="62"/>
      <c r="F31" s="62"/>
      <c r="G31" s="62"/>
      <c r="H31" s="109"/>
      <c r="I31" s="110" t="s">
        <v>109</v>
      </c>
      <c r="J31" s="117">
        <v>370</v>
      </c>
      <c r="K31" s="119"/>
      <c r="L31" s="120" t="str">
        <f t="shared" si="1"/>
        <v xml:space="preserve"> </v>
      </c>
      <c r="N31" s="105">
        <v>771</v>
      </c>
      <c r="O31" s="119">
        <v>18.059999999999999</v>
      </c>
    </row>
    <row r="32" spans="1:15" x14ac:dyDescent="0.2">
      <c r="A32" s="113"/>
      <c r="B32" s="114" t="s">
        <v>119</v>
      </c>
      <c r="C32" s="62"/>
      <c r="D32" s="62"/>
      <c r="E32" s="62"/>
      <c r="F32" s="62"/>
      <c r="G32" s="62"/>
      <c r="H32" s="109"/>
      <c r="I32" s="110" t="s">
        <v>111</v>
      </c>
      <c r="J32" s="126">
        <f>(370*4.85484)</f>
        <v>1796.2908</v>
      </c>
      <c r="K32" s="119">
        <v>3.72</v>
      </c>
      <c r="L32" s="120">
        <f t="shared" si="1"/>
        <v>6682.2017759999999</v>
      </c>
      <c r="N32" s="129">
        <v>0.5</v>
      </c>
      <c r="O32" s="119">
        <v>18.04</v>
      </c>
    </row>
    <row r="33" spans="1:15" x14ac:dyDescent="0.2">
      <c r="A33" s="113"/>
      <c r="B33" s="114"/>
      <c r="C33" s="62"/>
      <c r="D33" s="62"/>
      <c r="E33" s="62"/>
      <c r="F33" s="62"/>
      <c r="G33" s="62"/>
      <c r="H33" s="109"/>
      <c r="I33" s="110"/>
      <c r="J33" s="105"/>
      <c r="K33" s="131"/>
      <c r="L33" s="112" t="str">
        <f t="shared" si="1"/>
        <v xml:space="preserve"> </v>
      </c>
      <c r="N33" s="105"/>
      <c r="O33" s="119"/>
    </row>
    <row r="34" spans="1:15" x14ac:dyDescent="0.2">
      <c r="A34" s="113"/>
      <c r="B34" s="114" t="s">
        <v>120</v>
      </c>
      <c r="C34" s="62"/>
      <c r="D34" s="62"/>
      <c r="E34" s="62"/>
      <c r="F34" s="62"/>
      <c r="G34" s="62"/>
      <c r="H34" s="109"/>
      <c r="I34" s="110" t="s">
        <v>109</v>
      </c>
      <c r="J34" s="117">
        <v>16</v>
      </c>
      <c r="K34" s="119"/>
      <c r="L34" s="120" t="str">
        <f t="shared" si="1"/>
        <v xml:space="preserve"> </v>
      </c>
      <c r="N34" s="105">
        <v>11</v>
      </c>
      <c r="O34" s="119">
        <v>22.5</v>
      </c>
    </row>
    <row r="35" spans="1:15" x14ac:dyDescent="0.2">
      <c r="A35" s="113"/>
      <c r="B35" s="114" t="s">
        <v>121</v>
      </c>
      <c r="C35" s="62"/>
      <c r="D35" s="62"/>
      <c r="E35" s="62"/>
      <c r="F35" s="62"/>
      <c r="G35" s="62"/>
      <c r="H35" s="109"/>
      <c r="I35" s="110" t="s">
        <v>111</v>
      </c>
      <c r="J35" s="126">
        <f>(16*6.0484)</f>
        <v>96.7744</v>
      </c>
      <c r="K35" s="119">
        <v>3.72</v>
      </c>
      <c r="L35" s="120">
        <f t="shared" si="1"/>
        <v>360.00076799999999</v>
      </c>
      <c r="N35" s="105"/>
      <c r="O35" s="119"/>
    </row>
    <row r="36" spans="1:15" x14ac:dyDescent="0.2">
      <c r="A36" s="113"/>
      <c r="B36" s="114"/>
      <c r="C36" s="62"/>
      <c r="D36" s="62"/>
      <c r="E36" s="62"/>
      <c r="F36" s="62"/>
      <c r="G36" s="62"/>
      <c r="H36" s="109"/>
      <c r="I36" s="110"/>
      <c r="J36" s="126"/>
      <c r="K36" s="119"/>
      <c r="L36" s="120"/>
      <c r="N36" s="105"/>
      <c r="O36" s="119"/>
    </row>
    <row r="37" spans="1:15" x14ac:dyDescent="0.2">
      <c r="A37" s="113"/>
      <c r="B37" s="114"/>
      <c r="C37" s="62"/>
      <c r="D37" s="62"/>
      <c r="E37" s="62"/>
      <c r="F37" s="62"/>
      <c r="G37" s="62"/>
      <c r="H37" s="109"/>
      <c r="I37" s="110"/>
      <c r="J37" s="126"/>
      <c r="K37" s="119"/>
      <c r="L37" s="120"/>
      <c r="N37" s="105"/>
      <c r="O37" s="119"/>
    </row>
    <row r="38" spans="1:15" ht="13.5" thickBot="1" x14ac:dyDescent="0.25">
      <c r="A38" s="132"/>
      <c r="B38" s="133"/>
      <c r="C38" s="134"/>
      <c r="D38" s="134"/>
      <c r="E38" s="134"/>
      <c r="F38" s="134"/>
      <c r="G38" s="134"/>
      <c r="H38" s="135"/>
      <c r="I38" s="136"/>
      <c r="J38" s="137"/>
      <c r="K38" s="138"/>
      <c r="L38" s="139"/>
      <c r="N38" s="137"/>
      <c r="O38" s="138"/>
    </row>
    <row r="39" spans="1:15" ht="5.25" customHeight="1" thickBot="1" x14ac:dyDescent="0.25">
      <c r="A39" s="140"/>
      <c r="B39" s="140"/>
      <c r="C39" s="140"/>
      <c r="D39" s="140"/>
      <c r="E39" s="140"/>
      <c r="F39" s="140"/>
      <c r="G39" s="140"/>
      <c r="H39" s="140"/>
      <c r="I39" s="140"/>
      <c r="J39" s="141"/>
      <c r="K39" s="140"/>
      <c r="L39" s="140"/>
      <c r="N39" s="141"/>
      <c r="O39" s="140"/>
    </row>
    <row r="40" spans="1:15" x14ac:dyDescent="0.2">
      <c r="A40" s="91" t="s">
        <v>122</v>
      </c>
      <c r="B40" s="85"/>
      <c r="C40" s="85"/>
      <c r="D40" s="85"/>
      <c r="E40" s="142" t="s">
        <v>123</v>
      </c>
      <c r="F40" s="85"/>
      <c r="G40" s="85"/>
      <c r="H40" s="103"/>
      <c r="I40" s="42" t="s">
        <v>124</v>
      </c>
      <c r="J40" s="143"/>
      <c r="K40" s="142" t="s">
        <v>125</v>
      </c>
      <c r="L40" s="144"/>
      <c r="N40" s="143"/>
      <c r="O40" s="142" t="s">
        <v>125</v>
      </c>
    </row>
    <row r="41" spans="1:15" ht="13.5" customHeight="1" thickBot="1" x14ac:dyDescent="0.25">
      <c r="A41" s="689"/>
      <c r="B41" s="679"/>
      <c r="C41" s="679"/>
      <c r="D41" s="679"/>
      <c r="E41" s="690"/>
      <c r="F41" s="679"/>
      <c r="G41" s="679"/>
      <c r="H41" s="680"/>
      <c r="I41" s="145"/>
      <c r="J41" s="146"/>
      <c r="K41" s="133"/>
      <c r="L41" s="147"/>
      <c r="N41" s="146"/>
      <c r="O41" s="133"/>
    </row>
    <row r="42" spans="1:15" x14ac:dyDescent="0.2">
      <c r="A42" s="113"/>
      <c r="B42" s="114"/>
      <c r="C42" s="62"/>
      <c r="D42" s="62"/>
      <c r="E42" s="62"/>
      <c r="F42" s="62"/>
      <c r="G42" s="62"/>
      <c r="H42" s="109"/>
      <c r="I42" s="110"/>
      <c r="J42" s="105"/>
      <c r="K42" s="148"/>
      <c r="L42" s="112" t="str">
        <f t="shared" ref="L42:L49" si="2">IF(K42=0," ",IF(K42=" -"," -",J42*K42))</f>
        <v xml:space="preserve"> </v>
      </c>
      <c r="N42" s="105"/>
      <c r="O42" s="148"/>
    </row>
    <row r="43" spans="1:15" x14ac:dyDescent="0.2">
      <c r="A43" s="149"/>
      <c r="B43" s="691"/>
      <c r="C43" s="691"/>
      <c r="D43" s="691"/>
      <c r="E43" s="691"/>
      <c r="F43" s="691"/>
      <c r="G43" s="691"/>
      <c r="H43" s="700"/>
      <c r="I43" s="151"/>
      <c r="J43" s="152"/>
      <c r="K43" s="153"/>
      <c r="L43" s="112" t="str">
        <f t="shared" si="2"/>
        <v xml:space="preserve"> </v>
      </c>
      <c r="N43" s="152"/>
      <c r="O43" s="153"/>
    </row>
    <row r="44" spans="1:15" x14ac:dyDescent="0.2">
      <c r="A44" s="149"/>
      <c r="B44" s="691" t="s">
        <v>126</v>
      </c>
      <c r="C44" s="691"/>
      <c r="D44" s="691"/>
      <c r="E44" s="691"/>
      <c r="F44" s="691"/>
      <c r="G44" s="691"/>
      <c r="H44" s="700"/>
      <c r="I44" s="151"/>
      <c r="J44" s="152"/>
      <c r="K44" s="153"/>
      <c r="L44" s="112" t="str">
        <f t="shared" si="2"/>
        <v xml:space="preserve"> </v>
      </c>
      <c r="N44" s="152"/>
      <c r="O44" s="153"/>
    </row>
    <row r="45" spans="1:15" x14ac:dyDescent="0.2">
      <c r="A45" s="149"/>
      <c r="B45" t="s">
        <v>127</v>
      </c>
      <c r="I45" s="151" t="s">
        <v>109</v>
      </c>
      <c r="J45" s="154">
        <v>346</v>
      </c>
      <c r="K45" s="153"/>
      <c r="L45" s="120" t="str">
        <f t="shared" si="2"/>
        <v xml:space="preserve"> </v>
      </c>
      <c r="N45" s="155">
        <v>510</v>
      </c>
      <c r="O45" s="153">
        <v>6.2</v>
      </c>
    </row>
    <row r="46" spans="1:15" x14ac:dyDescent="0.2">
      <c r="A46" s="113"/>
      <c r="B46" s="114" t="s">
        <v>128</v>
      </c>
      <c r="H46" s="109"/>
      <c r="I46" s="110" t="s">
        <v>111</v>
      </c>
      <c r="J46" s="126">
        <f>346*1.1873</f>
        <v>410.80580000000003</v>
      </c>
      <c r="K46" s="148">
        <v>3.72</v>
      </c>
      <c r="L46" s="112">
        <f t="shared" si="2"/>
        <v>1528.1975760000003</v>
      </c>
      <c r="N46" s="155"/>
      <c r="O46" s="156"/>
    </row>
    <row r="47" spans="1:15" x14ac:dyDescent="0.2">
      <c r="A47" s="113"/>
      <c r="B47" s="114" t="s">
        <v>129</v>
      </c>
      <c r="H47" s="109"/>
      <c r="I47" s="110" t="s">
        <v>130</v>
      </c>
      <c r="J47" s="126">
        <f>346*0.004</f>
        <v>1.3840000000000001</v>
      </c>
      <c r="K47" s="148">
        <v>62.67</v>
      </c>
      <c r="L47" s="112">
        <f t="shared" si="2"/>
        <v>86.735280000000003</v>
      </c>
      <c r="N47" s="155"/>
      <c r="O47" s="156"/>
    </row>
    <row r="48" spans="1:15" x14ac:dyDescent="0.2">
      <c r="A48" s="113"/>
      <c r="B48" s="114" t="s">
        <v>131</v>
      </c>
      <c r="H48" s="109"/>
      <c r="I48" s="110" t="s">
        <v>111</v>
      </c>
      <c r="J48" s="126">
        <f>346*0.405485</f>
        <v>140.29781</v>
      </c>
      <c r="K48" s="148">
        <v>3.68</v>
      </c>
      <c r="L48" s="112">
        <f t="shared" si="2"/>
        <v>516.29594080000004</v>
      </c>
      <c r="N48" s="155"/>
      <c r="O48" s="156"/>
    </row>
    <row r="49" spans="1:15" x14ac:dyDescent="0.2">
      <c r="A49" s="113"/>
      <c r="B49" s="114" t="s">
        <v>132</v>
      </c>
      <c r="H49" s="109"/>
      <c r="I49" s="110" t="s">
        <v>111</v>
      </c>
      <c r="J49" s="126">
        <f>346*0.001</f>
        <v>0.34600000000000003</v>
      </c>
      <c r="K49" s="148">
        <v>40.380000000000003</v>
      </c>
      <c r="L49" s="112">
        <f t="shared" si="2"/>
        <v>13.971480000000001</v>
      </c>
      <c r="N49" s="155"/>
      <c r="O49" s="156"/>
    </row>
    <row r="50" spans="1:15" x14ac:dyDescent="0.2">
      <c r="A50" s="113"/>
      <c r="B50" s="114"/>
      <c r="H50" s="109"/>
      <c r="I50" s="110"/>
      <c r="J50" s="126"/>
      <c r="K50" s="148"/>
      <c r="L50" s="112"/>
      <c r="N50" s="155"/>
      <c r="O50" s="156"/>
    </row>
    <row r="51" spans="1:15" x14ac:dyDescent="0.2">
      <c r="A51" s="113"/>
      <c r="B51" s="114"/>
      <c r="H51" s="109"/>
      <c r="I51" s="110"/>
      <c r="J51" s="105"/>
      <c r="K51" s="148"/>
      <c r="L51" s="120"/>
      <c r="N51" s="155"/>
      <c r="O51" s="156"/>
    </row>
    <row r="52" spans="1:15" x14ac:dyDescent="0.2">
      <c r="A52" s="149"/>
      <c r="B52" s="157" t="s">
        <v>133</v>
      </c>
      <c r="C52" s="62"/>
      <c r="D52" s="62"/>
      <c r="I52" s="104"/>
      <c r="J52" s="104"/>
      <c r="K52" s="158"/>
      <c r="L52" s="112" t="str">
        <f>IF(K52=0," ",IF(K52=" -"," -",J52*K52))</f>
        <v xml:space="preserve"> </v>
      </c>
      <c r="N52" s="104"/>
      <c r="O52" s="159"/>
    </row>
    <row r="53" spans="1:15" x14ac:dyDescent="0.2">
      <c r="A53" s="149"/>
      <c r="I53" s="151"/>
      <c r="J53" s="160"/>
      <c r="K53" s="161"/>
      <c r="L53" s="112" t="str">
        <f>IF(K53=0," ",IF(K53=" -"," -",J53*K53))</f>
        <v xml:space="preserve"> </v>
      </c>
      <c r="N53" s="160"/>
      <c r="O53" s="162"/>
    </row>
    <row r="54" spans="1:15" x14ac:dyDescent="0.2">
      <c r="A54" s="149"/>
      <c r="B54" s="157" t="s">
        <v>134</v>
      </c>
      <c r="C54" s="62"/>
      <c r="D54" s="62"/>
      <c r="E54" s="62"/>
      <c r="F54" s="62"/>
      <c r="G54" s="62"/>
      <c r="H54" s="62"/>
      <c r="I54" s="151" t="s">
        <v>109</v>
      </c>
      <c r="J54" s="163">
        <v>385</v>
      </c>
      <c r="K54" s="164"/>
      <c r="L54" s="120" t="str">
        <f>IF(K54=0," ",IF(K54=" -"," -",J54*K54))</f>
        <v xml:space="preserve"> </v>
      </c>
      <c r="N54" s="165">
        <v>9600</v>
      </c>
      <c r="O54" s="164">
        <v>1.51</v>
      </c>
    </row>
    <row r="55" spans="1:15" x14ac:dyDescent="0.2">
      <c r="A55" s="149"/>
      <c r="B55" s="157" t="s">
        <v>135</v>
      </c>
      <c r="C55" s="62"/>
      <c r="D55" s="62"/>
      <c r="E55" s="62"/>
      <c r="F55" s="62"/>
      <c r="G55" s="62"/>
      <c r="H55" s="62"/>
      <c r="I55" s="151" t="s">
        <v>111</v>
      </c>
      <c r="J55" s="166">
        <f>385*0.009948</f>
        <v>3.8299799999999999</v>
      </c>
      <c r="K55" s="164">
        <v>3.72</v>
      </c>
      <c r="L55" s="112">
        <f>IF(K55=0," ",IF(K55=" -"," -",J55*K55))</f>
        <v>14.247525600000001</v>
      </c>
      <c r="N55" s="165"/>
      <c r="O55" s="164"/>
    </row>
    <row r="56" spans="1:15" x14ac:dyDescent="0.2">
      <c r="A56" s="149"/>
      <c r="B56" s="157" t="s">
        <v>136</v>
      </c>
      <c r="C56" s="62"/>
      <c r="D56" s="62"/>
      <c r="E56" s="62"/>
      <c r="F56" s="62"/>
      <c r="G56" s="62"/>
      <c r="H56" s="62"/>
      <c r="I56" s="151" t="s">
        <v>111</v>
      </c>
      <c r="J56" s="166">
        <f>385*0.02</f>
        <v>7.7</v>
      </c>
      <c r="K56" s="164">
        <v>73.650000000000006</v>
      </c>
      <c r="L56" s="112">
        <f>IF(K56=0," ",IF(K56=" -"," -",J56*K56))</f>
        <v>567.10500000000002</v>
      </c>
      <c r="N56" s="165"/>
      <c r="O56" s="164"/>
    </row>
    <row r="57" spans="1:15" x14ac:dyDescent="0.2">
      <c r="A57" s="149"/>
      <c r="B57" s="157"/>
      <c r="C57" s="62"/>
      <c r="D57" s="62"/>
      <c r="E57" s="62"/>
      <c r="F57" s="62"/>
      <c r="G57" s="62"/>
      <c r="H57" s="62"/>
      <c r="I57" s="151"/>
      <c r="J57" s="165"/>
      <c r="K57" s="164"/>
      <c r="L57" s="112"/>
      <c r="N57" s="165"/>
      <c r="O57" s="164"/>
    </row>
    <row r="58" spans="1:15" x14ac:dyDescent="0.2">
      <c r="A58" s="149"/>
      <c r="B58" s="157" t="s">
        <v>137</v>
      </c>
      <c r="C58" s="62"/>
      <c r="D58" s="62"/>
      <c r="E58" s="62"/>
      <c r="F58" s="62"/>
      <c r="G58" s="62"/>
      <c r="H58" s="62"/>
      <c r="I58" s="151" t="s">
        <v>109</v>
      </c>
      <c r="J58" s="163">
        <v>500</v>
      </c>
      <c r="K58" s="164"/>
      <c r="L58" s="120" t="str">
        <f>IF(K58=0," ",IF(K58=" -"," -",J58*K58))</f>
        <v xml:space="preserve"> </v>
      </c>
      <c r="N58" s="165">
        <v>1017</v>
      </c>
      <c r="O58" s="164">
        <v>0.52</v>
      </c>
    </row>
    <row r="59" spans="1:15" x14ac:dyDescent="0.2">
      <c r="A59" s="149"/>
      <c r="B59" s="157" t="s">
        <v>138</v>
      </c>
      <c r="C59" s="62"/>
      <c r="D59" s="62"/>
      <c r="E59" s="62"/>
      <c r="F59" s="62"/>
      <c r="G59" s="62"/>
      <c r="H59" s="62"/>
      <c r="I59" s="151" t="s">
        <v>111</v>
      </c>
      <c r="J59" s="166">
        <f>500*0.729144</f>
        <v>364.572</v>
      </c>
      <c r="K59" s="164">
        <v>3.72</v>
      </c>
      <c r="L59" s="112">
        <f>IF(K59=0," ",IF(K59=" -"," -",J59*K59))</f>
        <v>1356.20784</v>
      </c>
      <c r="N59" s="165"/>
      <c r="O59" s="164"/>
    </row>
    <row r="60" spans="1:15" x14ac:dyDescent="0.2">
      <c r="A60" s="149"/>
      <c r="B60" s="157" t="s">
        <v>139</v>
      </c>
      <c r="C60" s="62"/>
      <c r="D60" s="62"/>
      <c r="E60" s="62"/>
      <c r="F60" s="62"/>
      <c r="G60" s="62"/>
      <c r="H60" s="62"/>
      <c r="I60" s="151" t="s">
        <v>111</v>
      </c>
      <c r="J60" s="166">
        <f>500*0.0056</f>
        <v>2.8</v>
      </c>
      <c r="K60" s="164">
        <v>15.64</v>
      </c>
      <c r="L60" s="112">
        <f>IF(K60=0," ",IF(K60=" -"," -",J60*K60))</f>
        <v>43.792000000000002</v>
      </c>
      <c r="N60" s="165"/>
      <c r="O60" s="164"/>
    </row>
    <row r="61" spans="1:15" x14ac:dyDescent="0.2">
      <c r="A61" s="149"/>
      <c r="B61" s="157"/>
      <c r="C61" s="62"/>
      <c r="D61" s="62"/>
      <c r="E61" s="62"/>
      <c r="F61" s="62"/>
      <c r="G61" s="62"/>
      <c r="H61" s="62"/>
      <c r="I61" s="151"/>
      <c r="J61" s="165"/>
      <c r="K61" s="167"/>
      <c r="L61" s="112"/>
      <c r="N61" s="165"/>
      <c r="O61" s="164"/>
    </row>
    <row r="62" spans="1:15" x14ac:dyDescent="0.2">
      <c r="A62" s="149"/>
      <c r="B62" s="157" t="s">
        <v>140</v>
      </c>
      <c r="C62" s="62"/>
      <c r="D62" s="62"/>
      <c r="E62" s="62"/>
      <c r="F62" s="62"/>
      <c r="G62" s="62"/>
      <c r="H62" s="62"/>
      <c r="I62" s="151" t="s">
        <v>109</v>
      </c>
      <c r="J62" s="163">
        <v>500</v>
      </c>
      <c r="K62" s="164"/>
      <c r="L62" s="120" t="str">
        <f>IF(K62=0," ",IF(K62=" -"," -",J62*K62))</f>
        <v xml:space="preserve"> </v>
      </c>
      <c r="N62" s="165">
        <v>1017</v>
      </c>
      <c r="O62" s="164">
        <v>0.72</v>
      </c>
    </row>
    <row r="63" spans="1:15" x14ac:dyDescent="0.2">
      <c r="A63" s="149"/>
      <c r="B63" s="157" t="s">
        <v>141</v>
      </c>
      <c r="C63" s="62"/>
      <c r="D63" s="62"/>
      <c r="E63" s="62"/>
      <c r="F63" s="62"/>
      <c r="G63" s="62"/>
      <c r="H63" s="62"/>
      <c r="I63" s="151" t="s">
        <v>111</v>
      </c>
      <c r="J63" s="166">
        <f>500*4.551075</f>
        <v>2275.5374999999999</v>
      </c>
      <c r="K63" s="168">
        <v>3.72</v>
      </c>
      <c r="L63" s="120">
        <f>IF(K63=0," ",IF(K63=" -"," -",J63*K63))</f>
        <v>8464.9994999999999</v>
      </c>
      <c r="N63" s="165"/>
      <c r="O63" s="164"/>
    </row>
    <row r="64" spans="1:15" x14ac:dyDescent="0.2">
      <c r="A64" s="149"/>
      <c r="B64" s="157"/>
      <c r="C64" s="62"/>
      <c r="D64" s="62"/>
      <c r="E64" s="62"/>
      <c r="F64" s="62"/>
      <c r="G64" s="62"/>
      <c r="H64" s="62"/>
      <c r="I64" s="151"/>
      <c r="J64" s="166"/>
      <c r="K64" s="168"/>
      <c r="L64" s="125"/>
      <c r="N64" s="165"/>
      <c r="O64" s="164"/>
    </row>
    <row r="65" spans="1:15" x14ac:dyDescent="0.2">
      <c r="A65" s="149"/>
      <c r="B65" s="691" t="s">
        <v>142</v>
      </c>
      <c r="C65" s="692"/>
      <c r="D65" s="692"/>
      <c r="E65" s="692"/>
      <c r="F65" s="692"/>
      <c r="G65" s="692"/>
      <c r="H65" s="693"/>
      <c r="I65" s="151" t="s">
        <v>143</v>
      </c>
      <c r="J65" s="163">
        <v>5000</v>
      </c>
      <c r="K65" s="164"/>
      <c r="L65" s="120" t="str">
        <f>IF(K65=0," ",IF(K65=" -"," -",J65*K65))</f>
        <v xml:space="preserve"> </v>
      </c>
      <c r="N65" s="165">
        <v>10170</v>
      </c>
      <c r="O65" s="164">
        <v>0.78</v>
      </c>
    </row>
    <row r="66" spans="1:15" x14ac:dyDescent="0.2">
      <c r="A66" s="149"/>
      <c r="B66" s="157" t="s">
        <v>144</v>
      </c>
      <c r="C66" s="169"/>
      <c r="D66" s="169"/>
      <c r="E66" s="169"/>
      <c r="F66" s="169"/>
      <c r="G66" s="169"/>
      <c r="H66" s="170"/>
      <c r="I66" s="151" t="s">
        <v>111</v>
      </c>
      <c r="J66" s="166">
        <f>5000*0.02345862</f>
        <v>117.2931</v>
      </c>
      <c r="K66" s="164">
        <v>33.25</v>
      </c>
      <c r="L66" s="120">
        <f>IF(K66=0," ",IF(K66=" -"," -",J66*K66))</f>
        <v>3899.9955749999999</v>
      </c>
      <c r="N66" s="165"/>
      <c r="O66" s="164"/>
    </row>
    <row r="67" spans="1:15" x14ac:dyDescent="0.2">
      <c r="A67" s="149"/>
      <c r="B67" s="157"/>
      <c r="C67" s="169"/>
      <c r="D67" s="169"/>
      <c r="E67" s="169"/>
      <c r="F67" s="169"/>
      <c r="G67" s="169"/>
      <c r="H67" s="170"/>
      <c r="I67" s="151"/>
      <c r="J67" s="166"/>
      <c r="K67" s="164"/>
      <c r="L67" s="120"/>
      <c r="N67" s="165"/>
      <c r="O67" s="164"/>
    </row>
    <row r="68" spans="1:15" x14ac:dyDescent="0.2">
      <c r="A68" s="149"/>
      <c r="B68" s="150"/>
      <c r="C68" s="169"/>
      <c r="D68" s="169"/>
      <c r="E68" s="169"/>
      <c r="F68" s="169"/>
      <c r="G68" s="169"/>
      <c r="H68" s="170"/>
      <c r="I68" s="151"/>
      <c r="J68" s="171"/>
      <c r="K68" s="164"/>
      <c r="L68" s="120"/>
      <c r="N68" s="165"/>
      <c r="O68" s="164"/>
    </row>
    <row r="69" spans="1:15" x14ac:dyDescent="0.2">
      <c r="A69" s="149"/>
      <c r="B69" s="691" t="s">
        <v>145</v>
      </c>
      <c r="C69" s="692"/>
      <c r="D69" s="692"/>
      <c r="E69" s="692"/>
      <c r="F69" s="692"/>
      <c r="G69" s="692"/>
      <c r="H69" s="693"/>
      <c r="I69" s="151" t="s">
        <v>109</v>
      </c>
      <c r="J69" s="163">
        <v>500</v>
      </c>
      <c r="K69" s="153"/>
      <c r="L69" s="120" t="str">
        <f>IF(K69=0," ",IF(K69=" -"," -",J69*K69))</f>
        <v xml:space="preserve"> </v>
      </c>
      <c r="N69" s="165">
        <v>1017</v>
      </c>
      <c r="O69" s="153">
        <v>0.65</v>
      </c>
    </row>
    <row r="70" spans="1:15" x14ac:dyDescent="0.2">
      <c r="A70" s="149"/>
      <c r="B70" s="157" t="s">
        <v>146</v>
      </c>
      <c r="C70" s="169"/>
      <c r="D70" s="169"/>
      <c r="E70" s="169"/>
      <c r="F70" s="169"/>
      <c r="G70" s="169"/>
      <c r="H70" s="170"/>
      <c r="I70" s="151" t="s">
        <v>111</v>
      </c>
      <c r="J70" s="166">
        <f>500*0.0088255</f>
        <v>4.41275</v>
      </c>
      <c r="K70" s="164">
        <v>73.650000000000006</v>
      </c>
      <c r="L70" s="120">
        <f>IF(K70=0," ",IF(K70=" -"," -",J70*K70))</f>
        <v>324.99903750000004</v>
      </c>
      <c r="N70" s="165"/>
      <c r="O70" s="156"/>
    </row>
    <row r="71" spans="1:15" x14ac:dyDescent="0.2">
      <c r="A71" s="149"/>
      <c r="B71" s="150"/>
      <c r="C71" s="169"/>
      <c r="D71" s="169"/>
      <c r="E71" s="169"/>
      <c r="F71" s="169"/>
      <c r="G71" s="169"/>
      <c r="H71" s="170"/>
      <c r="I71" s="151"/>
      <c r="J71" s="163"/>
      <c r="K71" s="156"/>
      <c r="L71" s="112"/>
      <c r="N71" s="165"/>
      <c r="O71" s="156"/>
    </row>
    <row r="72" spans="1:15" x14ac:dyDescent="0.2">
      <c r="A72" s="149"/>
      <c r="B72" s="150"/>
      <c r="C72" s="169"/>
      <c r="D72" s="169"/>
      <c r="E72" s="169"/>
      <c r="F72" s="169"/>
      <c r="G72" s="169"/>
      <c r="H72" s="172"/>
      <c r="I72" s="151"/>
      <c r="J72" s="165"/>
      <c r="K72" s="156"/>
      <c r="L72" s="112" t="str">
        <f>IF(K72=0," ",IF(K72=" -"," -",J72*K72))</f>
        <v xml:space="preserve"> </v>
      </c>
      <c r="N72" s="165"/>
      <c r="O72" s="156"/>
    </row>
    <row r="73" spans="1:15" ht="13.5" thickBot="1" x14ac:dyDescent="0.25">
      <c r="A73" s="132"/>
      <c r="B73" s="133"/>
      <c r="C73" s="134"/>
      <c r="D73" s="134"/>
      <c r="E73" s="134"/>
      <c r="F73" s="134"/>
      <c r="G73" s="134"/>
      <c r="H73" s="135"/>
      <c r="I73" s="136"/>
      <c r="J73" s="137"/>
      <c r="K73" s="138"/>
      <c r="L73" s="139"/>
      <c r="N73" s="137"/>
      <c r="O73" s="138"/>
    </row>
    <row r="74" spans="1:15" ht="5.25" customHeight="1" thickBot="1" x14ac:dyDescent="0.25">
      <c r="A74" s="140"/>
      <c r="B74" s="140"/>
      <c r="C74" s="140"/>
      <c r="D74" s="140"/>
      <c r="E74" s="140"/>
      <c r="F74" s="140"/>
      <c r="G74" s="140"/>
      <c r="H74" s="140"/>
      <c r="I74" s="140"/>
      <c r="J74" s="141"/>
      <c r="K74" s="140"/>
      <c r="L74" s="140"/>
      <c r="N74" s="141"/>
      <c r="O74" s="140"/>
    </row>
    <row r="75" spans="1:15" x14ac:dyDescent="0.2">
      <c r="A75" s="91" t="s">
        <v>122</v>
      </c>
      <c r="B75" s="85"/>
      <c r="C75" s="85"/>
      <c r="D75" s="85"/>
      <c r="E75" s="142" t="s">
        <v>123</v>
      </c>
      <c r="F75" s="85"/>
      <c r="G75" s="85"/>
      <c r="H75" s="103"/>
      <c r="I75" s="42" t="s">
        <v>124</v>
      </c>
      <c r="J75" s="143"/>
      <c r="K75" s="142" t="s">
        <v>125</v>
      </c>
      <c r="L75" s="144"/>
      <c r="N75" s="143"/>
      <c r="O75" s="142" t="s">
        <v>125</v>
      </c>
    </row>
    <row r="76" spans="1:15" ht="13.5" customHeight="1" thickBot="1" x14ac:dyDescent="0.25">
      <c r="A76" s="689"/>
      <c r="B76" s="679"/>
      <c r="C76" s="679"/>
      <c r="D76" s="679"/>
      <c r="E76" s="690"/>
      <c r="F76" s="679"/>
      <c r="G76" s="679"/>
      <c r="H76" s="680"/>
      <c r="I76" s="145"/>
      <c r="J76" s="146"/>
      <c r="K76" s="133"/>
      <c r="L76" s="147"/>
      <c r="N76" s="146"/>
      <c r="O76" s="133"/>
    </row>
    <row r="77" spans="1:15" x14ac:dyDescent="0.2">
      <c r="A77" s="113"/>
      <c r="B77" s="114"/>
      <c r="C77" s="62"/>
      <c r="D77" s="62"/>
      <c r="E77" s="62"/>
      <c r="F77" s="62"/>
      <c r="G77" s="62"/>
      <c r="H77" s="109"/>
      <c r="I77" s="110"/>
      <c r="J77" s="105"/>
      <c r="K77" s="148"/>
      <c r="L77" s="112"/>
      <c r="N77" s="105"/>
      <c r="O77" s="148"/>
    </row>
    <row r="78" spans="1:15" x14ac:dyDescent="0.2">
      <c r="A78" s="113"/>
      <c r="B78" s="114"/>
      <c r="C78" s="62"/>
      <c r="D78" s="62"/>
      <c r="E78" s="62"/>
      <c r="F78" s="62"/>
      <c r="G78" s="62"/>
      <c r="H78" s="109"/>
      <c r="I78" s="110"/>
      <c r="J78" s="105"/>
      <c r="K78" s="148"/>
      <c r="L78" s="112"/>
      <c r="N78" s="105"/>
      <c r="O78" s="148"/>
    </row>
    <row r="79" spans="1:15" x14ac:dyDescent="0.2">
      <c r="A79" s="113"/>
      <c r="B79" s="114" t="s">
        <v>147</v>
      </c>
      <c r="C79" s="62"/>
      <c r="D79" s="62"/>
      <c r="E79" s="62"/>
      <c r="F79" s="62"/>
      <c r="G79" s="62"/>
      <c r="H79" s="109"/>
      <c r="I79" s="110"/>
      <c r="J79" s="105"/>
      <c r="K79" s="148"/>
      <c r="L79" s="112" t="str">
        <f t="shared" ref="L79:L84" si="3">IF(K79=0," ",IF(K79=" -"," -",J79*K79))</f>
        <v xml:space="preserve"> </v>
      </c>
      <c r="N79" s="105"/>
      <c r="O79" s="148"/>
    </row>
    <row r="80" spans="1:15" x14ac:dyDescent="0.2">
      <c r="A80" s="113"/>
      <c r="B80" s="114"/>
      <c r="C80" s="62"/>
      <c r="D80" s="62"/>
      <c r="E80" s="62"/>
      <c r="F80" s="62"/>
      <c r="G80" s="62"/>
      <c r="H80" s="109"/>
      <c r="I80" s="110"/>
      <c r="J80" s="105"/>
      <c r="K80" s="148"/>
      <c r="L80" s="112" t="str">
        <f t="shared" si="3"/>
        <v xml:space="preserve"> </v>
      </c>
      <c r="N80" s="105"/>
      <c r="O80" s="148"/>
    </row>
    <row r="81" spans="1:15" x14ac:dyDescent="0.2">
      <c r="A81" s="113"/>
      <c r="B81" s="114" t="s">
        <v>148</v>
      </c>
      <c r="C81" s="62"/>
      <c r="D81" s="62"/>
      <c r="E81" s="62"/>
      <c r="F81" s="62"/>
      <c r="G81" s="62"/>
      <c r="H81" s="109"/>
      <c r="I81" s="110"/>
      <c r="J81" s="105"/>
      <c r="K81" s="119"/>
      <c r="L81" s="112" t="str">
        <f t="shared" si="3"/>
        <v xml:space="preserve"> </v>
      </c>
      <c r="N81" s="105"/>
      <c r="O81" s="119"/>
    </row>
    <row r="82" spans="1:15" x14ac:dyDescent="0.2">
      <c r="A82" s="149"/>
      <c r="B82" s="114" t="s">
        <v>149</v>
      </c>
      <c r="C82" s="62"/>
      <c r="D82" s="62"/>
      <c r="E82" s="62"/>
      <c r="F82" s="62"/>
      <c r="G82" s="62"/>
      <c r="H82" s="109"/>
      <c r="I82" s="110" t="s">
        <v>102</v>
      </c>
      <c r="J82" s="173">
        <v>344.83</v>
      </c>
      <c r="K82" s="119"/>
      <c r="L82" s="120" t="str">
        <f t="shared" si="3"/>
        <v xml:space="preserve"> </v>
      </c>
      <c r="N82" s="105">
        <v>345</v>
      </c>
      <c r="O82" s="119">
        <v>51.8</v>
      </c>
    </row>
    <row r="83" spans="1:15" x14ac:dyDescent="0.2">
      <c r="A83" s="149"/>
      <c r="B83" s="174" t="s">
        <v>150</v>
      </c>
      <c r="C83" s="62"/>
      <c r="D83" s="62"/>
      <c r="E83" s="62"/>
      <c r="F83" s="62"/>
      <c r="G83" s="62"/>
      <c r="H83" s="109"/>
      <c r="I83" s="110" t="s">
        <v>111</v>
      </c>
      <c r="J83" s="126">
        <f>344.83*4.1553</f>
        <v>1432.8720990000002</v>
      </c>
      <c r="K83" s="119">
        <v>3.72</v>
      </c>
      <c r="L83" s="112">
        <f t="shared" si="3"/>
        <v>5330.2842082800007</v>
      </c>
      <c r="N83" s="105"/>
      <c r="O83" s="119"/>
    </row>
    <row r="84" spans="1:15" x14ac:dyDescent="0.2">
      <c r="A84" s="149"/>
      <c r="B84" s="114" t="s">
        <v>151</v>
      </c>
      <c r="C84" s="62"/>
      <c r="D84" s="62"/>
      <c r="E84" s="62"/>
      <c r="F84" s="62"/>
      <c r="G84" s="62"/>
      <c r="H84" s="109"/>
      <c r="I84" s="110" t="s">
        <v>111</v>
      </c>
      <c r="J84" s="126">
        <f>344.83*0.4321</f>
        <v>149.00104299999998</v>
      </c>
      <c r="K84" s="119">
        <v>2.37</v>
      </c>
      <c r="L84" s="112">
        <f t="shared" si="3"/>
        <v>353.13247190999999</v>
      </c>
      <c r="N84" s="105"/>
      <c r="O84" s="119"/>
    </row>
    <row r="85" spans="1:15" x14ac:dyDescent="0.2">
      <c r="A85" s="113"/>
      <c r="B85" s="114"/>
      <c r="C85" s="62"/>
      <c r="D85" s="62"/>
      <c r="E85" s="62"/>
      <c r="F85" s="62"/>
      <c r="G85" s="62"/>
      <c r="H85" s="109"/>
      <c r="I85" s="110"/>
      <c r="J85" s="126"/>
      <c r="K85" s="119"/>
      <c r="L85" s="112"/>
      <c r="N85" s="105"/>
      <c r="O85" s="119"/>
    </row>
    <row r="86" spans="1:15" x14ac:dyDescent="0.2">
      <c r="A86" s="113"/>
      <c r="B86" s="114"/>
      <c r="C86" s="62"/>
      <c r="D86" s="62"/>
      <c r="E86" s="62"/>
      <c r="F86" s="62"/>
      <c r="G86" s="62"/>
      <c r="H86" s="109"/>
      <c r="I86" s="110"/>
      <c r="J86" s="105"/>
      <c r="K86" s="119"/>
      <c r="L86" s="112"/>
      <c r="N86" s="105"/>
      <c r="O86" s="119"/>
    </row>
    <row r="87" spans="1:15" x14ac:dyDescent="0.2">
      <c r="A87" s="113"/>
      <c r="B87" s="114" t="s">
        <v>152</v>
      </c>
      <c r="C87" s="62"/>
      <c r="D87" s="62"/>
      <c r="E87" s="62"/>
      <c r="F87" s="62"/>
      <c r="G87" s="62"/>
      <c r="H87" s="109"/>
      <c r="I87" s="110"/>
      <c r="J87" s="105"/>
      <c r="K87" s="119"/>
      <c r="L87" s="120"/>
      <c r="N87" s="105"/>
      <c r="O87" s="119"/>
    </row>
    <row r="88" spans="1:15" x14ac:dyDescent="0.2">
      <c r="A88" s="113"/>
      <c r="B88" s="114"/>
      <c r="C88" s="62"/>
      <c r="D88" s="62"/>
      <c r="E88" s="62"/>
      <c r="F88" s="62"/>
      <c r="G88" s="62"/>
      <c r="H88" s="109"/>
      <c r="I88" s="110"/>
      <c r="J88" s="105"/>
      <c r="K88" s="119"/>
      <c r="L88" s="112" t="str">
        <f>IF(K88=0," ",IF(K88=" -"," -",J88*K88))</f>
        <v xml:space="preserve"> </v>
      </c>
      <c r="N88" s="105"/>
      <c r="O88" s="119"/>
    </row>
    <row r="89" spans="1:15" x14ac:dyDescent="0.2">
      <c r="A89" s="113"/>
      <c r="B89" s="114" t="s">
        <v>153</v>
      </c>
      <c r="C89" s="62"/>
      <c r="D89" s="62"/>
      <c r="E89" s="62"/>
      <c r="F89" s="62"/>
      <c r="G89" s="62"/>
      <c r="H89" s="109"/>
      <c r="I89" s="110" t="s">
        <v>154</v>
      </c>
      <c r="J89" s="173">
        <v>1009.5</v>
      </c>
      <c r="K89" s="119"/>
      <c r="L89" s="120" t="str">
        <f>IF(K89=0," ",IF(K89=" -"," -",J89*K89))</f>
        <v xml:space="preserve"> </v>
      </c>
      <c r="N89" s="105">
        <v>1002</v>
      </c>
      <c r="O89" s="119">
        <v>21.07</v>
      </c>
    </row>
    <row r="90" spans="1:15" x14ac:dyDescent="0.2">
      <c r="A90" s="113"/>
      <c r="B90" s="114" t="s">
        <v>155</v>
      </c>
      <c r="C90" s="62"/>
      <c r="D90" s="62"/>
      <c r="E90" s="62"/>
      <c r="F90" s="62"/>
      <c r="G90" s="62"/>
      <c r="H90" s="109"/>
      <c r="I90" s="110" t="s">
        <v>111</v>
      </c>
      <c r="J90" s="175">
        <f>1009.5*1.494</f>
        <v>1508.193</v>
      </c>
      <c r="K90" s="119">
        <v>5.79</v>
      </c>
      <c r="L90" s="112">
        <f>IF(K90=0," ",IF(K90=" -"," -",J90*K90))</f>
        <v>8732.4374700000008</v>
      </c>
      <c r="N90" s="105"/>
      <c r="O90" s="119"/>
    </row>
    <row r="91" spans="1:15" x14ac:dyDescent="0.2">
      <c r="A91" s="113"/>
      <c r="B91" s="114" t="s">
        <v>156</v>
      </c>
      <c r="C91" s="62"/>
      <c r="D91" s="62"/>
      <c r="E91" s="62"/>
      <c r="F91" s="62"/>
      <c r="G91" s="62"/>
      <c r="H91" s="109"/>
      <c r="I91" s="110" t="s">
        <v>111</v>
      </c>
      <c r="J91" s="175">
        <f>1009.5*1.4973</f>
        <v>1511.5243500000001</v>
      </c>
      <c r="K91" s="119">
        <v>3.72</v>
      </c>
      <c r="L91" s="112">
        <f>IF(K91=0," ",IF(K91=" -"," -",J91*K91))</f>
        <v>5622.8705820000005</v>
      </c>
      <c r="N91" s="105"/>
      <c r="O91" s="119"/>
    </row>
    <row r="92" spans="1:15" x14ac:dyDescent="0.2">
      <c r="A92" s="113"/>
      <c r="B92" s="114"/>
      <c r="C92" s="62"/>
      <c r="D92" s="62"/>
      <c r="E92" s="62"/>
      <c r="F92" s="62"/>
      <c r="G92" s="62"/>
      <c r="H92" s="109"/>
      <c r="I92" s="110"/>
      <c r="J92" s="176"/>
      <c r="K92" s="119"/>
      <c r="L92" s="112"/>
      <c r="N92" s="105"/>
      <c r="O92" s="119"/>
    </row>
    <row r="93" spans="1:15" x14ac:dyDescent="0.2">
      <c r="A93" s="113"/>
      <c r="B93" s="114" t="s">
        <v>157</v>
      </c>
      <c r="C93" s="62"/>
      <c r="D93" s="62"/>
      <c r="E93" s="62"/>
      <c r="F93" s="62"/>
      <c r="G93" s="62"/>
      <c r="H93" s="109"/>
      <c r="I93" s="110" t="s">
        <v>154</v>
      </c>
      <c r="J93" s="173">
        <v>16.86</v>
      </c>
      <c r="K93" s="119"/>
      <c r="L93" s="120" t="str">
        <f>IF(K93=0," ",IF(K93=" -"," -",J93*K93))</f>
        <v xml:space="preserve"> </v>
      </c>
      <c r="N93" s="105">
        <v>17</v>
      </c>
      <c r="O93" s="119">
        <v>34.58</v>
      </c>
    </row>
    <row r="94" spans="1:15" x14ac:dyDescent="0.2">
      <c r="A94" s="113"/>
      <c r="B94" s="114" t="s">
        <v>158</v>
      </c>
      <c r="C94" s="62"/>
      <c r="D94" s="62"/>
      <c r="E94" s="62"/>
      <c r="F94" s="62"/>
      <c r="G94" s="62"/>
      <c r="H94" s="109"/>
      <c r="I94" s="110" t="s">
        <v>111</v>
      </c>
      <c r="J94" s="175">
        <f>16.86*1.9724</f>
        <v>33.254663999999998</v>
      </c>
      <c r="K94" s="119">
        <v>5.79</v>
      </c>
      <c r="L94" s="112">
        <f>IF(K94=0," ",IF(K94=" -"," -",J94*K94))</f>
        <v>192.54450455999998</v>
      </c>
      <c r="N94" s="105"/>
      <c r="O94" s="119"/>
    </row>
    <row r="95" spans="1:15" x14ac:dyDescent="0.2">
      <c r="A95" s="113"/>
      <c r="B95" s="114" t="s">
        <v>159</v>
      </c>
      <c r="C95" s="62"/>
      <c r="D95" s="62"/>
      <c r="E95" s="62"/>
      <c r="F95" s="62"/>
      <c r="G95" s="62"/>
      <c r="H95" s="109"/>
      <c r="I95" s="110" t="s">
        <v>111</v>
      </c>
      <c r="J95" s="175">
        <f>16.86*1.9731</f>
        <v>33.266466000000001</v>
      </c>
      <c r="K95" s="119">
        <v>3.72</v>
      </c>
      <c r="L95" s="112">
        <f>IF(K95=0," ",IF(K95=" -"," -",J95*K95))</f>
        <v>123.75125352000001</v>
      </c>
      <c r="N95" s="105"/>
      <c r="O95" s="119"/>
    </row>
    <row r="96" spans="1:15" x14ac:dyDescent="0.2">
      <c r="A96" s="113"/>
      <c r="B96" s="114"/>
      <c r="C96" s="62"/>
      <c r="D96" s="62"/>
      <c r="E96" s="62"/>
      <c r="F96" s="62"/>
      <c r="G96" s="62"/>
      <c r="H96" s="109"/>
      <c r="I96" s="110"/>
      <c r="J96" s="173"/>
      <c r="K96" s="119"/>
      <c r="L96" s="112"/>
      <c r="N96" s="105"/>
      <c r="O96" s="119"/>
    </row>
    <row r="97" spans="1:15" x14ac:dyDescent="0.2">
      <c r="A97" s="113"/>
      <c r="B97" s="114" t="s">
        <v>160</v>
      </c>
      <c r="C97" s="62"/>
      <c r="D97" s="62"/>
      <c r="E97" s="62"/>
      <c r="F97" s="62"/>
      <c r="G97" s="62"/>
      <c r="H97" s="109"/>
      <c r="I97" s="110"/>
      <c r="J97" s="127"/>
      <c r="K97" s="119"/>
      <c r="L97" s="112" t="str">
        <f>IF(K97=0," ",IF(K97=" -"," -",J97*K97))</f>
        <v xml:space="preserve"> </v>
      </c>
      <c r="N97" s="105"/>
      <c r="O97" s="119"/>
    </row>
    <row r="98" spans="1:15" x14ac:dyDescent="0.2">
      <c r="A98" s="113"/>
      <c r="B98" s="114" t="s">
        <v>161</v>
      </c>
      <c r="C98" s="62"/>
      <c r="D98" s="62"/>
      <c r="E98" s="62"/>
      <c r="F98" s="62"/>
      <c r="G98" s="62"/>
      <c r="H98" s="109"/>
      <c r="I98" s="110" t="s">
        <v>154</v>
      </c>
      <c r="J98" s="173">
        <v>952.81</v>
      </c>
      <c r="K98" s="119"/>
      <c r="L98" s="120" t="str">
        <f>IF(K98=0," ",IF(K98=" -"," -",J98*K98))</f>
        <v xml:space="preserve"> </v>
      </c>
      <c r="N98" s="105">
        <v>477</v>
      </c>
      <c r="O98" s="119">
        <v>39.29</v>
      </c>
    </row>
    <row r="99" spans="1:15" x14ac:dyDescent="0.2">
      <c r="A99" s="113"/>
      <c r="B99" s="114" t="s">
        <v>162</v>
      </c>
      <c r="C99" s="62"/>
      <c r="D99" s="62"/>
      <c r="E99" s="62"/>
      <c r="F99" s="62"/>
      <c r="G99" s="62"/>
      <c r="H99" s="109"/>
      <c r="I99" s="110" t="s">
        <v>111</v>
      </c>
      <c r="J99" s="175">
        <f>952.81*1.9931</f>
        <v>1899.045611</v>
      </c>
      <c r="K99" s="119">
        <v>5.79</v>
      </c>
      <c r="L99" s="112">
        <f>IF(K99=0," ",IF(K99=" -"," -",J99*K99))</f>
        <v>10995.47408769</v>
      </c>
      <c r="N99" s="105"/>
      <c r="O99" s="119"/>
    </row>
    <row r="100" spans="1:15" x14ac:dyDescent="0.2">
      <c r="A100" s="113"/>
      <c r="B100" s="114" t="s">
        <v>163</v>
      </c>
      <c r="C100" s="62"/>
      <c r="D100" s="62"/>
      <c r="E100" s="62"/>
      <c r="F100" s="62"/>
      <c r="G100" s="62"/>
      <c r="H100" s="109"/>
      <c r="I100" s="110" t="s">
        <v>111</v>
      </c>
      <c r="J100" s="175">
        <f>952.81*1.9946</f>
        <v>1900.4748259999999</v>
      </c>
      <c r="K100" s="119">
        <v>3.72</v>
      </c>
      <c r="L100" s="112">
        <f>IF(K100=0," ",IF(K100=" -"," -",J100*K100))</f>
        <v>7069.7663527200002</v>
      </c>
      <c r="N100" s="105"/>
      <c r="O100" s="119"/>
    </row>
    <row r="101" spans="1:15" x14ac:dyDescent="0.2">
      <c r="A101" s="149"/>
      <c r="B101" s="114"/>
      <c r="C101" s="62"/>
      <c r="D101" s="62"/>
      <c r="E101" s="62"/>
      <c r="F101" s="62"/>
      <c r="G101" s="62"/>
      <c r="H101" s="109"/>
      <c r="I101" s="110"/>
      <c r="J101" s="127"/>
      <c r="K101" s="119"/>
      <c r="L101" s="112"/>
      <c r="N101" s="105"/>
      <c r="O101" s="119"/>
    </row>
    <row r="102" spans="1:15" x14ac:dyDescent="0.2">
      <c r="A102" s="149"/>
      <c r="B102" s="114"/>
      <c r="C102" s="62"/>
      <c r="D102" s="62"/>
      <c r="E102" s="62"/>
      <c r="F102" s="62"/>
      <c r="G102" s="62"/>
      <c r="H102" s="109"/>
      <c r="I102" s="110"/>
      <c r="J102" s="127"/>
      <c r="K102" s="119"/>
      <c r="L102" s="112"/>
      <c r="N102" s="105"/>
      <c r="O102" s="119"/>
    </row>
    <row r="103" spans="1:15" x14ac:dyDescent="0.2">
      <c r="A103" s="149"/>
      <c r="B103" s="116" t="s">
        <v>164</v>
      </c>
      <c r="C103" s="62"/>
      <c r="D103" s="62"/>
      <c r="E103" s="62"/>
      <c r="F103" s="62"/>
      <c r="G103" s="62"/>
      <c r="H103" s="109"/>
      <c r="I103" s="110" t="s">
        <v>165</v>
      </c>
      <c r="J103" s="173">
        <v>14188</v>
      </c>
      <c r="K103" s="119"/>
      <c r="L103" s="120" t="str">
        <f>IF(K103=0," ",IF(K103=" -"," -",J103*K103))</f>
        <v xml:space="preserve"> </v>
      </c>
      <c r="N103" s="105">
        <v>11520</v>
      </c>
      <c r="O103" s="119">
        <v>4.3</v>
      </c>
    </row>
    <row r="104" spans="1:15" x14ac:dyDescent="0.2">
      <c r="A104" s="149"/>
      <c r="B104" s="116" t="s">
        <v>166</v>
      </c>
      <c r="C104" s="62"/>
      <c r="D104" s="62"/>
      <c r="E104" s="62"/>
      <c r="F104" s="62"/>
      <c r="G104" s="62"/>
      <c r="H104" s="109"/>
      <c r="I104" s="110" t="s">
        <v>111</v>
      </c>
      <c r="J104" s="175">
        <f>14188*0.1002</f>
        <v>1421.6376</v>
      </c>
      <c r="K104" s="119">
        <v>5.79</v>
      </c>
      <c r="L104" s="112">
        <f>IF(K104=0," ",IF(K104=" -"," -",J104*K104))</f>
        <v>8231.2817040000009</v>
      </c>
      <c r="N104" s="105"/>
      <c r="O104" s="119"/>
    </row>
    <row r="105" spans="1:15" x14ac:dyDescent="0.2">
      <c r="A105" s="149"/>
      <c r="B105" s="116" t="s">
        <v>167</v>
      </c>
      <c r="C105" s="62"/>
      <c r="D105" s="62"/>
      <c r="E105" s="62"/>
      <c r="F105" s="62"/>
      <c r="G105" s="62"/>
      <c r="H105" s="109"/>
      <c r="I105" s="110" t="s">
        <v>111</v>
      </c>
      <c r="J105" s="175">
        <f>14188*0.0894</f>
        <v>1268.4071999999999</v>
      </c>
      <c r="K105" s="119">
        <v>4.3600000000000003</v>
      </c>
      <c r="L105" s="112">
        <f>IF(K105=0," ",IF(K105=" -"," -",J105*K105))</f>
        <v>5530.255392</v>
      </c>
      <c r="N105" s="105"/>
      <c r="O105" s="119"/>
    </row>
    <row r="106" spans="1:15" x14ac:dyDescent="0.2">
      <c r="A106" s="149"/>
      <c r="B106" s="116"/>
      <c r="C106" s="62"/>
      <c r="D106" s="62"/>
      <c r="E106" s="62"/>
      <c r="F106" s="62"/>
      <c r="G106" s="62"/>
      <c r="H106" s="109"/>
      <c r="I106" s="110"/>
      <c r="J106" s="175"/>
      <c r="K106" s="119"/>
      <c r="L106" s="112"/>
      <c r="N106" s="105"/>
      <c r="O106" s="119"/>
    </row>
    <row r="107" spans="1:15" x14ac:dyDescent="0.2">
      <c r="A107" s="149"/>
      <c r="B107" s="116"/>
      <c r="C107" s="62"/>
      <c r="D107" s="62"/>
      <c r="E107" s="62"/>
      <c r="F107" s="62"/>
      <c r="G107" s="62"/>
      <c r="H107" s="109"/>
      <c r="I107" s="110"/>
      <c r="J107" s="175"/>
      <c r="K107" s="119"/>
      <c r="L107" s="112"/>
      <c r="N107" s="105"/>
      <c r="O107" s="119"/>
    </row>
    <row r="108" spans="1:15" ht="13.5" thickBot="1" x14ac:dyDescent="0.25">
      <c r="A108" s="132"/>
      <c r="B108" s="133"/>
      <c r="C108" s="134"/>
      <c r="D108" s="134"/>
      <c r="E108" s="134"/>
      <c r="F108" s="134"/>
      <c r="G108" s="134"/>
      <c r="H108" s="135"/>
      <c r="I108" s="136"/>
      <c r="J108" s="137"/>
      <c r="K108" s="138"/>
      <c r="L108" s="139"/>
      <c r="N108" s="137"/>
      <c r="O108" s="138"/>
    </row>
    <row r="109" spans="1:15" ht="5.25" customHeight="1" thickBot="1" x14ac:dyDescent="0.25">
      <c r="A109" s="140"/>
      <c r="B109" s="140"/>
      <c r="C109" s="140"/>
      <c r="D109" s="140"/>
      <c r="E109" s="140"/>
      <c r="F109" s="140"/>
      <c r="G109" s="140"/>
      <c r="H109" s="140"/>
      <c r="I109" s="140"/>
      <c r="J109" s="141"/>
      <c r="K109" s="140"/>
      <c r="L109" s="140"/>
      <c r="N109" s="141"/>
      <c r="O109" s="140"/>
    </row>
    <row r="110" spans="1:15" x14ac:dyDescent="0.2">
      <c r="A110" s="91" t="s">
        <v>122</v>
      </c>
      <c r="B110" s="85"/>
      <c r="C110" s="85"/>
      <c r="D110" s="85"/>
      <c r="E110" s="142" t="s">
        <v>123</v>
      </c>
      <c r="F110" s="85"/>
      <c r="G110" s="85"/>
      <c r="H110" s="103"/>
      <c r="I110" s="42" t="s">
        <v>124</v>
      </c>
      <c r="J110" s="143"/>
      <c r="K110" s="142" t="s">
        <v>125</v>
      </c>
      <c r="L110" s="144"/>
      <c r="N110" s="143"/>
      <c r="O110" s="142" t="s">
        <v>125</v>
      </c>
    </row>
    <row r="111" spans="1:15" ht="13.5" customHeight="1" thickBot="1" x14ac:dyDescent="0.25">
      <c r="A111" s="689"/>
      <c r="B111" s="679"/>
      <c r="C111" s="679"/>
      <c r="D111" s="679"/>
      <c r="E111" s="690"/>
      <c r="F111" s="679"/>
      <c r="G111" s="679"/>
      <c r="H111" s="680"/>
      <c r="I111" s="145"/>
      <c r="J111" s="146"/>
      <c r="K111" s="133"/>
      <c r="L111" s="147"/>
      <c r="N111" s="146"/>
      <c r="O111" s="133"/>
    </row>
    <row r="112" spans="1:15" x14ac:dyDescent="0.2">
      <c r="A112" s="149"/>
      <c r="B112" s="116"/>
      <c r="C112" s="62"/>
      <c r="D112" s="62"/>
      <c r="E112" s="62"/>
      <c r="F112" s="62"/>
      <c r="G112" s="62"/>
      <c r="H112" s="109"/>
      <c r="I112" s="110"/>
      <c r="J112" s="175"/>
      <c r="K112" s="119"/>
      <c r="L112" s="112"/>
      <c r="N112" s="105"/>
      <c r="O112" s="119"/>
    </row>
    <row r="113" spans="1:15" x14ac:dyDescent="0.2">
      <c r="A113" s="149"/>
      <c r="B113" s="114" t="s">
        <v>168</v>
      </c>
      <c r="C113" s="62"/>
      <c r="D113" s="62"/>
      <c r="E113" s="62"/>
      <c r="F113" s="62"/>
      <c r="G113" s="62"/>
      <c r="H113" s="109"/>
      <c r="I113" s="110"/>
      <c r="J113" s="175"/>
      <c r="K113" s="119"/>
      <c r="L113" s="112"/>
      <c r="N113" s="105"/>
      <c r="O113" s="119"/>
    </row>
    <row r="114" spans="1:15" x14ac:dyDescent="0.2">
      <c r="A114" s="149"/>
      <c r="B114" s="114"/>
      <c r="C114" s="62"/>
      <c r="D114" s="62"/>
      <c r="E114" s="62"/>
      <c r="F114" s="62"/>
      <c r="G114" s="62"/>
      <c r="H114" s="109"/>
      <c r="I114" s="110"/>
      <c r="J114" s="175"/>
      <c r="K114" s="119"/>
      <c r="L114" s="112"/>
      <c r="N114" s="105"/>
      <c r="O114" s="119"/>
    </row>
    <row r="115" spans="1:15" x14ac:dyDescent="0.2">
      <c r="A115" s="149"/>
      <c r="B115" s="114" t="s">
        <v>169</v>
      </c>
      <c r="C115" s="62"/>
      <c r="D115" s="62"/>
      <c r="E115" s="62"/>
      <c r="F115" s="62"/>
      <c r="G115" s="62"/>
      <c r="H115" s="109"/>
      <c r="I115" s="110" t="s">
        <v>109</v>
      </c>
      <c r="J115" s="173">
        <v>193</v>
      </c>
      <c r="K115" s="119"/>
      <c r="L115" s="120" t="str">
        <f t="shared" ref="L115:L125" si="4">IF(K115=0," ",IF(K115=" -"," -",J115*K115))</f>
        <v xml:space="preserve"> </v>
      </c>
      <c r="N115" s="105">
        <v>192</v>
      </c>
      <c r="O115" s="119">
        <v>256.13</v>
      </c>
    </row>
    <row r="116" spans="1:15" x14ac:dyDescent="0.2">
      <c r="A116" s="149"/>
      <c r="B116" s="114" t="s">
        <v>170</v>
      </c>
      <c r="C116" s="62"/>
      <c r="D116" s="62"/>
      <c r="E116" s="62"/>
      <c r="F116" s="62"/>
      <c r="G116" s="62"/>
      <c r="H116" s="109"/>
      <c r="I116" s="110" t="s">
        <v>111</v>
      </c>
      <c r="J116" s="175">
        <f>193*3.4801</f>
        <v>671.65930000000003</v>
      </c>
      <c r="K116" s="119">
        <v>5.79</v>
      </c>
      <c r="L116" s="112">
        <f t="shared" si="4"/>
        <v>3888.9073470000003</v>
      </c>
      <c r="N116" s="105"/>
      <c r="O116" s="119"/>
    </row>
    <row r="117" spans="1:15" x14ac:dyDescent="0.2">
      <c r="A117" s="149"/>
      <c r="B117" s="114" t="s">
        <v>171</v>
      </c>
      <c r="C117" s="62"/>
      <c r="D117" s="62"/>
      <c r="E117" s="62"/>
      <c r="F117" s="62"/>
      <c r="G117" s="62"/>
      <c r="H117" s="109"/>
      <c r="I117" s="110" t="s">
        <v>111</v>
      </c>
      <c r="J117" s="175">
        <f>193*15.0134</f>
        <v>2897.5862000000002</v>
      </c>
      <c r="K117" s="119">
        <v>3.72</v>
      </c>
      <c r="L117" s="112">
        <f t="shared" si="4"/>
        <v>10779.020664000001</v>
      </c>
      <c r="N117" s="105"/>
      <c r="O117" s="119"/>
    </row>
    <row r="118" spans="1:15" x14ac:dyDescent="0.2">
      <c r="A118" s="149"/>
      <c r="B118" s="114" t="s">
        <v>172</v>
      </c>
      <c r="C118" s="62"/>
      <c r="D118" s="62"/>
      <c r="E118" s="62"/>
      <c r="F118" s="62"/>
      <c r="G118" s="62"/>
      <c r="H118" s="109"/>
      <c r="I118" s="110" t="s">
        <v>111</v>
      </c>
      <c r="J118" s="175">
        <f>193*2.1983</f>
        <v>424.27190000000002</v>
      </c>
      <c r="K118" s="119">
        <v>2.37</v>
      </c>
      <c r="L118" s="112">
        <f t="shared" si="4"/>
        <v>1005.5244030000001</v>
      </c>
      <c r="N118" s="105"/>
      <c r="O118" s="119"/>
    </row>
    <row r="119" spans="1:15" x14ac:dyDescent="0.2">
      <c r="A119" s="149"/>
      <c r="B119" s="114" t="s">
        <v>173</v>
      </c>
      <c r="C119" s="62"/>
      <c r="D119" s="62"/>
      <c r="E119" s="62"/>
      <c r="F119" s="62"/>
      <c r="G119" s="62"/>
      <c r="H119" s="109"/>
      <c r="I119" s="110" t="s">
        <v>111</v>
      </c>
      <c r="J119" s="175">
        <f>193*5.8868</f>
        <v>1136.1523999999999</v>
      </c>
      <c r="K119" s="119">
        <v>1.06</v>
      </c>
      <c r="L119" s="112">
        <f t="shared" si="4"/>
        <v>1204.3215439999999</v>
      </c>
      <c r="N119" s="105"/>
      <c r="O119" s="119"/>
    </row>
    <row r="120" spans="1:15" x14ac:dyDescent="0.2">
      <c r="A120" s="149"/>
      <c r="B120" s="114"/>
      <c r="C120" s="62"/>
      <c r="D120" s="62"/>
      <c r="E120" s="62"/>
      <c r="F120" s="62"/>
      <c r="G120" s="62"/>
      <c r="H120" s="109"/>
      <c r="I120" s="110"/>
      <c r="J120" s="176"/>
      <c r="K120" s="119"/>
      <c r="L120" s="112" t="str">
        <f t="shared" si="4"/>
        <v xml:space="preserve"> </v>
      </c>
      <c r="N120" s="105"/>
      <c r="O120" s="119"/>
    </row>
    <row r="121" spans="1:15" x14ac:dyDescent="0.2">
      <c r="A121" s="149"/>
      <c r="B121" s="114" t="s">
        <v>174</v>
      </c>
      <c r="C121" s="62"/>
      <c r="D121" s="62"/>
      <c r="E121" s="62"/>
      <c r="F121" s="62"/>
      <c r="G121" s="62"/>
      <c r="H121" s="109"/>
      <c r="I121" s="110" t="s">
        <v>109</v>
      </c>
      <c r="J121" s="173">
        <v>44</v>
      </c>
      <c r="K121" s="119"/>
      <c r="L121" s="120" t="str">
        <f t="shared" si="4"/>
        <v xml:space="preserve"> </v>
      </c>
      <c r="N121" s="105">
        <v>44</v>
      </c>
      <c r="O121" s="119">
        <v>324.22000000000003</v>
      </c>
    </row>
    <row r="122" spans="1:15" x14ac:dyDescent="0.2">
      <c r="A122" s="149"/>
      <c r="B122" s="114" t="s">
        <v>175</v>
      </c>
      <c r="C122" s="62"/>
      <c r="D122" s="62"/>
      <c r="E122" s="62"/>
      <c r="F122" s="62"/>
      <c r="G122" s="62"/>
      <c r="H122" s="109"/>
      <c r="I122" s="110" t="s">
        <v>111</v>
      </c>
      <c r="J122" s="175">
        <f>44*3.4801</f>
        <v>153.12440000000001</v>
      </c>
      <c r="K122" s="119">
        <v>5.79</v>
      </c>
      <c r="L122" s="112">
        <f t="shared" si="4"/>
        <v>886.59027600000002</v>
      </c>
      <c r="N122" s="105"/>
      <c r="O122" s="119"/>
    </row>
    <row r="123" spans="1:15" x14ac:dyDescent="0.2">
      <c r="A123" s="149"/>
      <c r="B123" s="114" t="s">
        <v>176</v>
      </c>
      <c r="C123" s="62"/>
      <c r="D123" s="62"/>
      <c r="E123" s="62"/>
      <c r="F123" s="62"/>
      <c r="G123" s="62"/>
      <c r="H123" s="109"/>
      <c r="I123" s="110" t="s">
        <v>111</v>
      </c>
      <c r="J123" s="175">
        <f>44*15.0134</f>
        <v>660.58960000000002</v>
      </c>
      <c r="K123" s="119">
        <v>3.72</v>
      </c>
      <c r="L123" s="112">
        <f t="shared" si="4"/>
        <v>2457.3933120000002</v>
      </c>
      <c r="N123" s="105"/>
      <c r="O123" s="119"/>
    </row>
    <row r="124" spans="1:15" x14ac:dyDescent="0.2">
      <c r="A124" s="149"/>
      <c r="B124" s="114" t="s">
        <v>177</v>
      </c>
      <c r="C124" s="62"/>
      <c r="D124" s="62"/>
      <c r="E124" s="62"/>
      <c r="F124" s="62"/>
      <c r="G124" s="62"/>
      <c r="H124" s="109"/>
      <c r="I124" s="110" t="s">
        <v>111</v>
      </c>
      <c r="J124" s="175">
        <f>44*2.1983</f>
        <v>96.725200000000001</v>
      </c>
      <c r="K124" s="119">
        <v>2.37</v>
      </c>
      <c r="L124" s="112">
        <f t="shared" si="4"/>
        <v>229.23872400000002</v>
      </c>
      <c r="N124" s="105"/>
      <c r="O124" s="119"/>
    </row>
    <row r="125" spans="1:15" x14ac:dyDescent="0.2">
      <c r="A125" s="149"/>
      <c r="B125" s="114" t="s">
        <v>178</v>
      </c>
      <c r="C125" s="62"/>
      <c r="D125" s="62"/>
      <c r="E125" s="62"/>
      <c r="F125" s="62"/>
      <c r="G125" s="62"/>
      <c r="H125" s="109"/>
      <c r="I125" s="110" t="s">
        <v>111</v>
      </c>
      <c r="J125" s="175">
        <f>44*5.8868</f>
        <v>259.01920000000001</v>
      </c>
      <c r="K125" s="119">
        <v>1.06</v>
      </c>
      <c r="L125" s="112">
        <f t="shared" si="4"/>
        <v>274.56035200000002</v>
      </c>
      <c r="N125" s="105"/>
      <c r="O125" s="119"/>
    </row>
    <row r="126" spans="1:15" x14ac:dyDescent="0.2">
      <c r="A126" s="149"/>
      <c r="B126" s="114"/>
      <c r="C126" s="62"/>
      <c r="D126" s="62"/>
      <c r="E126" s="62"/>
      <c r="F126" s="62"/>
      <c r="G126" s="62"/>
      <c r="H126" s="109"/>
      <c r="I126" s="110"/>
      <c r="J126" s="127"/>
      <c r="K126" s="119"/>
      <c r="L126" s="120"/>
      <c r="N126" s="105"/>
      <c r="O126" s="119"/>
    </row>
    <row r="127" spans="1:15" x14ac:dyDescent="0.2">
      <c r="A127" s="149"/>
      <c r="B127" s="691" t="s">
        <v>179</v>
      </c>
      <c r="C127" s="692"/>
      <c r="D127" s="692"/>
      <c r="E127" s="692"/>
      <c r="F127" s="692"/>
      <c r="G127" s="692"/>
      <c r="H127" s="693"/>
      <c r="I127" s="104"/>
      <c r="J127" s="177"/>
      <c r="K127" s="178"/>
      <c r="L127" s="120"/>
      <c r="N127" s="179"/>
      <c r="O127" s="178"/>
    </row>
    <row r="128" spans="1:15" x14ac:dyDescent="0.2">
      <c r="A128" s="149"/>
      <c r="I128" s="151"/>
      <c r="J128" s="180"/>
      <c r="K128" s="181"/>
      <c r="L128" s="112" t="str">
        <f t="shared" ref="L128:L133" si="5">IF(K128=0," ",IF(K128=" -"," -",J128*K128))</f>
        <v xml:space="preserve"> </v>
      </c>
      <c r="N128" s="182"/>
      <c r="O128" s="181"/>
    </row>
    <row r="129" spans="1:15" x14ac:dyDescent="0.2">
      <c r="A129" s="149"/>
      <c r="B129" s="691" t="s">
        <v>256</v>
      </c>
      <c r="C129" s="692"/>
      <c r="D129" s="692"/>
      <c r="E129" s="692"/>
      <c r="F129" s="692"/>
      <c r="G129" s="692"/>
      <c r="H129" s="693"/>
      <c r="I129" s="151" t="s">
        <v>154</v>
      </c>
      <c r="J129" s="183">
        <v>433</v>
      </c>
      <c r="K129" s="181"/>
      <c r="L129" s="120" t="str">
        <f t="shared" si="5"/>
        <v xml:space="preserve"> </v>
      </c>
      <c r="N129" s="182">
        <v>420</v>
      </c>
      <c r="O129" s="181">
        <v>13.77</v>
      </c>
    </row>
    <row r="130" spans="1:15" x14ac:dyDescent="0.2">
      <c r="A130" s="113"/>
      <c r="B130" s="114" t="s">
        <v>180</v>
      </c>
      <c r="C130" s="169"/>
      <c r="D130" s="169"/>
      <c r="E130" s="169"/>
      <c r="F130" s="169"/>
      <c r="G130" s="169"/>
      <c r="H130" s="109"/>
      <c r="I130" s="110" t="s">
        <v>111</v>
      </c>
      <c r="J130" s="126">
        <f>433*0.6079</f>
        <v>263.22070000000002</v>
      </c>
      <c r="K130" s="119">
        <v>5.79</v>
      </c>
      <c r="L130" s="112">
        <f t="shared" si="5"/>
        <v>1524.047853</v>
      </c>
      <c r="N130" s="182"/>
      <c r="O130" s="184"/>
    </row>
    <row r="131" spans="1:15" x14ac:dyDescent="0.2">
      <c r="A131" s="113"/>
      <c r="B131" s="114" t="s">
        <v>181</v>
      </c>
      <c r="C131" s="169"/>
      <c r="D131" s="169"/>
      <c r="E131" s="169"/>
      <c r="F131" s="169"/>
      <c r="G131" s="169"/>
      <c r="H131" s="109"/>
      <c r="I131" s="110" t="s">
        <v>111</v>
      </c>
      <c r="J131" s="126">
        <f>433*0.241</f>
        <v>104.35299999999999</v>
      </c>
      <c r="K131" s="119">
        <v>4.3600000000000003</v>
      </c>
      <c r="L131" s="112">
        <f t="shared" si="5"/>
        <v>454.97908000000001</v>
      </c>
      <c r="N131" s="182"/>
      <c r="O131" s="184"/>
    </row>
    <row r="132" spans="1:15" x14ac:dyDescent="0.2">
      <c r="A132" s="113"/>
      <c r="B132" s="114" t="s">
        <v>182</v>
      </c>
      <c r="C132" s="169"/>
      <c r="D132" s="169"/>
      <c r="E132" s="169"/>
      <c r="F132" s="169"/>
      <c r="G132" s="169"/>
      <c r="H132" s="109"/>
      <c r="I132" s="110" t="s">
        <v>111</v>
      </c>
      <c r="J132" s="126">
        <f>433*0.5376</f>
        <v>232.7808</v>
      </c>
      <c r="K132" s="119">
        <v>3.72</v>
      </c>
      <c r="L132" s="112">
        <f t="shared" si="5"/>
        <v>865.9445760000001</v>
      </c>
      <c r="N132" s="182"/>
      <c r="O132" s="184"/>
    </row>
    <row r="133" spans="1:15" x14ac:dyDescent="0.2">
      <c r="A133" s="113"/>
      <c r="B133" s="114" t="s">
        <v>183</v>
      </c>
      <c r="C133" s="169"/>
      <c r="D133" s="169"/>
      <c r="E133" s="169"/>
      <c r="F133" s="169"/>
      <c r="G133" s="169"/>
      <c r="H133" s="109"/>
      <c r="I133" s="110" t="s">
        <v>111</v>
      </c>
      <c r="J133" s="126">
        <f>433*0.0374</f>
        <v>16.194200000000002</v>
      </c>
      <c r="K133" s="119">
        <v>36.630000000000003</v>
      </c>
      <c r="L133" s="112">
        <f t="shared" si="5"/>
        <v>593.19354600000008</v>
      </c>
      <c r="N133" s="182"/>
      <c r="O133" s="184"/>
    </row>
    <row r="134" spans="1:15" x14ac:dyDescent="0.2">
      <c r="A134" s="113"/>
      <c r="B134" s="114"/>
      <c r="C134" s="62"/>
      <c r="D134" s="62"/>
      <c r="E134" s="62"/>
      <c r="F134" s="62"/>
      <c r="G134" s="62"/>
      <c r="H134" s="109"/>
      <c r="I134" s="110"/>
      <c r="J134" s="127"/>
      <c r="K134" s="119"/>
      <c r="L134" s="112"/>
      <c r="N134" s="105"/>
      <c r="O134" s="119"/>
    </row>
    <row r="135" spans="1:15" x14ac:dyDescent="0.2">
      <c r="A135" s="149"/>
      <c r="B135" s="691" t="s">
        <v>184</v>
      </c>
      <c r="C135" s="692"/>
      <c r="D135" s="692"/>
      <c r="E135" s="692"/>
      <c r="F135" s="692"/>
      <c r="G135" s="692"/>
      <c r="H135" s="693"/>
      <c r="I135" s="185"/>
      <c r="J135" s="127"/>
      <c r="K135" s="178"/>
      <c r="L135" s="120"/>
      <c r="N135" s="105"/>
      <c r="O135" s="178"/>
    </row>
    <row r="136" spans="1:15" x14ac:dyDescent="0.2">
      <c r="A136" s="113"/>
      <c r="B136" s="114"/>
      <c r="C136" s="62"/>
      <c r="D136" s="62"/>
      <c r="E136" s="62"/>
      <c r="F136" s="62"/>
      <c r="G136" s="62"/>
      <c r="H136" s="109"/>
      <c r="I136" s="110"/>
      <c r="J136" s="127"/>
      <c r="K136" s="119"/>
      <c r="L136" s="112" t="str">
        <f t="shared" ref="L136:L142" si="6">IF(K136=0," ",IF(K136=" -"," -",J136*K136))</f>
        <v xml:space="preserve"> </v>
      </c>
      <c r="N136" s="105"/>
      <c r="O136" s="119"/>
    </row>
    <row r="137" spans="1:15" x14ac:dyDescent="0.2">
      <c r="A137" s="113"/>
      <c r="B137" s="114" t="s">
        <v>185</v>
      </c>
      <c r="C137" s="62"/>
      <c r="D137" s="62"/>
      <c r="E137" s="62"/>
      <c r="F137" s="62"/>
      <c r="G137" s="62"/>
      <c r="H137" s="109"/>
      <c r="I137" s="110"/>
      <c r="J137" s="127"/>
      <c r="K137" s="119"/>
      <c r="L137" s="112" t="str">
        <f t="shared" si="6"/>
        <v xml:space="preserve"> </v>
      </c>
      <c r="N137" s="105"/>
      <c r="O137" s="119"/>
    </row>
    <row r="138" spans="1:15" x14ac:dyDescent="0.2">
      <c r="A138" s="113"/>
      <c r="B138" s="114" t="s">
        <v>186</v>
      </c>
      <c r="C138" s="62"/>
      <c r="D138" s="62"/>
      <c r="E138" s="62"/>
      <c r="F138" s="62"/>
      <c r="G138" s="62"/>
      <c r="H138" s="109"/>
      <c r="I138" s="110"/>
      <c r="J138" s="127"/>
      <c r="K138" s="119"/>
      <c r="L138" s="112" t="str">
        <f t="shared" si="6"/>
        <v xml:space="preserve"> </v>
      </c>
      <c r="N138" s="105"/>
      <c r="O138" s="119"/>
    </row>
    <row r="139" spans="1:15" x14ac:dyDescent="0.2">
      <c r="A139" s="113"/>
      <c r="B139" s="114"/>
      <c r="C139" s="62"/>
      <c r="D139" s="62"/>
      <c r="E139" s="62"/>
      <c r="F139" s="62"/>
      <c r="G139" s="62"/>
      <c r="H139" s="109"/>
      <c r="I139" s="110"/>
      <c r="J139" s="127"/>
      <c r="K139" s="119"/>
      <c r="L139" s="112" t="str">
        <f t="shared" si="6"/>
        <v xml:space="preserve"> </v>
      </c>
      <c r="N139" s="105"/>
      <c r="O139" s="119"/>
    </row>
    <row r="140" spans="1:15" x14ac:dyDescent="0.2">
      <c r="A140" s="149"/>
      <c r="B140" s="114" t="s">
        <v>187</v>
      </c>
      <c r="C140" s="62"/>
      <c r="D140" s="62"/>
      <c r="E140" s="62"/>
      <c r="F140" s="62"/>
      <c r="G140" s="62"/>
      <c r="H140" s="109"/>
      <c r="I140" s="110" t="s">
        <v>102</v>
      </c>
      <c r="J140" s="173">
        <v>574</v>
      </c>
      <c r="K140" s="119"/>
      <c r="L140" s="120" t="str">
        <f t="shared" si="6"/>
        <v xml:space="preserve"> </v>
      </c>
      <c r="N140" s="105">
        <v>557</v>
      </c>
      <c r="O140" s="119">
        <v>121.58</v>
      </c>
    </row>
    <row r="141" spans="1:15" x14ac:dyDescent="0.2">
      <c r="A141" s="149"/>
      <c r="B141" s="114" t="s">
        <v>188</v>
      </c>
      <c r="C141" s="62"/>
      <c r="D141" s="62"/>
      <c r="E141" s="62"/>
      <c r="F141" s="62"/>
      <c r="G141" s="62"/>
      <c r="H141" s="109"/>
      <c r="I141" s="110" t="s">
        <v>111</v>
      </c>
      <c r="J141" s="175">
        <f>574*0.228</f>
        <v>130.87200000000001</v>
      </c>
      <c r="K141" s="119">
        <v>5.79</v>
      </c>
      <c r="L141" s="112">
        <f t="shared" si="6"/>
        <v>757.7488800000001</v>
      </c>
      <c r="N141" s="105"/>
      <c r="O141" s="119"/>
    </row>
    <row r="142" spans="1:15" x14ac:dyDescent="0.2">
      <c r="A142" s="149"/>
      <c r="B142" s="114" t="s">
        <v>189</v>
      </c>
      <c r="C142" s="62"/>
      <c r="D142" s="62"/>
      <c r="E142" s="62"/>
      <c r="F142" s="62"/>
      <c r="G142" s="62"/>
      <c r="H142" s="109"/>
      <c r="I142" s="110" t="s">
        <v>111</v>
      </c>
      <c r="J142" s="175">
        <f>574*0.406</f>
        <v>233.04400000000001</v>
      </c>
      <c r="K142" s="119">
        <v>4.3600000000000003</v>
      </c>
      <c r="L142" s="112">
        <f t="shared" si="6"/>
        <v>1016.0718400000002</v>
      </c>
      <c r="N142" s="105"/>
      <c r="O142" s="119"/>
    </row>
    <row r="143" spans="1:15" ht="13.5" thickBot="1" x14ac:dyDescent="0.25">
      <c r="A143" s="132"/>
      <c r="B143" s="133"/>
      <c r="C143" s="134"/>
      <c r="D143" s="134"/>
      <c r="E143" s="134"/>
      <c r="F143" s="134"/>
      <c r="G143" s="134"/>
      <c r="H143" s="135"/>
      <c r="I143" s="186"/>
      <c r="J143" s="136"/>
      <c r="K143" s="187"/>
      <c r="L143" s="139"/>
      <c r="N143" s="136"/>
      <c r="O143" s="187"/>
    </row>
    <row r="144" spans="1:15" ht="5.25" customHeight="1" thickBot="1" x14ac:dyDescent="0.25">
      <c r="A144" s="140"/>
      <c r="B144" s="140"/>
      <c r="C144" s="140"/>
      <c r="D144" s="140"/>
      <c r="E144" s="140"/>
      <c r="F144" s="140"/>
      <c r="G144" s="140"/>
      <c r="H144" s="140"/>
      <c r="I144" s="140"/>
      <c r="J144" s="140"/>
      <c r="K144" s="140"/>
      <c r="L144" s="140"/>
      <c r="N144" s="140"/>
      <c r="O144" s="140"/>
    </row>
    <row r="145" spans="1:15" x14ac:dyDescent="0.2">
      <c r="A145" s="91" t="s">
        <v>122</v>
      </c>
      <c r="B145" s="85"/>
      <c r="C145" s="85"/>
      <c r="D145" s="85"/>
      <c r="E145" s="142" t="s">
        <v>123</v>
      </c>
      <c r="F145" s="85"/>
      <c r="G145" s="85"/>
      <c r="H145" s="103"/>
      <c r="I145" s="42" t="s">
        <v>124</v>
      </c>
      <c r="J145" s="85"/>
      <c r="K145" s="142" t="s">
        <v>125</v>
      </c>
      <c r="L145" s="144"/>
      <c r="N145" s="85"/>
      <c r="O145" s="142" t="s">
        <v>125</v>
      </c>
    </row>
    <row r="146" spans="1:15" ht="13.5" customHeight="1" thickBot="1" x14ac:dyDescent="0.25">
      <c r="A146" s="689"/>
      <c r="B146" s="679"/>
      <c r="C146" s="679"/>
      <c r="D146" s="679"/>
      <c r="E146" s="690"/>
      <c r="F146" s="679"/>
      <c r="G146" s="679"/>
      <c r="H146" s="680"/>
      <c r="I146" s="145"/>
      <c r="J146" s="145"/>
      <c r="K146" s="133"/>
      <c r="L146" s="147"/>
      <c r="N146" s="145"/>
      <c r="O146" s="133"/>
    </row>
    <row r="147" spans="1:15" x14ac:dyDescent="0.2">
      <c r="A147" s="149"/>
      <c r="B147" s="114"/>
      <c r="C147" s="62"/>
      <c r="D147" s="62"/>
      <c r="E147" s="62"/>
      <c r="F147" s="62"/>
      <c r="G147" s="62"/>
      <c r="H147" s="109"/>
      <c r="I147" s="110"/>
      <c r="J147" s="175"/>
      <c r="K147" s="119"/>
      <c r="L147" s="112"/>
      <c r="N147" s="105"/>
      <c r="O147" s="119"/>
    </row>
    <row r="148" spans="1:15" x14ac:dyDescent="0.2">
      <c r="A148" s="149"/>
      <c r="B148" s="114"/>
      <c r="C148" s="62"/>
      <c r="D148" s="62"/>
      <c r="E148" s="62"/>
      <c r="F148" s="62"/>
      <c r="G148" s="62"/>
      <c r="H148" s="109"/>
      <c r="I148" s="110"/>
      <c r="J148" s="176"/>
      <c r="K148" s="119"/>
      <c r="L148" s="112"/>
      <c r="N148" s="105"/>
      <c r="O148" s="119"/>
    </row>
    <row r="149" spans="1:15" x14ac:dyDescent="0.2">
      <c r="A149" s="149"/>
      <c r="B149" s="114" t="s">
        <v>190</v>
      </c>
      <c r="C149" s="62"/>
      <c r="D149" s="62"/>
      <c r="E149" s="62"/>
      <c r="F149" s="62"/>
      <c r="G149" s="62"/>
      <c r="H149" s="109"/>
      <c r="I149" s="110" t="s">
        <v>102</v>
      </c>
      <c r="J149" s="173">
        <v>329</v>
      </c>
      <c r="K149" s="119"/>
      <c r="L149" s="120" t="str">
        <f>IF(K149=0," ",IF(K149=" -"," -",J149*K149))</f>
        <v xml:space="preserve"> </v>
      </c>
      <c r="N149" s="105">
        <v>319</v>
      </c>
      <c r="O149" s="119">
        <v>147.02000000000001</v>
      </c>
    </row>
    <row r="150" spans="1:15" x14ac:dyDescent="0.2">
      <c r="A150" s="149"/>
      <c r="B150" s="114" t="s">
        <v>191</v>
      </c>
      <c r="C150" s="62"/>
      <c r="D150" s="62"/>
      <c r="E150" s="62"/>
      <c r="F150" s="62"/>
      <c r="G150" s="62"/>
      <c r="H150" s="109"/>
      <c r="I150" s="110" t="s">
        <v>111</v>
      </c>
      <c r="J150" s="175">
        <f>329*0.2453</f>
        <v>80.703699999999998</v>
      </c>
      <c r="K150" s="119">
        <v>5.79</v>
      </c>
      <c r="L150" s="112">
        <f>IF(K150=0," ",IF(K150=" -"," -",J150*K150))</f>
        <v>467.27442300000001</v>
      </c>
      <c r="N150" s="105"/>
      <c r="O150" s="119"/>
    </row>
    <row r="151" spans="1:15" x14ac:dyDescent="0.2">
      <c r="A151" s="149"/>
      <c r="B151" s="114" t="s">
        <v>192</v>
      </c>
      <c r="C151" s="62"/>
      <c r="D151" s="62"/>
      <c r="E151" s="62"/>
      <c r="F151" s="62"/>
      <c r="G151" s="62"/>
      <c r="H151" s="109"/>
      <c r="I151" s="110" t="s">
        <v>111</v>
      </c>
      <c r="J151" s="175">
        <f>329*0.4404</f>
        <v>144.89160000000001</v>
      </c>
      <c r="K151" s="119">
        <v>4.3600000000000003</v>
      </c>
      <c r="L151" s="112">
        <f>IF(K151=0," ",IF(K151=" -"," -",J151*K151))</f>
        <v>631.72737600000005</v>
      </c>
      <c r="N151" s="105"/>
      <c r="O151" s="119"/>
    </row>
    <row r="152" spans="1:15" x14ac:dyDescent="0.2">
      <c r="A152" s="149"/>
      <c r="B152" s="114"/>
      <c r="C152" s="62"/>
      <c r="D152" s="62"/>
      <c r="E152" s="62"/>
      <c r="F152" s="62"/>
      <c r="G152" s="62"/>
      <c r="H152" s="109"/>
      <c r="I152" s="110"/>
      <c r="J152" s="173"/>
      <c r="K152" s="119"/>
      <c r="L152" s="112"/>
      <c r="N152" s="105"/>
      <c r="O152" s="119"/>
    </row>
    <row r="153" spans="1:15" x14ac:dyDescent="0.2">
      <c r="A153" s="188"/>
      <c r="B153" s="102" t="s">
        <v>193</v>
      </c>
      <c r="C153" s="62"/>
      <c r="D153" s="62"/>
      <c r="E153" s="62"/>
      <c r="F153" s="62"/>
      <c r="G153" s="62"/>
      <c r="H153" s="109"/>
      <c r="I153" s="110"/>
      <c r="J153" s="105"/>
      <c r="K153" s="119"/>
      <c r="L153" s="112" t="str">
        <f>IF(K153=0," ",IF(K153=" -"," -",J153*K153))</f>
        <v xml:space="preserve"> </v>
      </c>
      <c r="N153" s="105"/>
      <c r="O153" s="119"/>
    </row>
    <row r="154" spans="1:15" x14ac:dyDescent="0.2">
      <c r="A154" s="188"/>
      <c r="B154" s="102" t="s">
        <v>194</v>
      </c>
      <c r="C154" s="62"/>
      <c r="D154" s="62"/>
      <c r="E154" s="62"/>
      <c r="F154" s="62"/>
      <c r="G154" s="62"/>
      <c r="H154" s="109"/>
      <c r="I154" s="185" t="s">
        <v>102</v>
      </c>
      <c r="J154" s="117">
        <v>10</v>
      </c>
      <c r="K154" s="189"/>
      <c r="L154" s="120" t="str">
        <f>IF(K154=0," ",IF(K154=" -"," -",J154*K154))</f>
        <v xml:space="preserve"> </v>
      </c>
      <c r="N154" s="105">
        <v>10</v>
      </c>
      <c r="O154" s="189">
        <v>138.66</v>
      </c>
    </row>
    <row r="155" spans="1:15" x14ac:dyDescent="0.2">
      <c r="A155" s="190"/>
      <c r="B155" s="102" t="s">
        <v>195</v>
      </c>
      <c r="C155" s="62"/>
      <c r="D155" s="62"/>
      <c r="E155" s="62"/>
      <c r="F155" s="62"/>
      <c r="G155" s="62"/>
      <c r="H155" s="109"/>
      <c r="I155" s="185" t="s">
        <v>111</v>
      </c>
      <c r="J155" s="175">
        <f>10*3.5472</f>
        <v>35.472000000000001</v>
      </c>
      <c r="K155" s="189">
        <v>5.79</v>
      </c>
      <c r="L155" s="112">
        <f>IF(K155=0," ",IF(K155=" -"," -",J155*K155))</f>
        <v>205.38288</v>
      </c>
      <c r="N155" s="105"/>
      <c r="O155" s="189"/>
    </row>
    <row r="156" spans="1:15" x14ac:dyDescent="0.2">
      <c r="A156" s="190"/>
      <c r="B156" s="102" t="s">
        <v>196</v>
      </c>
      <c r="C156" s="62"/>
      <c r="D156" s="62"/>
      <c r="E156" s="62"/>
      <c r="F156" s="62"/>
      <c r="G156" s="62"/>
      <c r="H156" s="109"/>
      <c r="I156" s="185" t="s">
        <v>111</v>
      </c>
      <c r="J156" s="175">
        <f>10*7.0944</f>
        <v>70.944000000000003</v>
      </c>
      <c r="K156" s="189">
        <v>4.3600000000000003</v>
      </c>
      <c r="L156" s="112">
        <f>IF(K156=0," ",IF(K156=" -"," -",J156*K156))</f>
        <v>309.31584000000004</v>
      </c>
      <c r="N156" s="105"/>
      <c r="O156" s="189"/>
    </row>
    <row r="157" spans="1:15" x14ac:dyDescent="0.2">
      <c r="A157" s="190"/>
      <c r="B157" s="102"/>
      <c r="C157" s="62"/>
      <c r="D157" s="62"/>
      <c r="E157" s="62"/>
      <c r="F157" s="62"/>
      <c r="G157" s="62"/>
      <c r="H157" s="109"/>
      <c r="I157" s="110"/>
      <c r="J157" s="175"/>
      <c r="K157" s="119"/>
      <c r="L157" s="112"/>
      <c r="N157" s="105"/>
      <c r="O157" s="119"/>
    </row>
    <row r="158" spans="1:15" x14ac:dyDescent="0.2">
      <c r="A158" s="190"/>
      <c r="B158" s="102"/>
      <c r="C158" s="62"/>
      <c r="D158" s="62"/>
      <c r="E158" s="62"/>
      <c r="F158" s="62"/>
      <c r="G158" s="62"/>
      <c r="H158" s="109"/>
      <c r="I158" s="110"/>
      <c r="J158" s="175"/>
      <c r="K158" s="119"/>
      <c r="L158" s="112"/>
      <c r="N158" s="105"/>
      <c r="O158" s="119"/>
    </row>
    <row r="159" spans="1:15" x14ac:dyDescent="0.2">
      <c r="A159" s="113"/>
      <c r="B159" s="114" t="s">
        <v>197</v>
      </c>
      <c r="C159" s="62"/>
      <c r="D159" s="62"/>
      <c r="E159" s="62"/>
      <c r="F159" s="62"/>
      <c r="G159" s="62"/>
      <c r="H159" s="109"/>
      <c r="I159" s="110"/>
      <c r="J159" s="191"/>
      <c r="K159" s="119"/>
      <c r="L159" s="112" t="str">
        <f>IF(K159=0," ",IF(K159=" -"," -",J159*K159))</f>
        <v xml:space="preserve"> </v>
      </c>
      <c r="N159" s="192"/>
      <c r="O159" s="119"/>
    </row>
    <row r="160" spans="1:15" x14ac:dyDescent="0.2">
      <c r="A160" s="113"/>
      <c r="B160" s="114"/>
      <c r="C160" s="62"/>
      <c r="D160" s="62"/>
      <c r="E160" s="62"/>
      <c r="F160" s="62"/>
      <c r="G160" s="62"/>
      <c r="H160" s="109"/>
      <c r="I160" s="110"/>
      <c r="J160" s="191"/>
      <c r="K160" s="119"/>
      <c r="L160" s="112" t="str">
        <f>IF(K160=0," ",IF(K160=" -"," -",J160*K160))</f>
        <v xml:space="preserve"> </v>
      </c>
      <c r="N160" s="192"/>
      <c r="O160" s="119"/>
    </row>
    <row r="161" spans="1:15" x14ac:dyDescent="0.2">
      <c r="A161" s="113"/>
      <c r="B161" s="114" t="s">
        <v>198</v>
      </c>
      <c r="C161" s="62"/>
      <c r="D161" s="62"/>
      <c r="E161" s="62"/>
      <c r="F161" s="62"/>
      <c r="G161" s="62"/>
      <c r="H161" s="109"/>
      <c r="I161" s="110" t="s">
        <v>199</v>
      </c>
      <c r="J161" s="117">
        <v>33</v>
      </c>
      <c r="K161" s="119"/>
      <c r="L161" s="112" t="str">
        <f>IF(K161=0," ",IF(K161=" -"," -",J161*K161))</f>
        <v xml:space="preserve"> </v>
      </c>
      <c r="N161" s="105">
        <v>33</v>
      </c>
      <c r="O161" s="119">
        <v>190.02</v>
      </c>
    </row>
    <row r="162" spans="1:15" x14ac:dyDescent="0.2">
      <c r="A162" s="113"/>
      <c r="B162" s="114" t="s">
        <v>200</v>
      </c>
      <c r="C162" s="62"/>
      <c r="D162" s="62"/>
      <c r="E162" s="62"/>
      <c r="F162" s="62"/>
      <c r="G162" s="62"/>
      <c r="H162" s="109"/>
      <c r="I162" s="110" t="s">
        <v>111</v>
      </c>
      <c r="J162" s="175">
        <f>33*0.7424</f>
        <v>24.499199999999998</v>
      </c>
      <c r="K162" s="119">
        <v>5.79</v>
      </c>
      <c r="L162" s="112">
        <f>IF(K162=0," ",IF(K162=" -"," -",J162*K162))</f>
        <v>141.850368</v>
      </c>
      <c r="N162" s="105"/>
      <c r="O162" s="119"/>
    </row>
    <row r="163" spans="1:15" x14ac:dyDescent="0.2">
      <c r="A163" s="113"/>
      <c r="B163" s="114" t="s">
        <v>201</v>
      </c>
      <c r="C163" s="62"/>
      <c r="D163" s="62"/>
      <c r="E163" s="62"/>
      <c r="F163" s="62"/>
      <c r="G163" s="62"/>
      <c r="H163" s="109"/>
      <c r="I163" s="110" t="s">
        <v>111</v>
      </c>
      <c r="J163" s="175">
        <f>33*3.71</f>
        <v>122.42999999999999</v>
      </c>
      <c r="K163" s="119">
        <v>3.72</v>
      </c>
      <c r="L163" s="112">
        <f>IF(K163=0," ",IF(K163=" -"," -",J163*K163))</f>
        <v>455.43959999999998</v>
      </c>
      <c r="N163" s="105"/>
      <c r="O163" s="119"/>
    </row>
    <row r="164" spans="1:15" x14ac:dyDescent="0.2">
      <c r="A164" s="113"/>
      <c r="B164" s="114"/>
      <c r="C164" s="62"/>
      <c r="D164" s="62"/>
      <c r="E164" s="62"/>
      <c r="F164" s="62"/>
      <c r="G164" s="62"/>
      <c r="H164" s="109"/>
      <c r="I164" s="110"/>
      <c r="J164" s="175"/>
      <c r="K164" s="119"/>
      <c r="L164" s="112"/>
      <c r="N164" s="105"/>
      <c r="O164" s="119"/>
    </row>
    <row r="165" spans="1:15" x14ac:dyDescent="0.2">
      <c r="A165" s="113"/>
      <c r="B165" s="114"/>
      <c r="C165" s="62"/>
      <c r="D165" s="62"/>
      <c r="E165" s="62"/>
      <c r="F165" s="62"/>
      <c r="G165" s="62"/>
      <c r="H165" s="109"/>
      <c r="I165" s="110"/>
      <c r="J165" s="192"/>
      <c r="K165" s="119"/>
      <c r="L165" s="112"/>
      <c r="N165" s="192"/>
      <c r="O165" s="119"/>
    </row>
    <row r="166" spans="1:15" x14ac:dyDescent="0.2">
      <c r="A166" s="113"/>
      <c r="B166" s="114"/>
      <c r="C166" s="62"/>
      <c r="D166" s="62"/>
      <c r="E166" s="62"/>
      <c r="F166" s="62"/>
      <c r="G166" s="62"/>
      <c r="H166" s="109"/>
      <c r="I166" s="110"/>
      <c r="J166" s="192"/>
      <c r="K166" s="111"/>
      <c r="L166" s="112" t="str">
        <f>IF(K166=0," ",IF(K166=" -"," -",J166*K166))</f>
        <v xml:space="preserve"> </v>
      </c>
      <c r="N166" s="192"/>
      <c r="O166" s="111"/>
    </row>
    <row r="167" spans="1:15" x14ac:dyDescent="0.2">
      <c r="A167" s="113"/>
      <c r="B167" s="694" t="s">
        <v>202</v>
      </c>
      <c r="C167" s="692"/>
      <c r="D167" s="692"/>
      <c r="E167" s="692"/>
      <c r="F167" s="692"/>
      <c r="G167" s="62"/>
      <c r="H167" s="109"/>
      <c r="I167" s="110"/>
      <c r="J167" s="192"/>
      <c r="K167" s="194"/>
      <c r="L167" s="195">
        <f>SUM(L7:L166)</f>
        <v>131565.54164350004</v>
      </c>
      <c r="N167" s="192"/>
      <c r="O167" s="194"/>
    </row>
    <row r="168" spans="1:15" x14ac:dyDescent="0.2">
      <c r="A168" s="113"/>
      <c r="B168" s="193"/>
      <c r="C168" s="169"/>
      <c r="D168" s="169"/>
      <c r="E168" s="169"/>
      <c r="F168" s="169"/>
      <c r="G168" s="62"/>
      <c r="H168" s="109"/>
      <c r="I168" s="110"/>
      <c r="J168" s="192"/>
      <c r="K168" s="194"/>
      <c r="L168" s="195"/>
      <c r="N168" s="192"/>
      <c r="O168" s="194"/>
    </row>
    <row r="169" spans="1:15" x14ac:dyDescent="0.2">
      <c r="A169" s="113"/>
      <c r="B169" s="193"/>
      <c r="C169" s="169"/>
      <c r="D169" s="169"/>
      <c r="E169" s="169"/>
      <c r="F169" s="169"/>
      <c r="G169" s="62"/>
      <c r="H169" s="109"/>
      <c r="I169" s="110"/>
      <c r="J169" s="192"/>
      <c r="K169" s="194"/>
      <c r="L169" s="195"/>
      <c r="N169" s="192"/>
      <c r="O169" s="194"/>
    </row>
    <row r="170" spans="1:15" x14ac:dyDescent="0.2">
      <c r="A170" s="113"/>
      <c r="B170" s="193"/>
      <c r="C170" s="169"/>
      <c r="D170" s="169"/>
      <c r="E170" s="169"/>
      <c r="F170" s="169"/>
      <c r="G170" s="62"/>
      <c r="H170" s="109"/>
      <c r="I170" s="110"/>
      <c r="J170" s="192"/>
      <c r="K170" s="194"/>
      <c r="L170" s="195"/>
      <c r="N170" s="192"/>
      <c r="O170" s="194"/>
    </row>
    <row r="171" spans="1:15" x14ac:dyDescent="0.2">
      <c r="A171" s="113"/>
      <c r="B171" s="193"/>
      <c r="C171" s="169"/>
      <c r="D171" s="169"/>
      <c r="E171" s="169"/>
      <c r="F171" s="169"/>
      <c r="G171" s="62"/>
      <c r="H171" s="109"/>
      <c r="I171" s="110"/>
      <c r="J171" s="192"/>
      <c r="K171" s="194"/>
      <c r="L171" s="195"/>
      <c r="N171" s="192"/>
      <c r="O171" s="194"/>
    </row>
    <row r="172" spans="1:15" x14ac:dyDescent="0.2">
      <c r="A172" s="113"/>
      <c r="B172" s="193"/>
      <c r="C172" s="169"/>
      <c r="D172" s="169"/>
      <c r="E172" s="169"/>
      <c r="F172" s="169"/>
      <c r="G172" s="62"/>
      <c r="H172" s="109"/>
      <c r="I172" s="110"/>
      <c r="J172" s="192"/>
      <c r="K172" s="194"/>
      <c r="L172" s="195"/>
      <c r="N172" s="192"/>
      <c r="O172" s="194"/>
    </row>
    <row r="173" spans="1:15" x14ac:dyDescent="0.2">
      <c r="A173" s="113"/>
      <c r="B173" s="193"/>
      <c r="C173" s="169"/>
      <c r="D173" s="169"/>
      <c r="E173" s="169"/>
      <c r="F173" s="169"/>
      <c r="G173" s="62"/>
      <c r="H173" s="109"/>
      <c r="I173" s="110"/>
      <c r="J173" s="192"/>
      <c r="K173" s="194"/>
      <c r="L173" s="195"/>
      <c r="N173" s="192"/>
      <c r="O173" s="194"/>
    </row>
    <row r="174" spans="1:15" x14ac:dyDescent="0.2">
      <c r="A174" s="113"/>
      <c r="B174" s="193"/>
      <c r="C174" s="169"/>
      <c r="D174" s="169"/>
      <c r="E174" s="169"/>
      <c r="F174" s="169"/>
      <c r="G174" s="62"/>
      <c r="H174" s="109"/>
      <c r="I174" s="110"/>
      <c r="J174" s="192"/>
      <c r="K174" s="194"/>
      <c r="L174" s="195"/>
      <c r="N174" s="192"/>
      <c r="O174" s="194"/>
    </row>
    <row r="175" spans="1:15" x14ac:dyDescent="0.2">
      <c r="A175" s="113"/>
      <c r="B175" s="193"/>
      <c r="C175" s="169"/>
      <c r="D175" s="169"/>
      <c r="E175" s="169"/>
      <c r="F175" s="169"/>
      <c r="G175" s="62"/>
      <c r="H175" s="109"/>
      <c r="I175" s="110"/>
      <c r="J175" s="192"/>
      <c r="K175" s="194"/>
      <c r="L175" s="195"/>
      <c r="N175" s="192"/>
      <c r="O175" s="194"/>
    </row>
    <row r="176" spans="1:15" x14ac:dyDescent="0.2">
      <c r="A176" s="113"/>
      <c r="B176" s="193"/>
      <c r="C176" s="169"/>
      <c r="D176" s="169"/>
      <c r="E176" s="169"/>
      <c r="F176" s="169"/>
      <c r="G176" s="62"/>
      <c r="H176" s="109"/>
      <c r="I176" s="110"/>
      <c r="J176" s="192"/>
      <c r="K176" s="194"/>
      <c r="L176" s="195"/>
      <c r="N176" s="192"/>
      <c r="O176" s="194"/>
    </row>
    <row r="177" spans="1:15" x14ac:dyDescent="0.2">
      <c r="A177" s="113"/>
      <c r="B177" s="114"/>
      <c r="C177" s="62"/>
      <c r="D177" s="62"/>
      <c r="E177" s="62"/>
      <c r="F177" s="62"/>
      <c r="G177" s="62"/>
      <c r="H177" s="109"/>
      <c r="I177" s="110"/>
      <c r="J177" s="192"/>
      <c r="K177" s="194"/>
      <c r="L177" s="196"/>
      <c r="N177" s="192"/>
      <c r="O177" s="194"/>
    </row>
    <row r="178" spans="1:15" ht="13.5" thickBot="1" x14ac:dyDescent="0.25">
      <c r="A178" s="132"/>
      <c r="B178" s="133"/>
      <c r="C178" s="134"/>
      <c r="D178" s="134"/>
      <c r="E178" s="134"/>
      <c r="F178" s="134"/>
      <c r="G178" s="134"/>
      <c r="H178" s="135"/>
      <c r="I178" s="186"/>
      <c r="J178" s="136"/>
      <c r="K178" s="187"/>
      <c r="L178" s="139"/>
      <c r="N178" s="136"/>
      <c r="O178" s="187"/>
    </row>
    <row r="179" spans="1:15" ht="5.25" customHeight="1" thickBot="1" x14ac:dyDescent="0.25">
      <c r="A179" s="140"/>
      <c r="B179" s="140"/>
      <c r="C179" s="140"/>
      <c r="D179" s="140"/>
      <c r="E179" s="140"/>
      <c r="F179" s="140"/>
      <c r="G179" s="140"/>
      <c r="H179" s="140"/>
      <c r="I179" s="140"/>
      <c r="J179" s="140"/>
      <c r="K179" s="140"/>
      <c r="L179" s="140"/>
      <c r="N179" s="140"/>
      <c r="O179" s="140"/>
    </row>
    <row r="180" spans="1:15" x14ac:dyDescent="0.2">
      <c r="A180" s="91" t="s">
        <v>122</v>
      </c>
      <c r="B180" s="85"/>
      <c r="C180" s="85"/>
      <c r="D180" s="85"/>
      <c r="E180" s="142" t="s">
        <v>123</v>
      </c>
      <c r="F180" s="85"/>
      <c r="G180" s="85"/>
      <c r="H180" s="103"/>
      <c r="I180" s="42" t="s">
        <v>124</v>
      </c>
      <c r="J180" s="85"/>
      <c r="K180" s="142" t="s">
        <v>125</v>
      </c>
      <c r="L180" s="144"/>
      <c r="N180" s="85"/>
      <c r="O180" s="142" t="s">
        <v>125</v>
      </c>
    </row>
    <row r="181" spans="1:15" ht="13.5" customHeight="1" thickBot="1" x14ac:dyDescent="0.25">
      <c r="A181" s="689"/>
      <c r="B181" s="679"/>
      <c r="C181" s="679"/>
      <c r="D181" s="679"/>
      <c r="E181" s="690"/>
      <c r="F181" s="679"/>
      <c r="G181" s="679"/>
      <c r="H181" s="680"/>
      <c r="I181" s="145"/>
      <c r="J181" s="145"/>
      <c r="K181" s="133"/>
      <c r="L181" s="147"/>
      <c r="N181" s="145"/>
      <c r="O181" s="133"/>
    </row>
  </sheetData>
  <mergeCells count="21">
    <mergeCell ref="G2:J2"/>
    <mergeCell ref="G4:K4"/>
    <mergeCell ref="B6:H6"/>
    <mergeCell ref="B44:H44"/>
    <mergeCell ref="A41:D41"/>
    <mergeCell ref="E41:H41"/>
    <mergeCell ref="B43:H43"/>
    <mergeCell ref="A181:D181"/>
    <mergeCell ref="E181:H181"/>
    <mergeCell ref="B127:H127"/>
    <mergeCell ref="B129:H129"/>
    <mergeCell ref="B135:H135"/>
    <mergeCell ref="B167:F167"/>
    <mergeCell ref="A146:D146"/>
    <mergeCell ref="E146:H146"/>
    <mergeCell ref="A111:D111"/>
    <mergeCell ref="E111:H111"/>
    <mergeCell ref="B65:H65"/>
    <mergeCell ref="B69:H69"/>
    <mergeCell ref="A76:D76"/>
    <mergeCell ref="E76:H76"/>
  </mergeCells>
  <phoneticPr fontId="15" type="noConversion"/>
  <pageMargins left="0.74" right="0.55118110236220474" top="0.86" bottom="0.39370078740157483" header="0.9" footer="0.51181102362204722"/>
  <pageSetup paperSize="9" orientation="landscape" horizontalDpi="4294967294" verticalDpi="300" r:id="rId1"/>
  <headerFooter alignWithMargins="0">
    <oddHeader>&amp;R
&amp;P     .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1"/>
  <sheetViews>
    <sheetView topLeftCell="A22" workbookViewId="0">
      <selection activeCell="O37" sqref="O37"/>
    </sheetView>
  </sheetViews>
  <sheetFormatPr defaultRowHeight="12.75" x14ac:dyDescent="0.2"/>
  <cols>
    <col min="10" max="10" width="14.42578125" customWidth="1"/>
    <col min="11" max="11" width="17.140625" customWidth="1"/>
    <col min="12" max="12" width="19.140625" customWidth="1"/>
    <col min="14" max="14" width="14.42578125" hidden="1" customWidth="1"/>
    <col min="15" max="15" width="17.140625" hidden="1" customWidth="1"/>
  </cols>
  <sheetData>
    <row r="1" spans="1:15" x14ac:dyDescent="0.2">
      <c r="G1" s="86" t="s">
        <v>91</v>
      </c>
      <c r="H1" s="87"/>
      <c r="I1" s="87"/>
      <c r="J1" s="87"/>
      <c r="K1" s="87"/>
      <c r="L1" s="88" t="s">
        <v>92</v>
      </c>
      <c r="N1" s="87"/>
      <c r="O1" s="87"/>
    </row>
    <row r="2" spans="1:15" ht="15" x14ac:dyDescent="0.25">
      <c r="G2" s="695" t="s">
        <v>93</v>
      </c>
      <c r="H2" s="696"/>
      <c r="I2" s="696"/>
      <c r="J2" s="696"/>
      <c r="K2" s="89"/>
      <c r="L2" s="90"/>
      <c r="O2" s="89"/>
    </row>
    <row r="3" spans="1:15" x14ac:dyDescent="0.2">
      <c r="G3" s="91" t="s">
        <v>94</v>
      </c>
      <c r="H3" s="85"/>
      <c r="I3" s="85"/>
      <c r="J3" s="85"/>
      <c r="K3" s="85"/>
      <c r="L3" s="92" t="s">
        <v>95</v>
      </c>
      <c r="N3" s="85"/>
      <c r="O3" s="85"/>
    </row>
    <row r="4" spans="1:15" ht="15.75" thickBot="1" x14ac:dyDescent="0.3">
      <c r="G4" s="697" t="s">
        <v>79</v>
      </c>
      <c r="H4" s="698"/>
      <c r="I4" s="698"/>
      <c r="J4" s="698"/>
      <c r="K4" s="699"/>
      <c r="L4" s="93">
        <v>38504</v>
      </c>
    </row>
    <row r="5" spans="1:15" ht="5.25" customHeight="1" thickBot="1" x14ac:dyDescent="0.25"/>
    <row r="6" spans="1:15" x14ac:dyDescent="0.2">
      <c r="A6" s="94" t="s">
        <v>75</v>
      </c>
      <c r="B6" s="685" t="s">
        <v>76</v>
      </c>
      <c r="C6" s="685"/>
      <c r="D6" s="685"/>
      <c r="E6" s="685"/>
      <c r="F6" s="685"/>
      <c r="G6" s="685"/>
      <c r="H6" s="685"/>
      <c r="I6" s="95" t="s">
        <v>77</v>
      </c>
      <c r="J6" s="28" t="s">
        <v>96</v>
      </c>
      <c r="K6" s="95" t="s">
        <v>97</v>
      </c>
      <c r="L6" s="30" t="s">
        <v>98</v>
      </c>
      <c r="N6" s="28" t="s">
        <v>96</v>
      </c>
      <c r="O6" s="95" t="s">
        <v>97</v>
      </c>
    </row>
    <row r="7" spans="1:15" x14ac:dyDescent="0.2">
      <c r="A7" s="96"/>
      <c r="B7" s="97"/>
      <c r="C7" s="85"/>
      <c r="D7" s="85"/>
      <c r="E7" s="85"/>
      <c r="F7" s="85"/>
      <c r="G7" s="85"/>
      <c r="H7" s="85"/>
      <c r="I7" s="98"/>
      <c r="J7" s="99"/>
      <c r="K7" s="98"/>
      <c r="L7" s="100"/>
      <c r="N7" s="99"/>
      <c r="O7" s="98"/>
    </row>
    <row r="8" spans="1:15" ht="12.75" customHeight="1" x14ac:dyDescent="0.2">
      <c r="A8" s="107" t="s">
        <v>203</v>
      </c>
      <c r="B8" s="108" t="s">
        <v>79</v>
      </c>
      <c r="C8" s="62"/>
      <c r="D8" s="62"/>
      <c r="E8" s="62"/>
      <c r="F8" s="62"/>
      <c r="G8" s="62"/>
      <c r="H8" s="109"/>
      <c r="I8" s="110"/>
      <c r="J8" s="105"/>
      <c r="K8" s="111"/>
      <c r="L8" s="112" t="str">
        <f>IF(K8=0," ",IF(K8=" -"," -",J8*K8))</f>
        <v xml:space="preserve"> </v>
      </c>
      <c r="N8" s="105"/>
      <c r="O8" s="111"/>
    </row>
    <row r="9" spans="1:15" x14ac:dyDescent="0.2">
      <c r="A9" s="113"/>
      <c r="B9" s="114"/>
      <c r="C9" s="62"/>
      <c r="D9" s="62"/>
      <c r="E9" s="62"/>
      <c r="F9" s="62"/>
      <c r="G9" s="62"/>
      <c r="H9" s="109"/>
      <c r="I9" s="110"/>
      <c r="J9" s="115"/>
      <c r="K9" s="111"/>
      <c r="L9" s="112" t="str">
        <f>IF(K9=0," ",IF(K9=" -"," -",J9*K9))</f>
        <v xml:space="preserve"> </v>
      </c>
      <c r="N9" s="105"/>
      <c r="O9" s="111"/>
    </row>
    <row r="10" spans="1:15" x14ac:dyDescent="0.2">
      <c r="A10" s="113"/>
      <c r="B10" s="116" t="s">
        <v>100</v>
      </c>
      <c r="C10" s="62"/>
      <c r="D10" s="62"/>
      <c r="E10" s="62"/>
      <c r="F10" s="62"/>
      <c r="G10" s="62"/>
      <c r="H10" s="109"/>
      <c r="I10" s="110"/>
      <c r="J10" s="105"/>
      <c r="K10" s="111"/>
      <c r="L10" s="112" t="str">
        <f>IF(K10=0," ",IF(K10=" -"," -",J10*K10))</f>
        <v xml:space="preserve"> </v>
      </c>
      <c r="N10" s="105"/>
      <c r="O10" s="111"/>
    </row>
    <row r="11" spans="1:15" x14ac:dyDescent="0.2">
      <c r="A11" s="113"/>
      <c r="B11" s="114"/>
      <c r="C11" s="62"/>
      <c r="D11" s="62"/>
      <c r="E11" s="62"/>
      <c r="F11" s="62"/>
      <c r="G11" s="62"/>
      <c r="H11" s="109"/>
      <c r="I11" s="110"/>
      <c r="J11" s="105"/>
      <c r="K11" s="111"/>
      <c r="L11" s="112" t="str">
        <f>IF(K11=0," ",IF(K11=" -"," -",J11*K11))</f>
        <v xml:space="preserve"> </v>
      </c>
      <c r="N11" s="105"/>
      <c r="O11" s="111"/>
    </row>
    <row r="12" spans="1:15" x14ac:dyDescent="0.2">
      <c r="A12" s="113"/>
      <c r="B12" s="114" t="s">
        <v>101</v>
      </c>
      <c r="C12" s="62"/>
      <c r="D12" s="62"/>
      <c r="E12" s="62"/>
      <c r="F12" s="62"/>
      <c r="G12" s="62"/>
      <c r="H12" s="109"/>
      <c r="I12" s="118" t="s">
        <v>102</v>
      </c>
      <c r="J12" s="197">
        <v>886</v>
      </c>
      <c r="K12" s="119"/>
      <c r="L12" s="112" t="str">
        <f>IF(K12=0," ",IF(K12=" -"," -",J12*K12))</f>
        <v xml:space="preserve"> </v>
      </c>
      <c r="N12" s="121">
        <v>886</v>
      </c>
      <c r="O12" s="119">
        <v>1.03</v>
      </c>
    </row>
    <row r="13" spans="1:15" x14ac:dyDescent="0.2">
      <c r="A13" s="113"/>
      <c r="B13" s="114" t="s">
        <v>206</v>
      </c>
      <c r="C13" s="62"/>
      <c r="D13" s="62"/>
      <c r="E13" s="62"/>
      <c r="F13" s="62"/>
      <c r="G13" s="62"/>
      <c r="H13" s="109"/>
      <c r="I13" s="118"/>
      <c r="J13" s="197"/>
      <c r="K13" s="119"/>
      <c r="L13" s="112"/>
      <c r="N13" s="121"/>
      <c r="O13" s="119"/>
    </row>
    <row r="14" spans="1:15" x14ac:dyDescent="0.2">
      <c r="A14" s="113"/>
      <c r="B14" s="114"/>
      <c r="C14" s="62"/>
      <c r="D14" s="62"/>
      <c r="E14" s="62"/>
      <c r="F14" s="62"/>
      <c r="G14" s="62"/>
      <c r="H14" s="109"/>
      <c r="I14" s="110"/>
      <c r="J14" s="105"/>
      <c r="K14" s="119"/>
      <c r="L14" s="112" t="str">
        <f>IF(K14=0," ",IF(K14=" -"," -",J14*K14))</f>
        <v xml:space="preserve"> </v>
      </c>
      <c r="N14" s="105"/>
      <c r="O14" s="119"/>
    </row>
    <row r="15" spans="1:15" x14ac:dyDescent="0.2">
      <c r="A15" s="113"/>
      <c r="B15" s="116" t="s">
        <v>108</v>
      </c>
      <c r="C15" s="62"/>
      <c r="D15" s="62"/>
      <c r="E15" s="62"/>
      <c r="F15" s="62"/>
      <c r="G15" s="62"/>
      <c r="H15" s="109"/>
      <c r="I15" s="110" t="s">
        <v>109</v>
      </c>
      <c r="J15" s="117">
        <v>400</v>
      </c>
      <c r="K15" s="119"/>
      <c r="L15" s="112"/>
      <c r="N15" s="105">
        <v>400</v>
      </c>
      <c r="O15" s="119">
        <v>100.01</v>
      </c>
    </row>
    <row r="16" spans="1:15" x14ac:dyDescent="0.2">
      <c r="A16" s="113"/>
      <c r="B16" s="116" t="s">
        <v>207</v>
      </c>
      <c r="C16" s="62"/>
      <c r="D16" s="62"/>
      <c r="E16" s="62"/>
      <c r="F16" s="62"/>
      <c r="G16" s="62"/>
      <c r="H16" s="109"/>
      <c r="I16" s="110" t="s">
        <v>130</v>
      </c>
      <c r="J16" s="127">
        <f>400*36</f>
        <v>14400</v>
      </c>
      <c r="K16" s="119">
        <v>0.57999999999999996</v>
      </c>
      <c r="L16" s="112">
        <f>IF(K16=0," ",IF(K16=" -"," -",J16*K16))</f>
        <v>8352</v>
      </c>
      <c r="N16" s="105"/>
      <c r="O16" s="119"/>
    </row>
    <row r="17" spans="1:15" x14ac:dyDescent="0.2">
      <c r="A17" s="113"/>
      <c r="B17" s="116" t="s">
        <v>208</v>
      </c>
      <c r="C17" s="62"/>
      <c r="D17" s="62"/>
      <c r="E17" s="62"/>
      <c r="F17" s="62"/>
      <c r="G17" s="62"/>
      <c r="H17" s="109"/>
      <c r="I17" s="110" t="s">
        <v>209</v>
      </c>
      <c r="J17" s="127">
        <f>400*1.42</f>
        <v>568</v>
      </c>
      <c r="K17" s="119">
        <v>15.5</v>
      </c>
      <c r="L17" s="112">
        <f>IF(K17=0," ",IF(K17=" -"," -",J17*K17))</f>
        <v>8804</v>
      </c>
      <c r="N17" s="105"/>
      <c r="O17" s="119"/>
    </row>
    <row r="18" spans="1:15" x14ac:dyDescent="0.2">
      <c r="A18" s="113"/>
      <c r="B18" s="116"/>
      <c r="C18" s="62"/>
      <c r="D18" s="62"/>
      <c r="E18" s="62"/>
      <c r="F18" s="62"/>
      <c r="G18" s="62"/>
      <c r="H18" s="109"/>
      <c r="I18" s="110"/>
      <c r="J18" s="105"/>
      <c r="K18" s="119"/>
      <c r="L18" s="112"/>
      <c r="N18" s="105"/>
      <c r="O18" s="119"/>
    </row>
    <row r="19" spans="1:15" x14ac:dyDescent="0.2">
      <c r="A19" s="113"/>
      <c r="B19" s="116" t="s">
        <v>113</v>
      </c>
      <c r="C19" s="62"/>
      <c r="D19" s="62"/>
      <c r="E19" s="62"/>
      <c r="F19" s="62"/>
      <c r="G19" s="62"/>
      <c r="H19" s="109"/>
      <c r="I19" s="110"/>
      <c r="J19" s="105"/>
      <c r="K19" s="119"/>
      <c r="L19" s="112" t="str">
        <f>IF(K19=0," ",IF(K19=" -"," -",J19*K19))</f>
        <v xml:space="preserve"> </v>
      </c>
      <c r="N19" s="105"/>
      <c r="O19" s="119"/>
    </row>
    <row r="20" spans="1:15" x14ac:dyDescent="0.2">
      <c r="A20" s="113"/>
      <c r="B20" s="116" t="s">
        <v>210</v>
      </c>
      <c r="C20" s="62"/>
      <c r="D20" s="62"/>
      <c r="E20" s="62"/>
      <c r="F20" s="62"/>
      <c r="G20" s="62"/>
      <c r="H20" s="109"/>
      <c r="I20" s="110"/>
      <c r="J20" s="105"/>
      <c r="K20" s="119"/>
      <c r="L20" s="112"/>
      <c r="N20" s="105"/>
      <c r="O20" s="119"/>
    </row>
    <row r="21" spans="1:15" x14ac:dyDescent="0.2">
      <c r="A21" s="113"/>
      <c r="B21" s="116" t="s">
        <v>211</v>
      </c>
      <c r="C21" s="62"/>
      <c r="D21" s="62"/>
      <c r="E21" s="62"/>
      <c r="F21" s="62"/>
      <c r="G21" s="62"/>
      <c r="H21" s="109"/>
      <c r="I21" s="110"/>
      <c r="J21" s="105"/>
      <c r="K21" s="119"/>
      <c r="L21" s="112"/>
      <c r="N21" s="105"/>
      <c r="O21" s="119"/>
    </row>
    <row r="22" spans="1:15" x14ac:dyDescent="0.2">
      <c r="A22" s="113"/>
      <c r="B22" s="114"/>
      <c r="C22" s="62"/>
      <c r="D22" s="62"/>
      <c r="E22" s="62"/>
      <c r="F22" s="62"/>
      <c r="G22" s="62"/>
      <c r="H22" s="109"/>
      <c r="I22" s="110"/>
      <c r="J22" s="105"/>
      <c r="K22" s="119"/>
      <c r="L22" s="112" t="str">
        <f t="shared" ref="L22:L31" si="0">IF(K22=0," ",IF(K22=" -"," -",J22*K22))</f>
        <v xml:space="preserve"> </v>
      </c>
      <c r="N22" s="105"/>
      <c r="O22" s="119"/>
    </row>
    <row r="23" spans="1:15" x14ac:dyDescent="0.2">
      <c r="A23" s="113"/>
      <c r="B23" s="114" t="s">
        <v>114</v>
      </c>
      <c r="C23" s="62"/>
      <c r="D23" s="62"/>
      <c r="E23" s="62"/>
      <c r="F23" s="62"/>
      <c r="G23" s="62"/>
      <c r="H23" s="109"/>
      <c r="I23" s="110"/>
      <c r="J23" s="105"/>
      <c r="K23" s="119"/>
      <c r="L23" s="112" t="str">
        <f t="shared" si="0"/>
        <v xml:space="preserve"> </v>
      </c>
      <c r="N23" s="105"/>
      <c r="O23" s="119"/>
    </row>
    <row r="24" spans="1:15" x14ac:dyDescent="0.2">
      <c r="A24" s="113"/>
      <c r="B24" s="114" t="s">
        <v>115</v>
      </c>
      <c r="C24" s="62"/>
      <c r="D24" s="62"/>
      <c r="E24" s="62"/>
      <c r="F24" s="62"/>
      <c r="G24" s="62"/>
      <c r="H24" s="109"/>
      <c r="I24" s="110" t="s">
        <v>109</v>
      </c>
      <c r="J24" s="117">
        <v>250</v>
      </c>
      <c r="K24" s="119"/>
      <c r="L24" s="112" t="str">
        <f t="shared" si="0"/>
        <v xml:space="preserve"> </v>
      </c>
      <c r="N24" s="105">
        <v>16</v>
      </c>
      <c r="O24" s="119">
        <v>14.47</v>
      </c>
    </row>
    <row r="25" spans="1:15" x14ac:dyDescent="0.2">
      <c r="A25" s="113"/>
      <c r="B25" s="114"/>
      <c r="C25" s="62"/>
      <c r="D25" s="62"/>
      <c r="E25" s="62"/>
      <c r="F25" s="62"/>
      <c r="G25" s="62"/>
      <c r="H25" s="109"/>
      <c r="I25" s="110"/>
      <c r="J25" s="117"/>
      <c r="K25" s="119"/>
      <c r="L25" s="112" t="str">
        <f t="shared" si="0"/>
        <v xml:space="preserve"> </v>
      </c>
      <c r="N25" s="105"/>
      <c r="O25" s="119"/>
    </row>
    <row r="26" spans="1:15" x14ac:dyDescent="0.2">
      <c r="A26" s="113"/>
      <c r="B26" s="114" t="s">
        <v>117</v>
      </c>
      <c r="C26" s="62"/>
      <c r="D26" s="62"/>
      <c r="E26" s="62"/>
      <c r="F26" s="62"/>
      <c r="G26" s="62"/>
      <c r="H26" s="109"/>
      <c r="I26" s="110"/>
      <c r="J26" s="117"/>
      <c r="K26" s="119"/>
      <c r="L26" s="112" t="str">
        <f t="shared" si="0"/>
        <v xml:space="preserve"> </v>
      </c>
      <c r="N26" s="105"/>
      <c r="O26" s="119"/>
    </row>
    <row r="27" spans="1:15" x14ac:dyDescent="0.2">
      <c r="A27" s="113"/>
      <c r="B27" s="114" t="s">
        <v>118</v>
      </c>
      <c r="C27" s="62"/>
      <c r="D27" s="62"/>
      <c r="E27" s="62"/>
      <c r="F27" s="62"/>
      <c r="G27" s="62"/>
      <c r="H27" s="109"/>
      <c r="I27" s="110" t="s">
        <v>109</v>
      </c>
      <c r="J27" s="117">
        <v>370</v>
      </c>
      <c r="K27" s="119"/>
      <c r="L27" s="112" t="str">
        <f t="shared" si="0"/>
        <v xml:space="preserve"> </v>
      </c>
      <c r="N27" s="105">
        <v>771</v>
      </c>
      <c r="O27" s="119">
        <v>18.059999999999999</v>
      </c>
    </row>
    <row r="28" spans="1:15" x14ac:dyDescent="0.2">
      <c r="A28" s="113"/>
      <c r="B28" s="114" t="s">
        <v>120</v>
      </c>
      <c r="C28" s="62"/>
      <c r="D28" s="62"/>
      <c r="E28" s="62"/>
      <c r="F28" s="62"/>
      <c r="G28" s="62"/>
      <c r="H28" s="109"/>
      <c r="I28" s="110" t="s">
        <v>109</v>
      </c>
      <c r="J28" s="117">
        <v>16</v>
      </c>
      <c r="K28" s="119"/>
      <c r="L28" s="112" t="str">
        <f t="shared" si="0"/>
        <v xml:space="preserve"> </v>
      </c>
      <c r="N28" s="105">
        <v>11</v>
      </c>
      <c r="O28" s="119">
        <v>22.5</v>
      </c>
    </row>
    <row r="29" spans="1:15" x14ac:dyDescent="0.2">
      <c r="A29" s="113"/>
      <c r="B29" s="114"/>
      <c r="C29" s="62"/>
      <c r="D29" s="62"/>
      <c r="E29" s="62"/>
      <c r="F29" s="62"/>
      <c r="G29" s="62"/>
      <c r="H29" s="109"/>
      <c r="I29" s="110"/>
      <c r="J29" s="117"/>
      <c r="K29" s="148"/>
      <c r="L29" s="112" t="str">
        <f t="shared" si="0"/>
        <v xml:space="preserve"> </v>
      </c>
      <c r="N29" s="105"/>
      <c r="O29" s="148"/>
    </row>
    <row r="30" spans="1:15" x14ac:dyDescent="0.2">
      <c r="A30" s="149"/>
      <c r="B30" s="691" t="s">
        <v>126</v>
      </c>
      <c r="C30" s="691"/>
      <c r="D30" s="691"/>
      <c r="E30" s="691"/>
      <c r="F30" s="691"/>
      <c r="G30" s="691"/>
      <c r="H30" s="700"/>
      <c r="I30" s="151"/>
      <c r="J30" s="198"/>
      <c r="K30" s="153"/>
      <c r="L30" s="112" t="str">
        <f t="shared" si="0"/>
        <v xml:space="preserve"> </v>
      </c>
      <c r="N30" s="152"/>
      <c r="O30" s="153"/>
    </row>
    <row r="31" spans="1:15" x14ac:dyDescent="0.2">
      <c r="A31" s="149"/>
      <c r="B31" t="s">
        <v>127</v>
      </c>
      <c r="I31" s="151" t="s">
        <v>109</v>
      </c>
      <c r="J31" s="199">
        <v>346</v>
      </c>
      <c r="K31" s="153"/>
      <c r="L31" s="112" t="str">
        <f t="shared" si="0"/>
        <v xml:space="preserve"> </v>
      </c>
      <c r="N31" s="155">
        <v>510</v>
      </c>
      <c r="O31" s="153">
        <v>6.2</v>
      </c>
    </row>
    <row r="32" spans="1:15" x14ac:dyDescent="0.2">
      <c r="A32" s="113"/>
      <c r="B32" s="114"/>
      <c r="C32" s="62"/>
      <c r="D32" s="62"/>
      <c r="E32" s="62"/>
      <c r="F32" s="62"/>
      <c r="G32" s="62"/>
      <c r="H32" s="109"/>
      <c r="I32" s="110"/>
      <c r="J32" s="117"/>
      <c r="K32" s="148"/>
      <c r="L32" s="112"/>
      <c r="N32" s="105"/>
      <c r="O32" s="148"/>
    </row>
    <row r="33" spans="1:15" x14ac:dyDescent="0.2">
      <c r="A33" s="149"/>
      <c r="B33" s="157" t="s">
        <v>133</v>
      </c>
      <c r="C33" s="62"/>
      <c r="D33" s="62"/>
      <c r="I33" s="104"/>
      <c r="J33" s="200"/>
      <c r="K33" s="159"/>
      <c r="L33" s="112" t="str">
        <f t="shared" ref="L33:L38" si="1">IF(K33=0," ",IF(K33=" -"," -",J33*K33))</f>
        <v xml:space="preserve"> </v>
      </c>
      <c r="N33" s="104"/>
      <c r="O33" s="159"/>
    </row>
    <row r="34" spans="1:15" x14ac:dyDescent="0.2">
      <c r="A34" s="149"/>
      <c r="B34" s="157" t="s">
        <v>134</v>
      </c>
      <c r="C34" s="62"/>
      <c r="D34" s="62"/>
      <c r="E34" s="62"/>
      <c r="F34" s="62"/>
      <c r="G34" s="62"/>
      <c r="H34" s="62"/>
      <c r="I34" s="151" t="s">
        <v>109</v>
      </c>
      <c r="J34" s="201">
        <v>385</v>
      </c>
      <c r="K34" s="164"/>
      <c r="L34" s="112" t="str">
        <f t="shared" si="1"/>
        <v xml:space="preserve"> </v>
      </c>
      <c r="N34" s="165">
        <v>9600</v>
      </c>
      <c r="O34" s="164">
        <v>1.51</v>
      </c>
    </row>
    <row r="35" spans="1:15" x14ac:dyDescent="0.2">
      <c r="A35" s="149"/>
      <c r="B35" s="157" t="s">
        <v>137</v>
      </c>
      <c r="C35" s="62"/>
      <c r="D35" s="62"/>
      <c r="E35" s="62"/>
      <c r="F35" s="62"/>
      <c r="G35" s="62"/>
      <c r="H35" s="62"/>
      <c r="I35" s="151" t="s">
        <v>109</v>
      </c>
      <c r="J35" s="201">
        <v>500</v>
      </c>
      <c r="K35" s="164"/>
      <c r="L35" s="112" t="str">
        <f t="shared" si="1"/>
        <v xml:space="preserve"> </v>
      </c>
      <c r="N35" s="165">
        <v>1017</v>
      </c>
      <c r="O35" s="164">
        <v>0.52</v>
      </c>
    </row>
    <row r="36" spans="1:15" x14ac:dyDescent="0.2">
      <c r="A36" s="149"/>
      <c r="B36" s="157" t="s">
        <v>140</v>
      </c>
      <c r="C36" s="62"/>
      <c r="D36" s="62"/>
      <c r="E36" s="62"/>
      <c r="F36" s="62"/>
      <c r="G36" s="62"/>
      <c r="H36" s="62"/>
      <c r="I36" s="151" t="s">
        <v>109</v>
      </c>
      <c r="J36" s="201">
        <v>500</v>
      </c>
      <c r="K36" s="164"/>
      <c r="L36" s="112" t="str">
        <f t="shared" si="1"/>
        <v xml:space="preserve"> </v>
      </c>
      <c r="N36" s="165">
        <v>1017</v>
      </c>
      <c r="O36" s="164">
        <v>0.72</v>
      </c>
    </row>
    <row r="37" spans="1:15" x14ac:dyDescent="0.2">
      <c r="A37" s="149"/>
      <c r="B37" s="691" t="s">
        <v>142</v>
      </c>
      <c r="C37" s="692"/>
      <c r="D37" s="692"/>
      <c r="E37" s="692"/>
      <c r="F37" s="692"/>
      <c r="G37" s="692"/>
      <c r="H37" s="693"/>
      <c r="I37" s="151" t="s">
        <v>143</v>
      </c>
      <c r="J37" s="201">
        <v>5000</v>
      </c>
      <c r="K37" s="164"/>
      <c r="L37" s="112" t="str">
        <f t="shared" si="1"/>
        <v xml:space="preserve"> </v>
      </c>
      <c r="N37" s="165">
        <v>10170</v>
      </c>
      <c r="O37" s="164">
        <v>0.78</v>
      </c>
    </row>
    <row r="38" spans="1:15" ht="13.5" thickBot="1" x14ac:dyDescent="0.25">
      <c r="A38" s="149"/>
      <c r="B38" s="691" t="s">
        <v>145</v>
      </c>
      <c r="C38" s="692"/>
      <c r="D38" s="692"/>
      <c r="E38" s="692"/>
      <c r="F38" s="692"/>
      <c r="G38" s="692"/>
      <c r="H38" s="693"/>
      <c r="I38" s="151" t="s">
        <v>109</v>
      </c>
      <c r="J38" s="201">
        <v>500</v>
      </c>
      <c r="K38" s="153"/>
      <c r="L38" s="112" t="str">
        <f t="shared" si="1"/>
        <v xml:space="preserve"> </v>
      </c>
      <c r="N38" s="165">
        <v>1017</v>
      </c>
      <c r="O38" s="153">
        <v>0.65</v>
      </c>
    </row>
    <row r="39" spans="1:15" ht="5.25" customHeight="1" thickBot="1" x14ac:dyDescent="0.25">
      <c r="A39" s="140"/>
      <c r="B39" s="140"/>
      <c r="C39" s="140"/>
      <c r="D39" s="140"/>
      <c r="E39" s="140"/>
      <c r="F39" s="140"/>
      <c r="G39" s="140"/>
      <c r="H39" s="140"/>
      <c r="I39" s="140"/>
      <c r="J39" s="141"/>
      <c r="K39" s="140"/>
      <c r="L39" s="140"/>
      <c r="N39" s="141"/>
      <c r="O39" s="140"/>
    </row>
    <row r="40" spans="1:15" x14ac:dyDescent="0.2">
      <c r="A40" s="91" t="s">
        <v>122</v>
      </c>
      <c r="B40" s="85"/>
      <c r="C40" s="85"/>
      <c r="D40" s="85"/>
      <c r="E40" s="142" t="s">
        <v>123</v>
      </c>
      <c r="F40" s="85"/>
      <c r="G40" s="85"/>
      <c r="H40" s="103"/>
      <c r="I40" s="42" t="s">
        <v>124</v>
      </c>
      <c r="J40" s="143"/>
      <c r="K40" s="142" t="s">
        <v>125</v>
      </c>
      <c r="L40" s="144"/>
      <c r="N40" s="143"/>
      <c r="O40" s="142" t="s">
        <v>125</v>
      </c>
    </row>
    <row r="41" spans="1:15" ht="13.5" customHeight="1" thickBot="1" x14ac:dyDescent="0.25">
      <c r="A41" s="689"/>
      <c r="B41" s="679"/>
      <c r="C41" s="679"/>
      <c r="D41" s="679"/>
      <c r="E41" s="690"/>
      <c r="F41" s="679"/>
      <c r="G41" s="679"/>
      <c r="H41" s="680"/>
      <c r="I41" s="145"/>
      <c r="J41" s="146"/>
      <c r="K41" s="133"/>
      <c r="L41" s="147"/>
      <c r="N41" s="146"/>
      <c r="O41" s="133"/>
    </row>
    <row r="42" spans="1:15" x14ac:dyDescent="0.2">
      <c r="A42" s="113"/>
      <c r="B42" s="114"/>
      <c r="C42" s="62"/>
      <c r="D42" s="62"/>
      <c r="E42" s="62"/>
      <c r="F42" s="62"/>
      <c r="G42" s="62"/>
      <c r="H42" s="109"/>
      <c r="I42" s="110"/>
      <c r="J42" s="105"/>
      <c r="K42" s="148"/>
      <c r="L42" s="112"/>
      <c r="N42" s="105"/>
      <c r="O42" s="148"/>
    </row>
    <row r="43" spans="1:15" x14ac:dyDescent="0.2">
      <c r="A43" s="113"/>
      <c r="B43" s="114"/>
      <c r="C43" s="62"/>
      <c r="D43" s="62"/>
      <c r="E43" s="62"/>
      <c r="F43" s="62"/>
      <c r="G43" s="62"/>
      <c r="H43" s="109"/>
      <c r="I43" s="110"/>
      <c r="J43" s="105"/>
      <c r="K43" s="148"/>
      <c r="L43" s="112"/>
      <c r="N43" s="105"/>
      <c r="O43" s="148"/>
    </row>
    <row r="44" spans="1:15" x14ac:dyDescent="0.2">
      <c r="A44" s="113"/>
      <c r="B44" s="114" t="s">
        <v>147</v>
      </c>
      <c r="C44" s="62"/>
      <c r="D44" s="62"/>
      <c r="E44" s="62"/>
      <c r="F44" s="62"/>
      <c r="G44" s="62"/>
      <c r="H44" s="109"/>
      <c r="I44" s="110"/>
      <c r="J44" s="105"/>
      <c r="K44" s="148"/>
      <c r="L44" s="112" t="str">
        <f>IF(K44=0," ",IF(K44=" -"," -",J44*K44))</f>
        <v xml:space="preserve"> </v>
      </c>
      <c r="N44" s="105"/>
      <c r="O44" s="148"/>
    </row>
    <row r="45" spans="1:15" x14ac:dyDescent="0.2">
      <c r="A45" s="113"/>
      <c r="B45" s="114"/>
      <c r="C45" s="62"/>
      <c r="D45" s="62"/>
      <c r="E45" s="62"/>
      <c r="F45" s="62"/>
      <c r="G45" s="62"/>
      <c r="H45" s="109"/>
      <c r="I45" s="110"/>
      <c r="J45" s="105"/>
      <c r="K45" s="148"/>
      <c r="L45" s="112"/>
      <c r="N45" s="105"/>
      <c r="O45" s="148"/>
    </row>
    <row r="46" spans="1:15" x14ac:dyDescent="0.2">
      <c r="A46" s="113"/>
      <c r="B46" s="114"/>
      <c r="C46" s="62"/>
      <c r="D46" s="62"/>
      <c r="E46" s="62"/>
      <c r="F46" s="62"/>
      <c r="G46" s="62"/>
      <c r="H46" s="109"/>
      <c r="I46" s="110"/>
      <c r="J46" s="105"/>
      <c r="K46" s="148"/>
      <c r="L46" s="112" t="str">
        <f t="shared" ref="L46:L52" si="2">IF(K46=0," ",IF(K46=" -"," -",J46*K46))</f>
        <v xml:space="preserve"> </v>
      </c>
      <c r="N46" s="105"/>
      <c r="O46" s="148"/>
    </row>
    <row r="47" spans="1:15" x14ac:dyDescent="0.2">
      <c r="A47" s="113"/>
      <c r="B47" s="114" t="s">
        <v>148</v>
      </c>
      <c r="C47" s="62"/>
      <c r="D47" s="62"/>
      <c r="E47" s="62"/>
      <c r="F47" s="62"/>
      <c r="G47" s="62"/>
      <c r="H47" s="109"/>
      <c r="I47" s="110"/>
      <c r="J47" s="105"/>
      <c r="K47" s="119"/>
      <c r="L47" s="112" t="str">
        <f t="shared" si="2"/>
        <v xml:space="preserve"> </v>
      </c>
      <c r="N47" s="105"/>
      <c r="O47" s="119"/>
    </row>
    <row r="48" spans="1:15" x14ac:dyDescent="0.2">
      <c r="A48" s="113"/>
      <c r="B48" s="114" t="s">
        <v>149</v>
      </c>
      <c r="C48" s="62"/>
      <c r="D48" s="62"/>
      <c r="E48" s="62"/>
      <c r="F48" s="62"/>
      <c r="G48" s="62"/>
      <c r="H48" s="109"/>
      <c r="I48" s="110" t="s">
        <v>102</v>
      </c>
      <c r="J48" s="173">
        <v>344.83</v>
      </c>
      <c r="K48" s="119"/>
      <c r="L48" s="112" t="str">
        <f t="shared" si="2"/>
        <v xml:space="preserve"> </v>
      </c>
      <c r="N48" s="105">
        <v>345</v>
      </c>
      <c r="O48" s="119">
        <v>51.8</v>
      </c>
    </row>
    <row r="49" spans="1:15" x14ac:dyDescent="0.2">
      <c r="A49" s="113"/>
      <c r="B49" s="114" t="s">
        <v>212</v>
      </c>
      <c r="C49" s="62"/>
      <c r="D49" s="62"/>
      <c r="E49" s="62"/>
      <c r="F49" s="62"/>
      <c r="G49" s="62"/>
      <c r="H49" s="109"/>
      <c r="I49" s="110" t="s">
        <v>209</v>
      </c>
      <c r="J49" s="175">
        <f>344.83*1.1524</f>
        <v>397.382092</v>
      </c>
      <c r="K49" s="119">
        <v>15.5</v>
      </c>
      <c r="L49" s="112">
        <f t="shared" si="2"/>
        <v>6159.4224260000001</v>
      </c>
      <c r="N49" s="105"/>
      <c r="O49" s="119"/>
    </row>
    <row r="50" spans="1:15" x14ac:dyDescent="0.2">
      <c r="A50" s="113"/>
      <c r="B50" s="114" t="s">
        <v>213</v>
      </c>
      <c r="C50" s="62"/>
      <c r="D50" s="62"/>
      <c r="E50" s="62"/>
      <c r="F50" s="62"/>
      <c r="G50" s="62"/>
      <c r="H50" s="109"/>
      <c r="I50" s="110" t="s">
        <v>109</v>
      </c>
      <c r="J50" s="175">
        <f>344.83*0.2103</f>
        <v>72.517748999999995</v>
      </c>
      <c r="K50" s="119">
        <v>34.1</v>
      </c>
      <c r="L50" s="112">
        <f t="shared" si="2"/>
        <v>2472.8552408999999</v>
      </c>
      <c r="N50" s="105"/>
      <c r="O50" s="119"/>
    </row>
    <row r="51" spans="1:15" x14ac:dyDescent="0.2">
      <c r="A51" s="113"/>
      <c r="B51" s="114" t="s">
        <v>214</v>
      </c>
      <c r="C51" s="62"/>
      <c r="D51" s="62"/>
      <c r="E51" s="62"/>
      <c r="F51" s="62"/>
      <c r="G51" s="62"/>
      <c r="H51" s="109"/>
      <c r="I51" s="110" t="s">
        <v>109</v>
      </c>
      <c r="J51" s="175">
        <f>344.83*0.1642</f>
        <v>56.621085999999998</v>
      </c>
      <c r="K51" s="119">
        <v>31.32</v>
      </c>
      <c r="L51" s="112">
        <f t="shared" si="2"/>
        <v>1773.37241352</v>
      </c>
      <c r="N51" s="105"/>
      <c r="O51" s="119"/>
    </row>
    <row r="52" spans="1:15" x14ac:dyDescent="0.2">
      <c r="A52" s="113"/>
      <c r="B52" s="114" t="s">
        <v>215</v>
      </c>
      <c r="C52" s="62"/>
      <c r="D52" s="62"/>
      <c r="E52" s="62"/>
      <c r="F52" s="62"/>
      <c r="G52" s="62"/>
      <c r="H52" s="109"/>
      <c r="I52" s="110" t="s">
        <v>109</v>
      </c>
      <c r="J52" s="175">
        <f>344.83*0.1642</f>
        <v>56.621085999999998</v>
      </c>
      <c r="K52" s="119">
        <v>31.32</v>
      </c>
      <c r="L52" s="112">
        <f t="shared" si="2"/>
        <v>1773.37241352</v>
      </c>
      <c r="N52" s="105"/>
      <c r="O52" s="119"/>
    </row>
    <row r="53" spans="1:15" x14ac:dyDescent="0.2">
      <c r="A53" s="113"/>
      <c r="B53" s="114"/>
      <c r="C53" s="62"/>
      <c r="D53" s="62"/>
      <c r="E53" s="62"/>
      <c r="F53" s="62"/>
      <c r="G53" s="62"/>
      <c r="H53" s="109"/>
      <c r="I53" s="110"/>
      <c r="J53" s="175"/>
      <c r="K53" s="119"/>
      <c r="L53" s="112"/>
      <c r="N53" s="105"/>
      <c r="O53" s="119"/>
    </row>
    <row r="54" spans="1:15" x14ac:dyDescent="0.2">
      <c r="A54" s="113"/>
      <c r="B54" s="114"/>
      <c r="C54" s="62"/>
      <c r="D54" s="62"/>
      <c r="E54" s="62"/>
      <c r="F54" s="62"/>
      <c r="G54" s="62"/>
      <c r="H54" s="109"/>
      <c r="I54" s="110"/>
      <c r="J54" s="105"/>
      <c r="K54" s="119"/>
      <c r="L54" s="112"/>
      <c r="N54" s="105"/>
      <c r="O54" s="119"/>
    </row>
    <row r="55" spans="1:15" x14ac:dyDescent="0.2">
      <c r="A55" s="113"/>
      <c r="B55" s="114" t="s">
        <v>152</v>
      </c>
      <c r="C55" s="62"/>
      <c r="D55" s="62"/>
      <c r="E55" s="62"/>
      <c r="F55" s="62"/>
      <c r="G55" s="62"/>
      <c r="H55" s="109"/>
      <c r="I55" s="110"/>
      <c r="J55" s="105"/>
      <c r="K55" s="119"/>
      <c r="L55" s="112"/>
      <c r="N55" s="105"/>
      <c r="O55" s="119"/>
    </row>
    <row r="56" spans="1:15" x14ac:dyDescent="0.2">
      <c r="A56" s="113"/>
      <c r="B56" s="114"/>
      <c r="C56" s="62"/>
      <c r="D56" s="62"/>
      <c r="E56" s="62"/>
      <c r="F56" s="62"/>
      <c r="G56" s="62"/>
      <c r="H56" s="109"/>
      <c r="I56" s="110"/>
      <c r="J56" s="105"/>
      <c r="K56" s="119"/>
      <c r="L56" s="112"/>
      <c r="N56" s="105"/>
      <c r="O56" s="119"/>
    </row>
    <row r="57" spans="1:15" x14ac:dyDescent="0.2">
      <c r="A57" s="113"/>
      <c r="B57" s="114"/>
      <c r="C57" s="62"/>
      <c r="D57" s="62"/>
      <c r="E57" s="62"/>
      <c r="F57" s="62"/>
      <c r="G57" s="62"/>
      <c r="H57" s="109"/>
      <c r="I57" s="110"/>
      <c r="J57" s="105"/>
      <c r="K57" s="119"/>
      <c r="L57" s="112"/>
      <c r="N57" s="105"/>
      <c r="O57" s="119"/>
    </row>
    <row r="58" spans="1:15" x14ac:dyDescent="0.2">
      <c r="A58" s="113"/>
      <c r="B58" s="114" t="s">
        <v>153</v>
      </c>
      <c r="C58" s="62"/>
      <c r="D58" s="62"/>
      <c r="E58" s="62"/>
      <c r="F58" s="62"/>
      <c r="G58" s="62"/>
      <c r="H58" s="109"/>
      <c r="I58" s="110" t="s">
        <v>154</v>
      </c>
      <c r="J58" s="173">
        <v>1009.5</v>
      </c>
      <c r="K58" s="119"/>
      <c r="L58" s="112" t="str">
        <f t="shared" ref="L58:L63" si="3">IF(K58=0," ",IF(K58=" -"," -",J58*K58))</f>
        <v xml:space="preserve"> </v>
      </c>
      <c r="N58" s="105">
        <v>1002</v>
      </c>
      <c r="O58" s="119">
        <v>21.07</v>
      </c>
    </row>
    <row r="59" spans="1:15" x14ac:dyDescent="0.2">
      <c r="A59" s="113"/>
      <c r="B59" s="114" t="s">
        <v>216</v>
      </c>
      <c r="C59" s="62"/>
      <c r="D59" s="62"/>
      <c r="E59" s="62"/>
      <c r="F59" s="62"/>
      <c r="G59" s="62"/>
      <c r="H59" s="109"/>
      <c r="I59" s="110" t="s">
        <v>165</v>
      </c>
      <c r="J59" s="126">
        <f>1009.5*0.1918</f>
        <v>193.62209999999999</v>
      </c>
      <c r="K59" s="119">
        <v>3.91</v>
      </c>
      <c r="L59" s="112">
        <f t="shared" si="3"/>
        <v>757.062411</v>
      </c>
      <c r="N59" s="105"/>
      <c r="O59" s="119"/>
    </row>
    <row r="60" spans="1:15" x14ac:dyDescent="0.2">
      <c r="A60" s="113"/>
      <c r="B60" s="114" t="s">
        <v>217</v>
      </c>
      <c r="C60" s="62"/>
      <c r="D60" s="62"/>
      <c r="E60" s="62"/>
      <c r="F60" s="62"/>
      <c r="G60" s="62"/>
      <c r="H60" s="109"/>
      <c r="I60" s="110" t="s">
        <v>154</v>
      </c>
      <c r="J60" s="126">
        <f>1009.5*0.4884</f>
        <v>493.03980000000001</v>
      </c>
      <c r="K60" s="119">
        <v>9.07</v>
      </c>
      <c r="L60" s="112">
        <f t="shared" si="3"/>
        <v>4471.8709859999999</v>
      </c>
      <c r="N60" s="105"/>
      <c r="O60" s="119"/>
    </row>
    <row r="61" spans="1:15" x14ac:dyDescent="0.2">
      <c r="A61" s="113"/>
      <c r="B61" s="114" t="s">
        <v>218</v>
      </c>
      <c r="C61" s="62"/>
      <c r="D61" s="62"/>
      <c r="E61" s="62"/>
      <c r="F61" s="62"/>
      <c r="G61" s="62"/>
      <c r="H61" s="109"/>
      <c r="I61" s="110" t="s">
        <v>102</v>
      </c>
      <c r="J61" s="126">
        <f>1009.5*0.4211</f>
        <v>425.10044999999997</v>
      </c>
      <c r="K61" s="119">
        <v>0.95</v>
      </c>
      <c r="L61" s="112">
        <f t="shared" si="3"/>
        <v>403.84542749999997</v>
      </c>
      <c r="N61" s="105"/>
      <c r="O61" s="119"/>
    </row>
    <row r="62" spans="1:15" x14ac:dyDescent="0.2">
      <c r="A62" s="113"/>
      <c r="B62" s="114" t="s">
        <v>219</v>
      </c>
      <c r="C62" s="62"/>
      <c r="D62" s="62"/>
      <c r="E62" s="62"/>
      <c r="F62" s="62"/>
      <c r="G62" s="62"/>
      <c r="H62" s="109"/>
      <c r="I62" s="110" t="s">
        <v>102</v>
      </c>
      <c r="J62" s="126">
        <f>1009.5*0.3108</f>
        <v>313.75260000000003</v>
      </c>
      <c r="K62" s="119">
        <v>3.7</v>
      </c>
      <c r="L62" s="112">
        <f t="shared" si="3"/>
        <v>1160.8846200000003</v>
      </c>
      <c r="N62" s="105"/>
      <c r="O62" s="119"/>
    </row>
    <row r="63" spans="1:15" x14ac:dyDescent="0.2">
      <c r="A63" s="113"/>
      <c r="B63" s="114" t="s">
        <v>220</v>
      </c>
      <c r="C63" s="62"/>
      <c r="D63" s="62"/>
      <c r="E63" s="62"/>
      <c r="F63" s="62"/>
      <c r="G63" s="62"/>
      <c r="H63" s="109"/>
      <c r="I63" s="110" t="s">
        <v>221</v>
      </c>
      <c r="J63" s="126">
        <f>1009.5*0.02</f>
        <v>20.190000000000001</v>
      </c>
      <c r="K63" s="119">
        <v>5.99</v>
      </c>
      <c r="L63" s="112">
        <f t="shared" si="3"/>
        <v>120.93810000000001</v>
      </c>
      <c r="N63" s="105"/>
      <c r="O63" s="119"/>
    </row>
    <row r="64" spans="1:15" x14ac:dyDescent="0.2">
      <c r="A64" s="113"/>
      <c r="B64" s="114"/>
      <c r="C64" s="62"/>
      <c r="D64" s="62"/>
      <c r="E64" s="62"/>
      <c r="F64" s="62"/>
      <c r="G64" s="62"/>
      <c r="H64" s="109"/>
      <c r="I64" s="110"/>
      <c r="J64" s="126"/>
      <c r="K64" s="119"/>
      <c r="L64" s="112"/>
      <c r="N64" s="105"/>
      <c r="O64" s="119"/>
    </row>
    <row r="65" spans="1:15" x14ac:dyDescent="0.2">
      <c r="A65" s="113"/>
      <c r="B65" s="114"/>
      <c r="C65" s="62"/>
      <c r="D65" s="62"/>
      <c r="E65" s="62"/>
      <c r="F65" s="62"/>
      <c r="G65" s="62"/>
      <c r="H65" s="109"/>
      <c r="I65" s="110"/>
      <c r="J65" s="127"/>
      <c r="K65" s="119"/>
      <c r="L65" s="112"/>
      <c r="N65" s="105"/>
      <c r="O65" s="119"/>
    </row>
    <row r="66" spans="1:15" x14ac:dyDescent="0.2">
      <c r="A66" s="113"/>
      <c r="B66" s="114" t="s">
        <v>157</v>
      </c>
      <c r="C66" s="62"/>
      <c r="D66" s="62"/>
      <c r="E66" s="62"/>
      <c r="F66" s="62"/>
      <c r="G66" s="62"/>
      <c r="H66" s="109"/>
      <c r="I66" s="110" t="s">
        <v>154</v>
      </c>
      <c r="J66" s="173">
        <v>16.86</v>
      </c>
      <c r="K66" s="119"/>
      <c r="L66" s="112" t="str">
        <f t="shared" ref="L66:L71" si="4">IF(K66=0," ",IF(K66=" -"," -",J66*K66))</f>
        <v xml:space="preserve"> </v>
      </c>
      <c r="N66" s="105">
        <v>17</v>
      </c>
      <c r="O66" s="119">
        <v>34.58</v>
      </c>
    </row>
    <row r="67" spans="1:15" x14ac:dyDescent="0.2">
      <c r="A67" s="113"/>
      <c r="B67" s="114" t="s">
        <v>222</v>
      </c>
      <c r="C67" s="62"/>
      <c r="D67" s="62"/>
      <c r="E67" s="62"/>
      <c r="F67" s="62"/>
      <c r="G67" s="62"/>
      <c r="H67" s="109"/>
      <c r="I67" s="110" t="s">
        <v>165</v>
      </c>
      <c r="J67" s="126">
        <f>16.86*0.2839</f>
        <v>4.7865539999999998</v>
      </c>
      <c r="K67" s="119">
        <v>3.91</v>
      </c>
      <c r="L67" s="112">
        <f t="shared" si="4"/>
        <v>18.715426139999998</v>
      </c>
      <c r="N67" s="105"/>
      <c r="O67" s="119"/>
    </row>
    <row r="68" spans="1:15" x14ac:dyDescent="0.2">
      <c r="A68" s="113"/>
      <c r="B68" s="114" t="s">
        <v>223</v>
      </c>
      <c r="C68" s="62"/>
      <c r="D68" s="62"/>
      <c r="E68" s="62"/>
      <c r="F68" s="62"/>
      <c r="G68" s="62"/>
      <c r="H68" s="109"/>
      <c r="I68" s="110" t="s">
        <v>130</v>
      </c>
      <c r="J68" s="126">
        <f>16.86*0.3769</f>
        <v>6.3545340000000001</v>
      </c>
      <c r="K68" s="119">
        <v>32</v>
      </c>
      <c r="L68" s="112">
        <f t="shared" si="4"/>
        <v>203.345088</v>
      </c>
      <c r="N68" s="105"/>
      <c r="O68" s="119"/>
    </row>
    <row r="69" spans="1:15" x14ac:dyDescent="0.2">
      <c r="A69" s="113"/>
      <c r="B69" s="114" t="s">
        <v>224</v>
      </c>
      <c r="C69" s="62"/>
      <c r="D69" s="62"/>
      <c r="E69" s="62"/>
      <c r="F69" s="62"/>
      <c r="G69" s="62"/>
      <c r="H69" s="109"/>
      <c r="I69" s="110" t="s">
        <v>102</v>
      </c>
      <c r="J69" s="126">
        <f>16.86*1.0842</f>
        <v>18.279612</v>
      </c>
      <c r="K69" s="119">
        <v>0.95</v>
      </c>
      <c r="L69" s="112">
        <f t="shared" si="4"/>
        <v>17.365631399999998</v>
      </c>
      <c r="N69" s="105"/>
      <c r="O69" s="119"/>
    </row>
    <row r="70" spans="1:15" x14ac:dyDescent="0.2">
      <c r="A70" s="113"/>
      <c r="B70" s="114" t="s">
        <v>225</v>
      </c>
      <c r="C70" s="62"/>
      <c r="D70" s="62"/>
      <c r="E70" s="62"/>
      <c r="F70" s="62"/>
      <c r="G70" s="62"/>
      <c r="H70" s="109"/>
      <c r="I70" s="110" t="s">
        <v>102</v>
      </c>
      <c r="J70" s="126">
        <f>16.86*0.3946</f>
        <v>6.6529559999999996</v>
      </c>
      <c r="K70" s="119">
        <v>3.7</v>
      </c>
      <c r="L70" s="112">
        <f t="shared" si="4"/>
        <v>24.615937200000001</v>
      </c>
      <c r="N70" s="105"/>
      <c r="O70" s="119"/>
    </row>
    <row r="71" spans="1:15" x14ac:dyDescent="0.2">
      <c r="A71" s="113"/>
      <c r="B71" s="114" t="s">
        <v>227</v>
      </c>
      <c r="C71" s="62"/>
      <c r="D71" s="62"/>
      <c r="E71" s="62"/>
      <c r="F71" s="62"/>
      <c r="G71" s="62"/>
      <c r="H71" s="109"/>
      <c r="I71" s="110" t="s">
        <v>221</v>
      </c>
      <c r="J71" s="126">
        <f>16.86*0.0267</f>
        <v>0.45016200000000001</v>
      </c>
      <c r="K71" s="119">
        <v>5.99</v>
      </c>
      <c r="L71" s="112">
        <f t="shared" si="4"/>
        <v>2.6964703800000001</v>
      </c>
      <c r="N71" s="105"/>
      <c r="O71" s="119"/>
    </row>
    <row r="72" spans="1:15" x14ac:dyDescent="0.2">
      <c r="A72" s="113"/>
      <c r="B72" s="114"/>
      <c r="C72" s="62"/>
      <c r="D72" s="62"/>
      <c r="E72" s="62"/>
      <c r="F72" s="62"/>
      <c r="G72" s="62"/>
      <c r="H72" s="109"/>
      <c r="I72" s="110"/>
      <c r="J72" s="126"/>
      <c r="K72" s="119"/>
      <c r="L72" s="112"/>
      <c r="N72" s="105"/>
      <c r="O72" s="119"/>
    </row>
    <row r="73" spans="1:15" ht="13.5" thickBot="1" x14ac:dyDescent="0.25">
      <c r="A73" s="132"/>
      <c r="B73" s="133"/>
      <c r="C73" s="134"/>
      <c r="D73" s="134"/>
      <c r="E73" s="134"/>
      <c r="F73" s="134"/>
      <c r="G73" s="134"/>
      <c r="H73" s="135"/>
      <c r="I73" s="136"/>
      <c r="J73" s="137"/>
      <c r="K73" s="138"/>
      <c r="L73" s="139"/>
      <c r="N73" s="137"/>
      <c r="O73" s="138"/>
    </row>
    <row r="74" spans="1:15" ht="5.25" customHeight="1" thickBot="1" x14ac:dyDescent="0.25">
      <c r="A74" s="140"/>
      <c r="B74" s="140"/>
      <c r="C74" s="140"/>
      <c r="D74" s="140"/>
      <c r="E74" s="140"/>
      <c r="F74" s="140"/>
      <c r="G74" s="140"/>
      <c r="H74" s="140"/>
      <c r="I74" s="140"/>
      <c r="J74" s="141"/>
      <c r="K74" s="140"/>
      <c r="L74" s="140"/>
      <c r="N74" s="141"/>
      <c r="O74" s="140"/>
    </row>
    <row r="75" spans="1:15" x14ac:dyDescent="0.2">
      <c r="A75" s="91" t="s">
        <v>122</v>
      </c>
      <c r="B75" s="85"/>
      <c r="C75" s="85"/>
      <c r="D75" s="85"/>
      <c r="E75" s="142" t="s">
        <v>123</v>
      </c>
      <c r="F75" s="85"/>
      <c r="G75" s="85"/>
      <c r="H75" s="103"/>
      <c r="I75" s="42" t="s">
        <v>124</v>
      </c>
      <c r="J75" s="143"/>
      <c r="K75" s="142" t="s">
        <v>125</v>
      </c>
      <c r="L75" s="144"/>
      <c r="N75" s="143"/>
      <c r="O75" s="142" t="s">
        <v>125</v>
      </c>
    </row>
    <row r="76" spans="1:15" ht="13.5" customHeight="1" thickBot="1" x14ac:dyDescent="0.25">
      <c r="A76" s="689"/>
      <c r="B76" s="679"/>
      <c r="C76" s="679"/>
      <c r="D76" s="679"/>
      <c r="E76" s="690"/>
      <c r="F76" s="679"/>
      <c r="G76" s="679"/>
      <c r="H76" s="680"/>
      <c r="I76" s="145"/>
      <c r="J76" s="146"/>
      <c r="K76" s="133"/>
      <c r="L76" s="147"/>
      <c r="N76" s="146"/>
      <c r="O76" s="133"/>
    </row>
    <row r="77" spans="1:15" x14ac:dyDescent="0.2">
      <c r="A77" s="113"/>
      <c r="B77" s="114"/>
      <c r="C77" s="62"/>
      <c r="D77" s="62"/>
      <c r="E77" s="62"/>
      <c r="F77" s="62"/>
      <c r="G77" s="62"/>
      <c r="H77" s="109"/>
      <c r="I77" s="110"/>
      <c r="J77" s="127"/>
      <c r="K77" s="119"/>
      <c r="L77" s="112"/>
      <c r="N77" s="105"/>
      <c r="O77" s="119"/>
    </row>
    <row r="78" spans="1:15" x14ac:dyDescent="0.2">
      <c r="A78" s="113"/>
      <c r="B78" s="114"/>
      <c r="C78" s="62"/>
      <c r="D78" s="62"/>
      <c r="E78" s="62"/>
      <c r="F78" s="62"/>
      <c r="G78" s="62"/>
      <c r="H78" s="109"/>
      <c r="I78" s="110"/>
      <c r="J78" s="127"/>
      <c r="K78" s="119"/>
      <c r="L78" s="112"/>
      <c r="N78" s="105"/>
      <c r="O78" s="119"/>
    </row>
    <row r="79" spans="1:15" x14ac:dyDescent="0.2">
      <c r="A79" s="113"/>
      <c r="B79" s="114" t="s">
        <v>160</v>
      </c>
      <c r="C79" s="62"/>
      <c r="D79" s="62"/>
      <c r="E79" s="62"/>
      <c r="F79" s="62"/>
      <c r="G79" s="62"/>
      <c r="H79" s="109"/>
      <c r="I79" s="110"/>
      <c r="J79" s="127"/>
      <c r="K79" s="119"/>
      <c r="L79" s="112" t="str">
        <f t="shared" ref="L79:L86" si="5">IF(K79=0," ",IF(K79=" -"," -",J79*K79))</f>
        <v xml:space="preserve"> </v>
      </c>
      <c r="N79" s="105"/>
      <c r="O79" s="119"/>
    </row>
    <row r="80" spans="1:15" x14ac:dyDescent="0.2">
      <c r="A80" s="113"/>
      <c r="B80" s="114" t="s">
        <v>161</v>
      </c>
      <c r="C80" s="62"/>
      <c r="D80" s="62"/>
      <c r="E80" s="62"/>
      <c r="F80" s="62"/>
      <c r="G80" s="62"/>
      <c r="H80" s="109"/>
      <c r="I80" s="110" t="s">
        <v>154</v>
      </c>
      <c r="J80" s="173">
        <v>952.81</v>
      </c>
      <c r="K80" s="119"/>
      <c r="L80" s="112" t="str">
        <f t="shared" si="5"/>
        <v xml:space="preserve"> </v>
      </c>
      <c r="N80" s="105">
        <v>477</v>
      </c>
      <c r="O80" s="119">
        <v>39.29</v>
      </c>
    </row>
    <row r="81" spans="1:15" x14ac:dyDescent="0.2">
      <c r="A81" s="113"/>
      <c r="B81" s="114" t="s">
        <v>228</v>
      </c>
      <c r="C81" s="62"/>
      <c r="D81" s="62"/>
      <c r="E81" s="62"/>
      <c r="F81" s="62"/>
      <c r="G81" s="62"/>
      <c r="H81" s="109"/>
      <c r="I81" s="110" t="s">
        <v>165</v>
      </c>
      <c r="J81" s="126">
        <f>952.81*0.3018</f>
        <v>287.55805800000002</v>
      </c>
      <c r="K81" s="119">
        <v>3.91</v>
      </c>
      <c r="L81" s="112">
        <f t="shared" si="5"/>
        <v>1124.35200678</v>
      </c>
      <c r="N81" s="105"/>
      <c r="O81" s="119"/>
    </row>
    <row r="82" spans="1:15" x14ac:dyDescent="0.2">
      <c r="A82" s="113"/>
      <c r="B82" s="114" t="s">
        <v>229</v>
      </c>
      <c r="C82" s="62"/>
      <c r="D82" s="62"/>
      <c r="E82" s="62"/>
      <c r="F82" s="62"/>
      <c r="G82" s="62"/>
      <c r="H82" s="109"/>
      <c r="I82" s="110" t="s">
        <v>154</v>
      </c>
      <c r="J82" s="126">
        <f>952.81*0.1918</f>
        <v>182.74895799999999</v>
      </c>
      <c r="K82" s="119">
        <v>9.07</v>
      </c>
      <c r="L82" s="112">
        <f t="shared" si="5"/>
        <v>1657.5330490599999</v>
      </c>
      <c r="N82" s="105"/>
      <c r="O82" s="119"/>
    </row>
    <row r="83" spans="1:15" x14ac:dyDescent="0.2">
      <c r="A83" s="113"/>
      <c r="B83" s="114" t="s">
        <v>230</v>
      </c>
      <c r="C83" s="62"/>
      <c r="D83" s="62"/>
      <c r="E83" s="62"/>
      <c r="F83" s="62"/>
      <c r="G83" s="62"/>
      <c r="H83" s="109"/>
      <c r="I83" s="110" t="s">
        <v>102</v>
      </c>
      <c r="J83" s="126">
        <f>952.81*0.3579</f>
        <v>341.01069899999999</v>
      </c>
      <c r="K83" s="119">
        <v>0.95</v>
      </c>
      <c r="L83" s="112">
        <f t="shared" si="5"/>
        <v>323.96016404999995</v>
      </c>
      <c r="N83" s="105"/>
      <c r="O83" s="119"/>
    </row>
    <row r="84" spans="1:15" x14ac:dyDescent="0.2">
      <c r="A84" s="113"/>
      <c r="B84" s="114" t="s">
        <v>231</v>
      </c>
      <c r="C84" s="62"/>
      <c r="D84" s="62"/>
      <c r="E84" s="62"/>
      <c r="F84" s="62"/>
      <c r="G84" s="62"/>
      <c r="H84" s="109"/>
      <c r="I84" s="110" t="s">
        <v>102</v>
      </c>
      <c r="J84" s="126">
        <f>952.81*0.4189</f>
        <v>399.13210899999996</v>
      </c>
      <c r="K84" s="119">
        <v>3.7</v>
      </c>
      <c r="L84" s="112">
        <f t="shared" si="5"/>
        <v>1476.7888032999999</v>
      </c>
      <c r="N84" s="105"/>
      <c r="O84" s="119"/>
    </row>
    <row r="85" spans="1:15" x14ac:dyDescent="0.2">
      <c r="A85" s="113"/>
      <c r="B85" s="114" t="s">
        <v>232</v>
      </c>
      <c r="C85" s="62"/>
      <c r="D85" s="62"/>
      <c r="E85" s="62"/>
      <c r="F85" s="62"/>
      <c r="G85" s="62"/>
      <c r="H85" s="109"/>
      <c r="I85" s="110" t="s">
        <v>130</v>
      </c>
      <c r="J85" s="126">
        <f>952.81*0.2065</f>
        <v>196.75526499999998</v>
      </c>
      <c r="K85" s="119">
        <v>13.9</v>
      </c>
      <c r="L85" s="112">
        <f t="shared" si="5"/>
        <v>2734.8981835</v>
      </c>
      <c r="N85" s="105"/>
      <c r="O85" s="119"/>
    </row>
    <row r="86" spans="1:15" x14ac:dyDescent="0.2">
      <c r="A86" s="113"/>
      <c r="B86" s="114" t="s">
        <v>233</v>
      </c>
      <c r="C86" s="62"/>
      <c r="D86" s="62"/>
      <c r="E86" s="62"/>
      <c r="F86" s="62"/>
      <c r="G86" s="62"/>
      <c r="H86" s="109"/>
      <c r="I86" s="110" t="s">
        <v>130</v>
      </c>
      <c r="J86" s="126">
        <f>952.81*0.3953</f>
        <v>376.64579299999997</v>
      </c>
      <c r="K86" s="119">
        <v>32</v>
      </c>
      <c r="L86" s="112">
        <f t="shared" si="5"/>
        <v>12052.665375999999</v>
      </c>
      <c r="N86" s="105"/>
      <c r="O86" s="119"/>
    </row>
    <row r="87" spans="1:15" x14ac:dyDescent="0.2">
      <c r="A87" s="113"/>
      <c r="B87" s="114"/>
      <c r="C87" s="62"/>
      <c r="D87" s="62"/>
      <c r="E87" s="62"/>
      <c r="F87" s="62"/>
      <c r="G87" s="62"/>
      <c r="H87" s="109"/>
      <c r="I87" s="110"/>
      <c r="J87" s="126"/>
      <c r="K87" s="119"/>
      <c r="L87" s="112"/>
      <c r="N87" s="105"/>
      <c r="O87" s="119"/>
    </row>
    <row r="88" spans="1:15" x14ac:dyDescent="0.2">
      <c r="A88" s="149"/>
      <c r="B88" s="114"/>
      <c r="C88" s="62"/>
      <c r="D88" s="62"/>
      <c r="E88" s="62"/>
      <c r="F88" s="62"/>
      <c r="G88" s="62"/>
      <c r="H88" s="109"/>
      <c r="I88" s="110"/>
      <c r="J88" s="127"/>
      <c r="K88" s="119"/>
      <c r="L88" s="112" t="str">
        <f>IF(K88=0," ",IF(K88=" -"," -",J88*K88))</f>
        <v xml:space="preserve"> </v>
      </c>
      <c r="N88" s="105"/>
      <c r="O88" s="119"/>
    </row>
    <row r="89" spans="1:15" x14ac:dyDescent="0.2">
      <c r="A89" s="149"/>
      <c r="B89" s="116" t="s">
        <v>164</v>
      </c>
      <c r="C89" s="62"/>
      <c r="D89" s="62"/>
      <c r="E89" s="62"/>
      <c r="F89" s="62"/>
      <c r="G89" s="62"/>
      <c r="H89" s="109"/>
      <c r="I89" s="110" t="s">
        <v>165</v>
      </c>
      <c r="J89" s="173">
        <v>14188</v>
      </c>
      <c r="K89" s="119"/>
      <c r="L89" s="112" t="str">
        <f>IF(K89=0," ",IF(K89=" -"," -",J89*K89))</f>
        <v xml:space="preserve"> </v>
      </c>
      <c r="N89" s="105">
        <v>11520</v>
      </c>
      <c r="O89" s="119">
        <v>4.3</v>
      </c>
    </row>
    <row r="90" spans="1:15" x14ac:dyDescent="0.2">
      <c r="A90" s="149"/>
      <c r="B90" s="116" t="s">
        <v>234</v>
      </c>
      <c r="C90" s="62"/>
      <c r="D90" s="62"/>
      <c r="E90" s="62"/>
      <c r="F90" s="62"/>
      <c r="G90" s="62"/>
      <c r="H90" s="109"/>
      <c r="I90" s="110" t="s">
        <v>1</v>
      </c>
      <c r="J90" s="175">
        <f>14188*0.00101</f>
        <v>14.329880000000001</v>
      </c>
      <c r="K90" s="119">
        <v>2911.23</v>
      </c>
      <c r="L90" s="112">
        <f>IF(K90=0," ",IF(K90=" -"," -",J90*K90))</f>
        <v>41717.576552400002</v>
      </c>
      <c r="N90" s="105"/>
      <c r="O90" s="119"/>
    </row>
    <row r="91" spans="1:15" x14ac:dyDescent="0.2">
      <c r="A91" s="149"/>
      <c r="B91" s="116"/>
      <c r="C91" s="62"/>
      <c r="D91" s="62"/>
      <c r="E91" s="62"/>
      <c r="F91" s="62"/>
      <c r="G91" s="62"/>
      <c r="H91" s="109"/>
      <c r="I91" s="110"/>
      <c r="J91" s="175"/>
      <c r="K91" s="119"/>
      <c r="L91" s="112"/>
      <c r="N91" s="105"/>
      <c r="O91" s="119"/>
    </row>
    <row r="92" spans="1:15" x14ac:dyDescent="0.2">
      <c r="A92" s="149"/>
      <c r="B92" s="114"/>
      <c r="C92" s="62"/>
      <c r="D92" s="62"/>
      <c r="E92" s="62"/>
      <c r="F92" s="62"/>
      <c r="G92" s="62"/>
      <c r="H92" s="109"/>
      <c r="I92" s="110"/>
      <c r="J92" s="127"/>
      <c r="K92" s="119"/>
      <c r="L92" s="112" t="str">
        <f>IF(K92=0," ",IF(K92=" -"," -",J92*K92))</f>
        <v xml:space="preserve"> </v>
      </c>
      <c r="N92" s="105"/>
      <c r="O92" s="119"/>
    </row>
    <row r="93" spans="1:15" x14ac:dyDescent="0.2">
      <c r="A93" s="149"/>
      <c r="B93" s="114" t="s">
        <v>168</v>
      </c>
      <c r="C93" s="62"/>
      <c r="D93" s="62"/>
      <c r="E93" s="62"/>
      <c r="F93" s="62"/>
      <c r="G93" s="62"/>
      <c r="H93" s="109"/>
      <c r="I93" s="110"/>
      <c r="J93" s="127"/>
      <c r="K93" s="119"/>
      <c r="L93" s="112"/>
      <c r="N93" s="105"/>
      <c r="O93" s="119"/>
    </row>
    <row r="94" spans="1:15" x14ac:dyDescent="0.2">
      <c r="A94" s="149"/>
      <c r="B94" s="114"/>
      <c r="C94" s="62"/>
      <c r="D94" s="62"/>
      <c r="E94" s="62"/>
      <c r="F94" s="62"/>
      <c r="G94" s="62"/>
      <c r="H94" s="109"/>
      <c r="I94" s="110"/>
      <c r="J94" s="127"/>
      <c r="K94" s="119"/>
      <c r="L94" s="112"/>
      <c r="N94" s="105"/>
      <c r="O94" s="119"/>
    </row>
    <row r="95" spans="1:15" x14ac:dyDescent="0.2">
      <c r="A95" s="149"/>
      <c r="B95" s="114" t="s">
        <v>169</v>
      </c>
      <c r="C95" s="62"/>
      <c r="D95" s="62"/>
      <c r="E95" s="62"/>
      <c r="F95" s="62"/>
      <c r="G95" s="62"/>
      <c r="H95" s="109"/>
      <c r="I95" s="110" t="s">
        <v>109</v>
      </c>
      <c r="J95" s="173">
        <v>193</v>
      </c>
      <c r="K95" s="119"/>
      <c r="L95" s="112" t="str">
        <f>IF(K95=0," ",IF(K95=" -"," -",J95*K95))</f>
        <v xml:space="preserve"> </v>
      </c>
      <c r="N95" s="105">
        <v>192</v>
      </c>
      <c r="O95" s="119">
        <v>256.13</v>
      </c>
    </row>
    <row r="96" spans="1:15" x14ac:dyDescent="0.2">
      <c r="A96" s="113"/>
      <c r="B96" s="114" t="s">
        <v>235</v>
      </c>
      <c r="C96" s="62"/>
      <c r="D96" s="62"/>
      <c r="E96" s="62"/>
      <c r="F96" s="62"/>
      <c r="G96" s="62"/>
      <c r="H96" s="109"/>
      <c r="I96" s="110" t="s">
        <v>209</v>
      </c>
      <c r="J96" s="175">
        <f>193*7.5316</f>
        <v>1453.5988</v>
      </c>
      <c r="K96" s="119">
        <v>15.5</v>
      </c>
      <c r="L96" s="112">
        <f>IF(K96=0," ",IF(K96=" -"," -",J96*K96))</f>
        <v>22530.7814</v>
      </c>
      <c r="N96" s="105"/>
      <c r="O96" s="119"/>
    </row>
    <row r="97" spans="1:15" x14ac:dyDescent="0.2">
      <c r="A97" s="113"/>
      <c r="B97" s="114" t="s">
        <v>236</v>
      </c>
      <c r="C97" s="62"/>
      <c r="D97" s="62"/>
      <c r="E97" s="62"/>
      <c r="F97" s="62"/>
      <c r="G97" s="62"/>
      <c r="H97" s="109"/>
      <c r="I97" s="110" t="s">
        <v>109</v>
      </c>
      <c r="J97" s="175">
        <f>193*0.8012</f>
        <v>154.63159999999999</v>
      </c>
      <c r="K97" s="119">
        <v>34.1</v>
      </c>
      <c r="L97" s="112">
        <f>IF(K97=0," ",IF(K97=" -"," -",J97*K97))</f>
        <v>5272.9375600000003</v>
      </c>
      <c r="N97" s="105"/>
      <c r="O97" s="119"/>
    </row>
    <row r="98" spans="1:15" x14ac:dyDescent="0.2">
      <c r="A98" s="113"/>
      <c r="B98" s="114" t="s">
        <v>237</v>
      </c>
      <c r="C98" s="62"/>
      <c r="D98" s="62"/>
      <c r="E98" s="62"/>
      <c r="F98" s="62"/>
      <c r="G98" s="62"/>
      <c r="H98" s="109"/>
      <c r="I98" s="110" t="s">
        <v>109</v>
      </c>
      <c r="J98" s="175">
        <f>193*0.393</f>
        <v>75.849000000000004</v>
      </c>
      <c r="K98" s="119">
        <v>31.32</v>
      </c>
      <c r="L98" s="112">
        <f>IF(K98=0," ",IF(K98=" -"," -",J98*K98))</f>
        <v>2375.5906800000002</v>
      </c>
      <c r="N98" s="105"/>
      <c r="O98" s="119"/>
    </row>
    <row r="99" spans="1:15" x14ac:dyDescent="0.2">
      <c r="A99" s="113"/>
      <c r="B99" s="114" t="s">
        <v>238</v>
      </c>
      <c r="C99" s="62"/>
      <c r="D99" s="62"/>
      <c r="E99" s="62"/>
      <c r="F99" s="62"/>
      <c r="G99" s="62"/>
      <c r="H99" s="109"/>
      <c r="I99" s="110" t="s">
        <v>109</v>
      </c>
      <c r="J99" s="175">
        <f>193*0.393</f>
        <v>75.849000000000004</v>
      </c>
      <c r="K99" s="119">
        <v>31.32</v>
      </c>
      <c r="L99" s="112">
        <f>IF(K99=0," ",IF(K99=" -"," -",J99*K99))</f>
        <v>2375.5906800000002</v>
      </c>
      <c r="N99" s="105"/>
      <c r="O99" s="119"/>
    </row>
    <row r="100" spans="1:15" x14ac:dyDescent="0.2">
      <c r="A100" s="149"/>
      <c r="B100" s="114"/>
      <c r="C100" s="62"/>
      <c r="D100" s="62"/>
      <c r="E100" s="62"/>
      <c r="F100" s="62"/>
      <c r="G100" s="62"/>
      <c r="H100" s="109"/>
      <c r="I100" s="110"/>
      <c r="J100" s="127"/>
      <c r="K100" s="119"/>
      <c r="L100" s="112"/>
      <c r="N100" s="105"/>
      <c r="O100" s="119"/>
    </row>
    <row r="101" spans="1:15" x14ac:dyDescent="0.2">
      <c r="A101" s="149"/>
      <c r="B101" s="114" t="s">
        <v>174</v>
      </c>
      <c r="C101" s="62"/>
      <c r="D101" s="62"/>
      <c r="E101" s="62"/>
      <c r="F101" s="62"/>
      <c r="G101" s="62"/>
      <c r="H101" s="109"/>
      <c r="I101" s="110" t="s">
        <v>109</v>
      </c>
      <c r="J101" s="173">
        <v>44</v>
      </c>
      <c r="K101" s="119"/>
      <c r="L101" s="112" t="str">
        <f>IF(K101=0," ",IF(K101=" -"," -",J101*K101))</f>
        <v xml:space="preserve"> </v>
      </c>
      <c r="N101" s="105">
        <v>44</v>
      </c>
      <c r="O101" s="119">
        <v>324.22000000000003</v>
      </c>
    </row>
    <row r="102" spans="1:15" x14ac:dyDescent="0.2">
      <c r="A102" s="113"/>
      <c r="B102" s="114" t="s">
        <v>239</v>
      </c>
      <c r="C102" s="62"/>
      <c r="D102" s="62"/>
      <c r="E102" s="62"/>
      <c r="F102" s="62"/>
      <c r="G102" s="62"/>
      <c r="H102" s="109"/>
      <c r="I102" s="110" t="s">
        <v>209</v>
      </c>
      <c r="J102" s="175">
        <f>44*11.9245</f>
        <v>524.678</v>
      </c>
      <c r="K102" s="119">
        <v>15.5</v>
      </c>
      <c r="L102" s="112">
        <f>IF(K102=0," ",IF(K102=" -"," -",J102*K102))</f>
        <v>8132.509</v>
      </c>
      <c r="N102" s="105"/>
      <c r="O102" s="119"/>
    </row>
    <row r="103" spans="1:15" x14ac:dyDescent="0.2">
      <c r="A103" s="113"/>
      <c r="B103" s="114" t="s">
        <v>240</v>
      </c>
      <c r="C103" s="62"/>
      <c r="D103" s="62"/>
      <c r="E103" s="62"/>
      <c r="F103" s="62"/>
      <c r="G103" s="62"/>
      <c r="H103" s="109"/>
      <c r="I103" s="110" t="s">
        <v>109</v>
      </c>
      <c r="J103" s="175">
        <f>44*0.8012</f>
        <v>35.252800000000001</v>
      </c>
      <c r="K103" s="119">
        <v>34.1</v>
      </c>
      <c r="L103" s="112">
        <f>IF(K103=0," ",IF(K103=" -"," -",J103*K103))</f>
        <v>1202.12048</v>
      </c>
      <c r="N103" s="105"/>
      <c r="O103" s="119"/>
    </row>
    <row r="104" spans="1:15" x14ac:dyDescent="0.2">
      <c r="A104" s="113"/>
      <c r="B104" s="114" t="s">
        <v>241</v>
      </c>
      <c r="C104" s="62"/>
      <c r="D104" s="62"/>
      <c r="E104" s="62"/>
      <c r="F104" s="62"/>
      <c r="G104" s="62"/>
      <c r="H104" s="109"/>
      <c r="I104" s="110" t="s">
        <v>109</v>
      </c>
      <c r="J104" s="175">
        <f>44*0.393</f>
        <v>17.292000000000002</v>
      </c>
      <c r="K104" s="119">
        <v>31.32</v>
      </c>
      <c r="L104" s="112">
        <f>IF(K104=0," ",IF(K104=" -"," -",J104*K104))</f>
        <v>541.58544000000006</v>
      </c>
      <c r="N104" s="105"/>
      <c r="O104" s="119"/>
    </row>
    <row r="105" spans="1:15" x14ac:dyDescent="0.2">
      <c r="A105" s="113"/>
      <c r="B105" s="114" t="s">
        <v>242</v>
      </c>
      <c r="C105" s="62"/>
      <c r="D105" s="62"/>
      <c r="E105" s="62"/>
      <c r="F105" s="62"/>
      <c r="G105" s="62"/>
      <c r="H105" s="109"/>
      <c r="I105" s="110" t="s">
        <v>109</v>
      </c>
      <c r="J105" s="175">
        <f>44*0.393</f>
        <v>17.292000000000002</v>
      </c>
      <c r="K105" s="119">
        <v>31.32</v>
      </c>
      <c r="L105" s="112">
        <f>IF(K105=0," ",IF(K105=" -"," -",J105*K105))</f>
        <v>541.58544000000006</v>
      </c>
      <c r="N105" s="105"/>
      <c r="O105" s="119"/>
    </row>
    <row r="106" spans="1:15" x14ac:dyDescent="0.2">
      <c r="A106" s="113"/>
      <c r="B106" s="114"/>
      <c r="C106" s="62"/>
      <c r="D106" s="62"/>
      <c r="E106" s="62"/>
      <c r="F106" s="62"/>
      <c r="G106" s="62"/>
      <c r="H106" s="109"/>
      <c r="I106" s="110"/>
      <c r="J106" s="175"/>
      <c r="K106" s="119"/>
      <c r="L106" s="112"/>
      <c r="N106" s="105"/>
      <c r="O106" s="119"/>
    </row>
    <row r="107" spans="1:15" x14ac:dyDescent="0.2">
      <c r="A107" s="113"/>
      <c r="B107" s="114"/>
      <c r="C107" s="62"/>
      <c r="D107" s="62"/>
      <c r="E107" s="62"/>
      <c r="F107" s="62"/>
      <c r="G107" s="62"/>
      <c r="H107" s="109"/>
      <c r="I107" s="110"/>
      <c r="J107" s="175"/>
      <c r="K107" s="119"/>
      <c r="L107" s="112"/>
      <c r="N107" s="105"/>
      <c r="O107" s="119"/>
    </row>
    <row r="108" spans="1:15" ht="13.5" thickBot="1" x14ac:dyDescent="0.25">
      <c r="A108" s="132"/>
      <c r="B108" s="133"/>
      <c r="C108" s="134"/>
      <c r="D108" s="134"/>
      <c r="E108" s="134"/>
      <c r="F108" s="134"/>
      <c r="G108" s="134"/>
      <c r="H108" s="135"/>
      <c r="I108" s="136"/>
      <c r="J108" s="137"/>
      <c r="K108" s="138"/>
      <c r="L108" s="139"/>
      <c r="N108" s="137"/>
      <c r="O108" s="138"/>
    </row>
    <row r="109" spans="1:15" ht="5.25" customHeight="1" thickBot="1" x14ac:dyDescent="0.25">
      <c r="A109" s="140"/>
      <c r="B109" s="140"/>
      <c r="C109" s="140"/>
      <c r="D109" s="140"/>
      <c r="E109" s="140"/>
      <c r="F109" s="140"/>
      <c r="G109" s="140"/>
      <c r="H109" s="140"/>
      <c r="I109" s="140"/>
      <c r="J109" s="141"/>
      <c r="K109" s="140"/>
      <c r="L109" s="140"/>
      <c r="N109" s="141"/>
      <c r="O109" s="140"/>
    </row>
    <row r="110" spans="1:15" x14ac:dyDescent="0.2">
      <c r="A110" s="91" t="s">
        <v>122</v>
      </c>
      <c r="B110" s="85"/>
      <c r="C110" s="85"/>
      <c r="D110" s="85"/>
      <c r="E110" s="142" t="s">
        <v>123</v>
      </c>
      <c r="F110" s="85"/>
      <c r="G110" s="85"/>
      <c r="H110" s="103"/>
      <c r="I110" s="42" t="s">
        <v>124</v>
      </c>
      <c r="J110" s="143"/>
      <c r="K110" s="142" t="s">
        <v>125</v>
      </c>
      <c r="L110" s="144"/>
      <c r="N110" s="143"/>
      <c r="O110" s="142" t="s">
        <v>125</v>
      </c>
    </row>
    <row r="111" spans="1:15" ht="13.5" customHeight="1" thickBot="1" x14ac:dyDescent="0.25">
      <c r="A111" s="689"/>
      <c r="B111" s="679"/>
      <c r="C111" s="679"/>
      <c r="D111" s="679"/>
      <c r="E111" s="690"/>
      <c r="F111" s="679"/>
      <c r="G111" s="679"/>
      <c r="H111" s="680"/>
      <c r="I111" s="145"/>
      <c r="J111" s="146"/>
      <c r="K111" s="133"/>
      <c r="L111" s="147"/>
      <c r="N111" s="146"/>
      <c r="O111" s="133"/>
    </row>
    <row r="112" spans="1:15" x14ac:dyDescent="0.2">
      <c r="A112" s="149"/>
      <c r="B112" s="114"/>
      <c r="C112" s="62"/>
      <c r="D112" s="62"/>
      <c r="E112" s="62"/>
      <c r="F112" s="62"/>
      <c r="G112" s="62"/>
      <c r="H112" s="109"/>
      <c r="I112" s="110"/>
      <c r="J112" s="127"/>
      <c r="K112" s="119"/>
      <c r="L112" s="112"/>
      <c r="N112" s="105"/>
      <c r="O112" s="119"/>
    </row>
    <row r="113" spans="1:15" x14ac:dyDescent="0.2">
      <c r="A113" s="149"/>
      <c r="B113" s="62"/>
      <c r="C113" s="62"/>
      <c r="D113" s="62"/>
      <c r="E113" s="62"/>
      <c r="F113" s="62"/>
      <c r="G113" s="62"/>
      <c r="H113" s="62"/>
      <c r="I113" s="104"/>
      <c r="J113" s="202"/>
      <c r="K113" s="119"/>
      <c r="L113" s="112"/>
      <c r="N113" s="99"/>
      <c r="O113" s="119"/>
    </row>
    <row r="114" spans="1:15" x14ac:dyDescent="0.2">
      <c r="A114" s="149"/>
      <c r="B114" s="691" t="s">
        <v>179</v>
      </c>
      <c r="C114" s="692"/>
      <c r="D114" s="692"/>
      <c r="E114" s="692"/>
      <c r="F114" s="692"/>
      <c r="G114" s="692"/>
      <c r="H114" s="693"/>
      <c r="I114" s="104"/>
      <c r="J114" s="177"/>
      <c r="K114" s="178"/>
      <c r="L114" s="112" t="str">
        <f t="shared" ref="L114:L120" si="6">IF(K114=0," ",IF(K114=" -"," -",J114*K114))</f>
        <v xml:space="preserve"> </v>
      </c>
      <c r="N114" s="179"/>
      <c r="O114" s="178"/>
    </row>
    <row r="115" spans="1:15" x14ac:dyDescent="0.2">
      <c r="A115" s="149"/>
      <c r="I115" s="151"/>
      <c r="J115" s="180"/>
      <c r="K115" s="181"/>
      <c r="L115" s="112" t="str">
        <f t="shared" si="6"/>
        <v xml:space="preserve"> </v>
      </c>
      <c r="N115" s="182"/>
      <c r="O115" s="181"/>
    </row>
    <row r="116" spans="1:15" x14ac:dyDescent="0.2">
      <c r="A116" s="149"/>
      <c r="B116" s="691" t="s">
        <v>256</v>
      </c>
      <c r="C116" s="692"/>
      <c r="D116" s="692"/>
      <c r="E116" s="692"/>
      <c r="F116" s="692"/>
      <c r="G116" s="692"/>
      <c r="H116" s="693"/>
      <c r="I116" s="151" t="s">
        <v>154</v>
      </c>
      <c r="J116" s="183">
        <v>433</v>
      </c>
      <c r="K116" s="181"/>
      <c r="L116" s="112" t="str">
        <f t="shared" si="6"/>
        <v xml:space="preserve"> </v>
      </c>
      <c r="N116" s="182">
        <v>420</v>
      </c>
      <c r="O116" s="181">
        <v>13.77</v>
      </c>
    </row>
    <row r="117" spans="1:15" x14ac:dyDescent="0.2">
      <c r="A117" s="113"/>
      <c r="B117" s="114" t="s">
        <v>243</v>
      </c>
      <c r="C117" s="62"/>
      <c r="D117" s="62"/>
      <c r="E117" s="62"/>
      <c r="F117" s="62"/>
      <c r="G117" s="62"/>
      <c r="H117" s="109"/>
      <c r="I117" s="110" t="s">
        <v>102</v>
      </c>
      <c r="J117" s="126">
        <f>433*0.0357</f>
        <v>15.458100000000002</v>
      </c>
      <c r="K117" s="119">
        <v>1.4</v>
      </c>
      <c r="L117" s="112">
        <f t="shared" si="6"/>
        <v>21.64134</v>
      </c>
      <c r="N117" s="182"/>
      <c r="O117" s="184"/>
    </row>
    <row r="118" spans="1:15" x14ac:dyDescent="0.2">
      <c r="A118" s="113"/>
      <c r="B118" s="114" t="s">
        <v>244</v>
      </c>
      <c r="C118" s="62"/>
      <c r="D118" s="62"/>
      <c r="E118" s="62"/>
      <c r="F118" s="62"/>
      <c r="G118" s="62"/>
      <c r="H118" s="109"/>
      <c r="I118" s="110" t="s">
        <v>154</v>
      </c>
      <c r="J118" s="126">
        <f>433*0.1571</f>
        <v>68.024299999999997</v>
      </c>
      <c r="K118" s="119">
        <v>25.5</v>
      </c>
      <c r="L118" s="112">
        <f t="shared" si="6"/>
        <v>1734.6196499999999</v>
      </c>
      <c r="N118" s="182"/>
      <c r="O118" s="184"/>
    </row>
    <row r="119" spans="1:15" x14ac:dyDescent="0.2">
      <c r="A119" s="113"/>
      <c r="B119" s="114" t="s">
        <v>245</v>
      </c>
      <c r="C119" s="62"/>
      <c r="D119" s="62"/>
      <c r="E119" s="62"/>
      <c r="F119" s="62"/>
      <c r="G119" s="62"/>
      <c r="H119" s="109"/>
      <c r="I119" s="110" t="s">
        <v>102</v>
      </c>
      <c r="J119" s="126">
        <f>433*0.1564</f>
        <v>67.72120000000001</v>
      </c>
      <c r="K119" s="119">
        <v>8.6300000000000008</v>
      </c>
      <c r="L119" s="112">
        <f t="shared" si="6"/>
        <v>584.43395600000019</v>
      </c>
      <c r="N119" s="182"/>
      <c r="O119" s="184"/>
    </row>
    <row r="120" spans="1:15" x14ac:dyDescent="0.2">
      <c r="A120" s="113"/>
      <c r="B120" s="114" t="s">
        <v>246</v>
      </c>
      <c r="C120" s="62"/>
      <c r="D120" s="62"/>
      <c r="E120" s="62"/>
      <c r="F120" s="62"/>
      <c r="G120" s="62"/>
      <c r="H120" s="109"/>
      <c r="I120" s="110" t="s">
        <v>165</v>
      </c>
      <c r="J120" s="126">
        <f>433*0.1074</f>
        <v>46.504199999999997</v>
      </c>
      <c r="K120" s="119">
        <v>3.91</v>
      </c>
      <c r="L120" s="112">
        <f t="shared" si="6"/>
        <v>181.831422</v>
      </c>
      <c r="N120" s="105"/>
      <c r="O120" s="119"/>
    </row>
    <row r="121" spans="1:15" x14ac:dyDescent="0.2">
      <c r="A121" s="113"/>
      <c r="B121" s="114"/>
      <c r="C121" s="62"/>
      <c r="D121" s="62"/>
      <c r="E121" s="62"/>
      <c r="F121" s="62"/>
      <c r="G121" s="62"/>
      <c r="H121" s="109"/>
      <c r="I121" s="110"/>
      <c r="J121" s="126"/>
      <c r="K121" s="119"/>
      <c r="L121" s="112"/>
      <c r="N121" s="105"/>
      <c r="O121" s="119"/>
    </row>
    <row r="122" spans="1:15" x14ac:dyDescent="0.2">
      <c r="A122" s="113"/>
      <c r="B122" s="114"/>
      <c r="C122" s="62"/>
      <c r="D122" s="62"/>
      <c r="E122" s="62"/>
      <c r="F122" s="62"/>
      <c r="G122" s="62"/>
      <c r="H122" s="109"/>
      <c r="I122" s="110"/>
      <c r="J122" s="126"/>
      <c r="K122" s="119"/>
      <c r="L122" s="112"/>
      <c r="N122" s="105"/>
      <c r="O122" s="119"/>
    </row>
    <row r="123" spans="1:15" x14ac:dyDescent="0.2">
      <c r="A123" s="149"/>
      <c r="B123" s="691" t="s">
        <v>184</v>
      </c>
      <c r="C123" s="692"/>
      <c r="D123" s="692"/>
      <c r="E123" s="692"/>
      <c r="F123" s="692"/>
      <c r="G123" s="692"/>
      <c r="H123" s="693"/>
      <c r="I123" s="185"/>
      <c r="J123" s="127"/>
      <c r="K123" s="178"/>
      <c r="L123" s="112" t="str">
        <f>IF(K123=0," ",IF(K123=" -"," -",J123*K123))</f>
        <v xml:space="preserve"> </v>
      </c>
      <c r="N123" s="105"/>
      <c r="O123" s="178"/>
    </row>
    <row r="124" spans="1:15" x14ac:dyDescent="0.2">
      <c r="A124" s="149"/>
      <c r="B124" s="150"/>
      <c r="C124" s="169"/>
      <c r="D124" s="169"/>
      <c r="E124" s="169"/>
      <c r="F124" s="169"/>
      <c r="G124" s="169"/>
      <c r="H124" s="170"/>
      <c r="I124" s="185"/>
      <c r="J124" s="127"/>
      <c r="K124" s="203"/>
      <c r="L124" s="112"/>
      <c r="N124" s="105"/>
      <c r="O124" s="203"/>
    </row>
    <row r="125" spans="1:15" x14ac:dyDescent="0.2">
      <c r="A125" s="113"/>
      <c r="B125" s="114"/>
      <c r="C125" s="62"/>
      <c r="D125" s="62"/>
      <c r="E125" s="62"/>
      <c r="F125" s="62"/>
      <c r="G125" s="62"/>
      <c r="H125" s="109"/>
      <c r="I125" s="110"/>
      <c r="J125" s="127"/>
      <c r="K125" s="119"/>
      <c r="L125" s="112" t="str">
        <f t="shared" ref="L125:L130" si="7">IF(K125=0," ",IF(K125=" -"," -",J125*K125))</f>
        <v xml:space="preserve"> </v>
      </c>
      <c r="N125" s="105"/>
      <c r="O125" s="119"/>
    </row>
    <row r="126" spans="1:15" x14ac:dyDescent="0.2">
      <c r="A126" s="113"/>
      <c r="B126" s="114" t="s">
        <v>185</v>
      </c>
      <c r="C126" s="62"/>
      <c r="D126" s="62"/>
      <c r="E126" s="62"/>
      <c r="F126" s="62"/>
      <c r="G126" s="62"/>
      <c r="H126" s="109"/>
      <c r="I126" s="110"/>
      <c r="J126" s="127"/>
      <c r="K126" s="119"/>
      <c r="L126" s="112" t="str">
        <f t="shared" si="7"/>
        <v xml:space="preserve"> </v>
      </c>
      <c r="N126" s="105"/>
      <c r="O126" s="119"/>
    </row>
    <row r="127" spans="1:15" x14ac:dyDescent="0.2">
      <c r="A127" s="113"/>
      <c r="B127" s="114" t="s">
        <v>186</v>
      </c>
      <c r="C127" s="62"/>
      <c r="D127" s="62"/>
      <c r="E127" s="62"/>
      <c r="F127" s="62"/>
      <c r="G127" s="62"/>
      <c r="H127" s="109"/>
      <c r="I127" s="110"/>
      <c r="J127" s="127"/>
      <c r="K127" s="119"/>
      <c r="L127" s="112" t="str">
        <f t="shared" si="7"/>
        <v xml:space="preserve"> </v>
      </c>
      <c r="N127" s="105"/>
      <c r="O127" s="119"/>
    </row>
    <row r="128" spans="1:15" x14ac:dyDescent="0.2">
      <c r="A128" s="113"/>
      <c r="B128" s="114"/>
      <c r="C128" s="62"/>
      <c r="D128" s="62"/>
      <c r="E128" s="62"/>
      <c r="F128" s="62"/>
      <c r="G128" s="62"/>
      <c r="H128" s="109"/>
      <c r="I128" s="110"/>
      <c r="J128" s="127"/>
      <c r="K128" s="119"/>
      <c r="L128" s="112" t="str">
        <f t="shared" si="7"/>
        <v xml:space="preserve"> </v>
      </c>
      <c r="N128" s="105"/>
      <c r="O128" s="119"/>
    </row>
    <row r="129" spans="1:15" x14ac:dyDescent="0.2">
      <c r="A129" s="149"/>
      <c r="B129" s="114" t="s">
        <v>187</v>
      </c>
      <c r="C129" s="62"/>
      <c r="D129" s="62"/>
      <c r="E129" s="62"/>
      <c r="F129" s="62"/>
      <c r="G129" s="62"/>
      <c r="H129" s="109"/>
      <c r="I129" s="110" t="s">
        <v>102</v>
      </c>
      <c r="J129" s="173">
        <v>574</v>
      </c>
      <c r="K129" s="119"/>
      <c r="L129" s="112" t="str">
        <f t="shared" si="7"/>
        <v xml:space="preserve"> </v>
      </c>
      <c r="N129" s="105">
        <v>557</v>
      </c>
      <c r="O129" s="119">
        <v>121.58</v>
      </c>
    </row>
    <row r="130" spans="1:15" x14ac:dyDescent="0.2">
      <c r="A130" s="149"/>
      <c r="B130" s="114" t="s">
        <v>247</v>
      </c>
      <c r="C130" s="62"/>
      <c r="D130" s="62"/>
      <c r="E130" s="62"/>
      <c r="F130" s="62"/>
      <c r="G130" s="62"/>
      <c r="H130" s="109"/>
      <c r="I130" s="110" t="s">
        <v>102</v>
      </c>
      <c r="J130" s="126">
        <v>574</v>
      </c>
      <c r="K130" s="119">
        <v>118.49</v>
      </c>
      <c r="L130" s="204">
        <f t="shared" si="7"/>
        <v>68013.259999999995</v>
      </c>
      <c r="N130" s="105"/>
      <c r="O130" s="119"/>
    </row>
    <row r="131" spans="1:15" x14ac:dyDescent="0.2">
      <c r="A131" s="149"/>
      <c r="B131" s="114"/>
      <c r="C131" s="62"/>
      <c r="D131" s="62"/>
      <c r="E131" s="62"/>
      <c r="F131" s="62"/>
      <c r="G131" s="62"/>
      <c r="H131" s="109"/>
      <c r="I131" s="110"/>
      <c r="J131" s="126"/>
      <c r="K131" s="119"/>
      <c r="L131" s="204"/>
      <c r="N131" s="105"/>
      <c r="O131" s="119"/>
    </row>
    <row r="132" spans="1:15" x14ac:dyDescent="0.2">
      <c r="A132" s="149"/>
      <c r="B132" s="114"/>
      <c r="C132" s="62"/>
      <c r="D132" s="62"/>
      <c r="E132" s="62"/>
      <c r="F132" s="62"/>
      <c r="G132" s="62"/>
      <c r="H132" s="109"/>
      <c r="I132" s="110"/>
      <c r="J132" s="127"/>
      <c r="K132" s="119"/>
      <c r="L132" s="112"/>
      <c r="N132" s="105"/>
      <c r="O132" s="119"/>
    </row>
    <row r="133" spans="1:15" x14ac:dyDescent="0.2">
      <c r="A133" s="149"/>
      <c r="B133" s="114" t="s">
        <v>190</v>
      </c>
      <c r="C133" s="62"/>
      <c r="D133" s="62"/>
      <c r="E133" s="62"/>
      <c r="F133" s="62"/>
      <c r="G133" s="62"/>
      <c r="H133" s="109"/>
      <c r="I133" s="110" t="s">
        <v>102</v>
      </c>
      <c r="J133" s="173">
        <v>329</v>
      </c>
      <c r="K133" s="119"/>
      <c r="L133" s="112" t="str">
        <f>IF(K133=0," ",IF(K133=" -"," -",J133*K133))</f>
        <v xml:space="preserve"> </v>
      </c>
      <c r="N133" s="105">
        <v>319</v>
      </c>
      <c r="O133" s="119">
        <v>147.02000000000001</v>
      </c>
    </row>
    <row r="134" spans="1:15" x14ac:dyDescent="0.2">
      <c r="A134" s="149"/>
      <c r="B134" s="114" t="s">
        <v>248</v>
      </c>
      <c r="C134" s="62"/>
      <c r="D134" s="62"/>
      <c r="E134" s="62"/>
      <c r="F134" s="62"/>
      <c r="G134" s="62"/>
      <c r="H134" s="109"/>
      <c r="I134" s="110" t="s">
        <v>102</v>
      </c>
      <c r="J134" s="126">
        <v>329</v>
      </c>
      <c r="K134" s="119">
        <v>143.68</v>
      </c>
      <c r="L134" s="112">
        <f>IF(K134=0," ",IF(K134=" -"," -",J134*K134))</f>
        <v>47270.720000000001</v>
      </c>
      <c r="N134" s="105"/>
      <c r="O134" s="119"/>
    </row>
    <row r="135" spans="1:15" x14ac:dyDescent="0.2">
      <c r="A135" s="149"/>
      <c r="B135" s="114"/>
      <c r="C135" s="62"/>
      <c r="D135" s="62"/>
      <c r="E135" s="62"/>
      <c r="F135" s="62"/>
      <c r="G135" s="62"/>
      <c r="H135" s="109"/>
      <c r="I135" s="110"/>
      <c r="J135" s="127"/>
      <c r="K135" s="119"/>
      <c r="L135" s="112"/>
      <c r="N135" s="105"/>
      <c r="O135" s="119"/>
    </row>
    <row r="136" spans="1:15" x14ac:dyDescent="0.2">
      <c r="A136" s="149"/>
      <c r="B136" s="114"/>
      <c r="C136" s="62"/>
      <c r="D136" s="62"/>
      <c r="E136" s="62"/>
      <c r="F136" s="62"/>
      <c r="G136" s="62"/>
      <c r="H136" s="109"/>
      <c r="I136" s="110"/>
      <c r="J136" s="105"/>
      <c r="K136" s="119"/>
      <c r="L136" s="112" t="str">
        <f>IF(K136=0," ",IF(K136=" -"," -",J136*K136))</f>
        <v xml:space="preserve"> </v>
      </c>
      <c r="N136" s="105"/>
      <c r="O136" s="119"/>
    </row>
    <row r="137" spans="1:15" x14ac:dyDescent="0.2">
      <c r="A137" s="188"/>
      <c r="B137" s="102" t="s">
        <v>193</v>
      </c>
      <c r="C137" s="62"/>
      <c r="D137" s="62"/>
      <c r="E137" s="62"/>
      <c r="F137" s="62"/>
      <c r="G137" s="62"/>
      <c r="H137" s="109"/>
      <c r="I137" s="110"/>
      <c r="J137" s="105"/>
      <c r="K137" s="119"/>
      <c r="L137" s="112" t="str">
        <f>IF(K137=0," ",IF(K137=" -"," -",J137*K137))</f>
        <v xml:space="preserve"> </v>
      </c>
      <c r="N137" s="105"/>
      <c r="O137" s="119"/>
    </row>
    <row r="138" spans="1:15" x14ac:dyDescent="0.2">
      <c r="A138" s="188"/>
      <c r="B138" s="102" t="s">
        <v>194</v>
      </c>
      <c r="C138" s="62"/>
      <c r="D138" s="62"/>
      <c r="E138" s="62"/>
      <c r="F138" s="62"/>
      <c r="G138" s="62"/>
      <c r="H138" s="109"/>
      <c r="I138" s="185" t="s">
        <v>102</v>
      </c>
      <c r="J138" s="117">
        <v>10</v>
      </c>
      <c r="K138" s="189"/>
      <c r="L138" s="112" t="str">
        <f>IF(K138=0," ",IF(K138=" -"," -",J138*K138))</f>
        <v xml:space="preserve"> </v>
      </c>
      <c r="N138" s="105">
        <v>10</v>
      </c>
      <c r="O138" s="189">
        <v>138.66</v>
      </c>
    </row>
    <row r="139" spans="1:15" x14ac:dyDescent="0.2">
      <c r="A139" s="190"/>
      <c r="B139" s="102" t="s">
        <v>249</v>
      </c>
      <c r="C139" s="62"/>
      <c r="D139" s="62"/>
      <c r="E139" s="62"/>
      <c r="F139" s="62"/>
      <c r="G139" s="62"/>
      <c r="H139" s="109"/>
      <c r="I139" s="185"/>
      <c r="J139" s="105"/>
      <c r="K139" s="189"/>
      <c r="L139" s="112" t="str">
        <f>IF(K139=0," ",IF(K139=" -"," -",J139*K139))</f>
        <v xml:space="preserve"> </v>
      </c>
      <c r="N139" s="105"/>
      <c r="O139" s="189"/>
    </row>
    <row r="140" spans="1:15" x14ac:dyDescent="0.2">
      <c r="A140" s="190"/>
      <c r="B140" s="102" t="s">
        <v>250</v>
      </c>
      <c r="C140" s="62"/>
      <c r="D140" s="62"/>
      <c r="E140" s="62"/>
      <c r="F140" s="62"/>
      <c r="G140" s="62"/>
      <c r="H140" s="109"/>
      <c r="I140" s="185" t="s">
        <v>102</v>
      </c>
      <c r="J140" s="126">
        <v>10</v>
      </c>
      <c r="K140" s="189">
        <v>87.19</v>
      </c>
      <c r="L140" s="112">
        <f>IF(K140=0," ",IF(K140=" -"," -",J140*K140))</f>
        <v>871.9</v>
      </c>
      <c r="N140" s="105"/>
      <c r="O140" s="189"/>
    </row>
    <row r="141" spans="1:15" x14ac:dyDescent="0.2">
      <c r="A141" s="190"/>
      <c r="B141" s="102"/>
      <c r="C141" s="62"/>
      <c r="D141" s="62"/>
      <c r="E141" s="62"/>
      <c r="F141" s="62"/>
      <c r="G141" s="62"/>
      <c r="H141" s="109"/>
      <c r="I141" s="185"/>
      <c r="J141" s="126"/>
      <c r="K141" s="189"/>
      <c r="L141" s="112"/>
      <c r="N141" s="105"/>
      <c r="O141" s="189"/>
    </row>
    <row r="142" spans="1:15" x14ac:dyDescent="0.2">
      <c r="A142" s="190"/>
      <c r="B142" s="102"/>
      <c r="C142" s="62"/>
      <c r="D142" s="62"/>
      <c r="E142" s="62"/>
      <c r="F142" s="62"/>
      <c r="G142" s="62"/>
      <c r="H142" s="109"/>
      <c r="I142" s="185"/>
      <c r="J142" s="126"/>
      <c r="K142" s="189"/>
      <c r="L142" s="112"/>
      <c r="N142" s="105"/>
      <c r="O142" s="189"/>
    </row>
    <row r="143" spans="1:15" ht="13.5" thickBot="1" x14ac:dyDescent="0.25">
      <c r="A143" s="132"/>
      <c r="B143" s="133"/>
      <c r="C143" s="134"/>
      <c r="D143" s="134"/>
      <c r="E143" s="134"/>
      <c r="F143" s="134"/>
      <c r="G143" s="134"/>
      <c r="H143" s="135"/>
      <c r="I143" s="136"/>
      <c r="J143" s="137"/>
      <c r="K143" s="138"/>
      <c r="L143" s="139"/>
      <c r="N143" s="137"/>
      <c r="O143" s="138"/>
    </row>
    <row r="144" spans="1:15" ht="5.25" customHeight="1" thickBot="1" x14ac:dyDescent="0.25">
      <c r="A144" s="140"/>
      <c r="B144" s="140"/>
      <c r="C144" s="140"/>
      <c r="D144" s="140"/>
      <c r="E144" s="140"/>
      <c r="F144" s="140"/>
      <c r="G144" s="140"/>
      <c r="H144" s="140"/>
      <c r="I144" s="140"/>
      <c r="J144" s="141"/>
      <c r="K144" s="140"/>
      <c r="L144" s="140"/>
      <c r="N144" s="141"/>
      <c r="O144" s="140"/>
    </row>
    <row r="145" spans="1:15" x14ac:dyDescent="0.2">
      <c r="A145" s="91" t="s">
        <v>122</v>
      </c>
      <c r="B145" s="85"/>
      <c r="C145" s="85"/>
      <c r="D145" s="85"/>
      <c r="E145" s="142" t="s">
        <v>123</v>
      </c>
      <c r="F145" s="85"/>
      <c r="G145" s="85"/>
      <c r="H145" s="103"/>
      <c r="I145" s="42" t="s">
        <v>124</v>
      </c>
      <c r="J145" s="143"/>
      <c r="K145" s="142" t="s">
        <v>125</v>
      </c>
      <c r="L145" s="144"/>
      <c r="N145" s="143"/>
      <c r="O145" s="142" t="s">
        <v>125</v>
      </c>
    </row>
    <row r="146" spans="1:15" ht="13.5" customHeight="1" thickBot="1" x14ac:dyDescent="0.25">
      <c r="A146" s="689"/>
      <c r="B146" s="679"/>
      <c r="C146" s="679"/>
      <c r="D146" s="679"/>
      <c r="E146" s="690"/>
      <c r="F146" s="679"/>
      <c r="G146" s="679"/>
      <c r="H146" s="680"/>
      <c r="I146" s="145"/>
      <c r="J146" s="146"/>
      <c r="K146" s="133"/>
      <c r="L146" s="147"/>
      <c r="N146" s="146"/>
      <c r="O146" s="133"/>
    </row>
    <row r="147" spans="1:15" x14ac:dyDescent="0.2">
      <c r="A147" s="190"/>
      <c r="B147" s="102"/>
      <c r="C147" s="62"/>
      <c r="D147" s="62"/>
      <c r="E147" s="62"/>
      <c r="F147" s="62"/>
      <c r="G147" s="62"/>
      <c r="H147" s="109"/>
      <c r="I147" s="185"/>
      <c r="J147" s="126"/>
      <c r="K147" s="189"/>
      <c r="L147" s="112"/>
      <c r="N147" s="105"/>
      <c r="O147" s="189"/>
    </row>
    <row r="148" spans="1:15" x14ac:dyDescent="0.2">
      <c r="A148" s="190"/>
      <c r="B148" s="102"/>
      <c r="C148" s="62"/>
      <c r="D148" s="62"/>
      <c r="E148" s="62"/>
      <c r="F148" s="62"/>
      <c r="G148" s="62"/>
      <c r="H148" s="109"/>
      <c r="I148" s="185"/>
      <c r="J148" s="126"/>
      <c r="K148" s="189"/>
      <c r="L148" s="112"/>
      <c r="N148" s="105"/>
      <c r="O148" s="189"/>
    </row>
    <row r="149" spans="1:15" x14ac:dyDescent="0.2">
      <c r="A149" s="113"/>
      <c r="B149" s="114" t="s">
        <v>197</v>
      </c>
      <c r="C149" s="62"/>
      <c r="D149" s="62"/>
      <c r="E149" s="62"/>
      <c r="F149" s="62"/>
      <c r="G149" s="62"/>
      <c r="H149" s="109"/>
      <c r="I149" s="110"/>
      <c r="J149" s="192"/>
      <c r="K149" s="119"/>
      <c r="L149" s="112" t="str">
        <f t="shared" ref="L149:L154" si="8">IF(K149=0," ",IF(K149=" -"," -",J149*K149))</f>
        <v xml:space="preserve"> </v>
      </c>
      <c r="N149" s="192"/>
      <c r="O149" s="119"/>
    </row>
    <row r="150" spans="1:15" x14ac:dyDescent="0.2">
      <c r="A150" s="113"/>
      <c r="B150" s="114"/>
      <c r="C150" s="62"/>
      <c r="D150" s="62"/>
      <c r="E150" s="62"/>
      <c r="F150" s="62"/>
      <c r="G150" s="62"/>
      <c r="H150" s="109"/>
      <c r="I150" s="110"/>
      <c r="J150" s="192"/>
      <c r="K150" s="119"/>
      <c r="L150" s="112" t="str">
        <f t="shared" si="8"/>
        <v xml:space="preserve"> </v>
      </c>
      <c r="N150" s="192"/>
      <c r="O150" s="119"/>
    </row>
    <row r="151" spans="1:15" x14ac:dyDescent="0.2">
      <c r="A151" s="113"/>
      <c r="B151" s="114" t="s">
        <v>198</v>
      </c>
      <c r="C151" s="62"/>
      <c r="D151" s="62"/>
      <c r="E151" s="62"/>
      <c r="F151" s="62"/>
      <c r="G151" s="62"/>
      <c r="H151" s="109"/>
      <c r="I151" s="110" t="s">
        <v>199</v>
      </c>
      <c r="J151" s="117">
        <v>33</v>
      </c>
      <c r="K151" s="119"/>
      <c r="L151" s="112" t="str">
        <f t="shared" si="8"/>
        <v xml:space="preserve"> </v>
      </c>
      <c r="N151" s="105">
        <v>33</v>
      </c>
      <c r="O151" s="119">
        <v>190.02</v>
      </c>
    </row>
    <row r="152" spans="1:15" x14ac:dyDescent="0.2">
      <c r="A152" s="113"/>
      <c r="B152" s="114" t="s">
        <v>212</v>
      </c>
      <c r="C152" s="62"/>
      <c r="D152" s="62"/>
      <c r="E152" s="62"/>
      <c r="F152" s="62"/>
      <c r="G152" s="62"/>
      <c r="H152" s="109"/>
      <c r="I152" s="110" t="s">
        <v>209</v>
      </c>
      <c r="J152" s="175">
        <f>33*0.0871</f>
        <v>2.8742999999999999</v>
      </c>
      <c r="K152" s="119">
        <v>15.5</v>
      </c>
      <c r="L152" s="112">
        <f t="shared" si="8"/>
        <v>44.551649999999995</v>
      </c>
      <c r="N152" s="105"/>
      <c r="O152" s="119"/>
    </row>
    <row r="153" spans="1:15" x14ac:dyDescent="0.2">
      <c r="A153" s="113"/>
      <c r="B153" s="114" t="s">
        <v>213</v>
      </c>
      <c r="C153" s="62"/>
      <c r="D153" s="62"/>
      <c r="E153" s="62"/>
      <c r="F153" s="62"/>
      <c r="G153" s="62"/>
      <c r="H153" s="109"/>
      <c r="I153" s="110" t="s">
        <v>109</v>
      </c>
      <c r="J153" s="175">
        <f>33*0.0082</f>
        <v>0.27060000000000001</v>
      </c>
      <c r="K153" s="119">
        <v>34.1</v>
      </c>
      <c r="L153" s="112">
        <f t="shared" si="8"/>
        <v>9.2274600000000007</v>
      </c>
      <c r="N153" s="105"/>
      <c r="O153" s="119"/>
    </row>
    <row r="154" spans="1:15" x14ac:dyDescent="0.2">
      <c r="A154" s="113"/>
      <c r="B154" s="114" t="s">
        <v>251</v>
      </c>
      <c r="C154" s="62"/>
      <c r="D154" s="62"/>
      <c r="E154" s="62"/>
      <c r="F154" s="62"/>
      <c r="G154" s="62"/>
      <c r="H154" s="109"/>
      <c r="I154" s="110" t="s">
        <v>199</v>
      </c>
      <c r="J154" s="126">
        <f>33*1</f>
        <v>33</v>
      </c>
      <c r="K154" s="119">
        <v>170.29</v>
      </c>
      <c r="L154" s="112">
        <f t="shared" si="8"/>
        <v>5619.57</v>
      </c>
      <c r="N154" s="105"/>
      <c r="O154" s="119"/>
    </row>
    <row r="155" spans="1:15" x14ac:dyDescent="0.2">
      <c r="A155" s="113"/>
      <c r="B155" s="114"/>
      <c r="C155" s="62"/>
      <c r="D155" s="62"/>
      <c r="E155" s="62"/>
      <c r="F155" s="62"/>
      <c r="G155" s="62"/>
      <c r="H155" s="109"/>
      <c r="I155" s="110"/>
      <c r="J155" s="192"/>
      <c r="K155" s="119"/>
      <c r="L155" s="112"/>
      <c r="N155" s="192"/>
      <c r="O155" s="119"/>
    </row>
    <row r="156" spans="1:15" x14ac:dyDescent="0.2">
      <c r="A156" s="113"/>
      <c r="B156" s="114"/>
      <c r="C156" s="62"/>
      <c r="D156" s="62"/>
      <c r="E156" s="62"/>
      <c r="F156" s="62"/>
      <c r="G156" s="62"/>
      <c r="H156" s="109"/>
      <c r="I156" s="110"/>
      <c r="J156" s="192"/>
      <c r="K156" s="111"/>
      <c r="L156" s="112" t="str">
        <f>IF(K156=0," ",IF(K156=" -"," -",J156*K156))</f>
        <v xml:space="preserve"> </v>
      </c>
      <c r="N156" s="192"/>
      <c r="O156" s="111"/>
    </row>
    <row r="157" spans="1:15" x14ac:dyDescent="0.2">
      <c r="A157" s="113"/>
      <c r="B157" s="694" t="s">
        <v>252</v>
      </c>
      <c r="C157" s="692"/>
      <c r="D157" s="692"/>
      <c r="E157" s="692"/>
      <c r="F157" s="692"/>
      <c r="G157" s="62"/>
      <c r="H157" s="109"/>
      <c r="I157" s="110"/>
      <c r="J157" s="192"/>
      <c r="K157" s="194"/>
      <c r="L157" s="195">
        <f>SUM(L7:L156)</f>
        <v>264928.59288464999</v>
      </c>
      <c r="N157" s="192"/>
      <c r="O157" s="194"/>
    </row>
    <row r="158" spans="1:15" x14ac:dyDescent="0.2">
      <c r="A158" s="113"/>
      <c r="B158" s="193"/>
      <c r="C158" s="169"/>
      <c r="D158" s="169"/>
      <c r="E158" s="169"/>
      <c r="F158" s="169"/>
      <c r="G158" s="62"/>
      <c r="H158" s="109"/>
      <c r="I158" s="110"/>
      <c r="J158" s="192"/>
      <c r="K158" s="194"/>
      <c r="L158" s="195"/>
      <c r="N158" s="192"/>
      <c r="O158" s="194"/>
    </row>
    <row r="159" spans="1:15" x14ac:dyDescent="0.2">
      <c r="A159" s="113"/>
      <c r="B159" s="193"/>
      <c r="C159" s="169"/>
      <c r="D159" s="169"/>
      <c r="E159" s="169"/>
      <c r="F159" s="169"/>
      <c r="G159" s="62"/>
      <c r="H159" s="109"/>
      <c r="I159" s="110"/>
      <c r="J159" s="192"/>
      <c r="K159" s="194"/>
      <c r="L159" s="195"/>
      <c r="N159" s="192"/>
      <c r="O159" s="194"/>
    </row>
    <row r="160" spans="1:15" x14ac:dyDescent="0.2">
      <c r="A160" s="113"/>
      <c r="B160" s="193"/>
      <c r="C160" s="169"/>
      <c r="D160" s="169"/>
      <c r="E160" s="169"/>
      <c r="F160" s="169"/>
      <c r="G160" s="62"/>
      <c r="H160" s="109"/>
      <c r="I160" s="110"/>
      <c r="J160" s="192"/>
      <c r="K160" s="194"/>
      <c r="L160" s="195"/>
      <c r="N160" s="192"/>
      <c r="O160" s="194"/>
    </row>
    <row r="161" spans="1:15" x14ac:dyDescent="0.2">
      <c r="A161" s="113"/>
      <c r="B161" s="193"/>
      <c r="C161" s="169"/>
      <c r="D161" s="169"/>
      <c r="E161" s="169"/>
      <c r="F161" s="169"/>
      <c r="G161" s="62"/>
      <c r="H161" s="109"/>
      <c r="I161" s="110"/>
      <c r="J161" s="192"/>
      <c r="K161" s="194"/>
      <c r="L161" s="195"/>
      <c r="N161" s="192"/>
      <c r="O161" s="194"/>
    </row>
    <row r="162" spans="1:15" x14ac:dyDescent="0.2">
      <c r="A162" s="113"/>
      <c r="B162" s="193"/>
      <c r="C162" s="169"/>
      <c r="D162" s="169"/>
      <c r="E162" s="169"/>
      <c r="F162" s="169"/>
      <c r="G162" s="62"/>
      <c r="H162" s="109"/>
      <c r="I162" s="110"/>
      <c r="J162" s="192"/>
      <c r="K162" s="194"/>
      <c r="L162" s="195"/>
      <c r="N162" s="192"/>
      <c r="O162" s="194"/>
    </row>
    <row r="163" spans="1:15" x14ac:dyDescent="0.2">
      <c r="A163" s="113"/>
      <c r="B163" s="193"/>
      <c r="C163" s="169"/>
      <c r="D163" s="169"/>
      <c r="E163" s="169"/>
      <c r="F163" s="169"/>
      <c r="G163" s="62"/>
      <c r="H163" s="109"/>
      <c r="I163" s="110"/>
      <c r="J163" s="192"/>
      <c r="K163" s="194"/>
      <c r="L163" s="195"/>
      <c r="N163" s="192"/>
      <c r="O163" s="194"/>
    </row>
    <row r="164" spans="1:15" x14ac:dyDescent="0.2">
      <c r="A164" s="113"/>
      <c r="B164" s="193"/>
      <c r="C164" s="169"/>
      <c r="D164" s="169"/>
      <c r="E164" s="169"/>
      <c r="F164" s="169"/>
      <c r="G164" s="62"/>
      <c r="H164" s="109"/>
      <c r="I164" s="110"/>
      <c r="J164" s="192"/>
      <c r="K164" s="194"/>
      <c r="L164" s="195"/>
      <c r="N164" s="192"/>
      <c r="O164" s="194"/>
    </row>
    <row r="165" spans="1:15" x14ac:dyDescent="0.2">
      <c r="A165" s="113"/>
      <c r="B165" s="193"/>
      <c r="C165" s="169"/>
      <c r="D165" s="169"/>
      <c r="E165" s="169"/>
      <c r="F165" s="169"/>
      <c r="G165" s="62"/>
      <c r="H165" s="109"/>
      <c r="I165" s="110"/>
      <c r="J165" s="192"/>
      <c r="K165" s="194"/>
      <c r="L165" s="195"/>
      <c r="N165" s="192"/>
      <c r="O165" s="194"/>
    </row>
    <row r="166" spans="1:15" x14ac:dyDescent="0.2">
      <c r="A166" s="113"/>
      <c r="B166" s="193"/>
      <c r="C166" s="169"/>
      <c r="D166" s="169"/>
      <c r="E166" s="169"/>
      <c r="F166" s="169"/>
      <c r="G166" s="62"/>
      <c r="H166" s="109"/>
      <c r="I166" s="110"/>
      <c r="J166" s="192"/>
      <c r="K166" s="194"/>
      <c r="L166" s="195"/>
      <c r="N166" s="192"/>
      <c r="O166" s="194"/>
    </row>
    <row r="167" spans="1:15" x14ac:dyDescent="0.2">
      <c r="A167" s="113"/>
      <c r="B167" s="193"/>
      <c r="C167" s="169"/>
      <c r="D167" s="169"/>
      <c r="E167" s="169"/>
      <c r="F167" s="169"/>
      <c r="G167" s="62"/>
      <c r="H167" s="109"/>
      <c r="I167" s="110"/>
      <c r="J167" s="192"/>
      <c r="K167" s="194"/>
      <c r="L167" s="195"/>
      <c r="N167" s="192"/>
      <c r="O167" s="194"/>
    </row>
    <row r="168" spans="1:15" x14ac:dyDescent="0.2">
      <c r="A168" s="113"/>
      <c r="B168" s="193"/>
      <c r="C168" s="169"/>
      <c r="D168" s="169"/>
      <c r="E168" s="169"/>
      <c r="F168" s="169"/>
      <c r="G168" s="62"/>
      <c r="H168" s="109"/>
      <c r="I168" s="110"/>
      <c r="J168" s="192"/>
      <c r="K168" s="194"/>
      <c r="L168" s="195"/>
      <c r="N168" s="192"/>
      <c r="O168" s="194"/>
    </row>
    <row r="169" spans="1:15" x14ac:dyDescent="0.2">
      <c r="A169" s="113"/>
      <c r="B169" s="193"/>
      <c r="C169" s="169"/>
      <c r="D169" s="169"/>
      <c r="E169" s="169"/>
      <c r="F169" s="169"/>
      <c r="G169" s="62"/>
      <c r="H169" s="109"/>
      <c r="I169" s="110"/>
      <c r="J169" s="192"/>
      <c r="K169" s="194"/>
      <c r="L169" s="195"/>
      <c r="N169" s="192"/>
      <c r="O169" s="194"/>
    </row>
    <row r="170" spans="1:15" x14ac:dyDescent="0.2">
      <c r="A170" s="113"/>
      <c r="B170" s="193"/>
      <c r="C170" s="169"/>
      <c r="D170" s="169"/>
      <c r="E170" s="169"/>
      <c r="F170" s="169"/>
      <c r="G170" s="62"/>
      <c r="H170" s="109"/>
      <c r="I170" s="110"/>
      <c r="J170" s="192"/>
      <c r="K170" s="194"/>
      <c r="L170" s="195"/>
      <c r="N170" s="192"/>
      <c r="O170" s="194"/>
    </row>
    <row r="171" spans="1:15" x14ac:dyDescent="0.2">
      <c r="A171" s="113"/>
      <c r="B171" s="193"/>
      <c r="C171" s="169"/>
      <c r="D171" s="169"/>
      <c r="E171" s="169"/>
      <c r="F171" s="169"/>
      <c r="G171" s="62"/>
      <c r="H171" s="109"/>
      <c r="I171" s="110"/>
      <c r="J171" s="192"/>
      <c r="K171" s="194"/>
      <c r="L171" s="195"/>
      <c r="N171" s="192"/>
      <c r="O171" s="194"/>
    </row>
    <row r="172" spans="1:15" x14ac:dyDescent="0.2">
      <c r="A172" s="113"/>
      <c r="B172" s="193"/>
      <c r="C172" s="169"/>
      <c r="D172" s="169"/>
      <c r="E172" s="169"/>
      <c r="F172" s="169"/>
      <c r="G172" s="62"/>
      <c r="H172" s="109"/>
      <c r="I172" s="110"/>
      <c r="J172" s="192"/>
      <c r="K172" s="194"/>
      <c r="L172" s="195"/>
      <c r="N172" s="192"/>
      <c r="O172" s="194"/>
    </row>
    <row r="173" spans="1:15" x14ac:dyDescent="0.2">
      <c r="A173" s="113"/>
      <c r="B173" s="193"/>
      <c r="C173" s="169"/>
      <c r="D173" s="169"/>
      <c r="E173" s="169"/>
      <c r="F173" s="169"/>
      <c r="G173" s="62"/>
      <c r="H173" s="109"/>
      <c r="I173" s="110"/>
      <c r="J173" s="192"/>
      <c r="K173" s="194"/>
      <c r="L173" s="195"/>
      <c r="N173" s="192"/>
      <c r="O173" s="194"/>
    </row>
    <row r="174" spans="1:15" x14ac:dyDescent="0.2">
      <c r="A174" s="113"/>
      <c r="B174" s="193"/>
      <c r="C174" s="169"/>
      <c r="D174" s="169"/>
      <c r="E174" s="169"/>
      <c r="F174" s="169"/>
      <c r="G174" s="62"/>
      <c r="H174" s="109"/>
      <c r="I174" s="110"/>
      <c r="J174" s="192"/>
      <c r="K174" s="194"/>
      <c r="L174" s="195"/>
      <c r="N174" s="192"/>
      <c r="O174" s="194"/>
    </row>
    <row r="175" spans="1:15" x14ac:dyDescent="0.2">
      <c r="A175" s="113"/>
      <c r="B175" s="193"/>
      <c r="C175" s="169"/>
      <c r="D175" s="169"/>
      <c r="E175" s="169"/>
      <c r="F175" s="169"/>
      <c r="G175" s="62"/>
      <c r="H175" s="109"/>
      <c r="I175" s="110"/>
      <c r="J175" s="192"/>
      <c r="K175" s="194"/>
      <c r="L175" s="195"/>
      <c r="N175" s="192"/>
      <c r="O175" s="194"/>
    </row>
    <row r="176" spans="1:15" x14ac:dyDescent="0.2">
      <c r="A176" s="113"/>
      <c r="B176" s="193"/>
      <c r="C176" s="169"/>
      <c r="D176" s="169"/>
      <c r="E176" s="169"/>
      <c r="F176" s="169"/>
      <c r="G176" s="62"/>
      <c r="H176" s="109"/>
      <c r="I176" s="110"/>
      <c r="J176" s="192"/>
      <c r="K176" s="194"/>
      <c r="L176" s="195"/>
      <c r="N176" s="192"/>
      <c r="O176" s="194"/>
    </row>
    <row r="177" spans="1:15" x14ac:dyDescent="0.2">
      <c r="A177" s="113"/>
      <c r="B177" s="193"/>
      <c r="C177" s="169"/>
      <c r="D177" s="169"/>
      <c r="E177" s="169"/>
      <c r="F177" s="169"/>
      <c r="G177" s="62"/>
      <c r="H177" s="109"/>
      <c r="I177" s="110"/>
      <c r="J177" s="192"/>
      <c r="K177" s="194"/>
      <c r="L177" s="195"/>
      <c r="N177" s="192"/>
      <c r="O177" s="194"/>
    </row>
    <row r="178" spans="1:15" ht="13.5" thickBot="1" x14ac:dyDescent="0.25">
      <c r="A178" s="132"/>
      <c r="B178" s="133"/>
      <c r="C178" s="134"/>
      <c r="D178" s="134"/>
      <c r="E178" s="134"/>
      <c r="F178" s="134"/>
      <c r="G178" s="134"/>
      <c r="H178" s="135"/>
      <c r="I178" s="186"/>
      <c r="J178" s="136"/>
      <c r="K178" s="187"/>
      <c r="L178" s="139"/>
      <c r="N178" s="136"/>
      <c r="O178" s="187"/>
    </row>
    <row r="179" spans="1:15" ht="5.25" customHeight="1" thickBot="1" x14ac:dyDescent="0.25">
      <c r="A179" s="140"/>
      <c r="B179" s="140"/>
      <c r="C179" s="140"/>
      <c r="D179" s="140"/>
      <c r="E179" s="140"/>
      <c r="F179" s="140"/>
      <c r="G179" s="140"/>
      <c r="H179" s="140"/>
      <c r="I179" s="140"/>
      <c r="J179" s="140"/>
      <c r="K179" s="140"/>
      <c r="L179" s="140"/>
      <c r="N179" s="140"/>
      <c r="O179" s="140"/>
    </row>
    <row r="180" spans="1:15" x14ac:dyDescent="0.2">
      <c r="A180" s="91" t="s">
        <v>122</v>
      </c>
      <c r="B180" s="85"/>
      <c r="C180" s="85"/>
      <c r="D180" s="85"/>
      <c r="E180" s="142" t="s">
        <v>123</v>
      </c>
      <c r="F180" s="85"/>
      <c r="G180" s="85"/>
      <c r="H180" s="103"/>
      <c r="I180" s="42" t="s">
        <v>124</v>
      </c>
      <c r="J180" s="85"/>
      <c r="K180" s="142" t="s">
        <v>125</v>
      </c>
      <c r="L180" s="144"/>
      <c r="N180" s="85"/>
      <c r="O180" s="142" t="s">
        <v>125</v>
      </c>
    </row>
    <row r="181" spans="1:15" ht="13.5" customHeight="1" thickBot="1" x14ac:dyDescent="0.25">
      <c r="A181" s="689"/>
      <c r="B181" s="679"/>
      <c r="C181" s="679"/>
      <c r="D181" s="679"/>
      <c r="E181" s="690"/>
      <c r="F181" s="679"/>
      <c r="G181" s="679"/>
      <c r="H181" s="680"/>
      <c r="I181" s="145"/>
      <c r="J181" s="145"/>
      <c r="K181" s="133"/>
      <c r="L181" s="147"/>
      <c r="N181" s="145"/>
      <c r="O181" s="133"/>
    </row>
  </sheetData>
  <mergeCells count="20">
    <mergeCell ref="A111:D111"/>
    <mergeCell ref="E111:H111"/>
    <mergeCell ref="A76:D76"/>
    <mergeCell ref="E76:H76"/>
    <mergeCell ref="A181:D181"/>
    <mergeCell ref="E181:H181"/>
    <mergeCell ref="B114:H114"/>
    <mergeCell ref="B116:H116"/>
    <mergeCell ref="B123:H123"/>
    <mergeCell ref="B157:F157"/>
    <mergeCell ref="A146:D146"/>
    <mergeCell ref="E146:H146"/>
    <mergeCell ref="B38:H38"/>
    <mergeCell ref="A41:D41"/>
    <mergeCell ref="E41:H41"/>
    <mergeCell ref="G2:J2"/>
    <mergeCell ref="G4:K4"/>
    <mergeCell ref="B6:H6"/>
    <mergeCell ref="B30:H30"/>
    <mergeCell ref="B37:H37"/>
  </mergeCells>
  <phoneticPr fontId="15" type="noConversion"/>
  <pageMargins left="0.74" right="0.55118110236220474" top="0.86" bottom="0.39370078740157483" header="0.9" footer="0.51181102362204722"/>
  <pageSetup paperSize="9" orientation="landscape" horizontalDpi="4294967294" verticalDpi="300" r:id="rId1"/>
  <headerFooter alignWithMargins="0">
    <oddHeader>&amp;R
&amp;P     .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11</vt:i4>
      </vt:variant>
    </vt:vector>
  </HeadingPairs>
  <TitlesOfParts>
    <vt:vector size="23" baseType="lpstr">
      <vt:lpstr>Planilha</vt:lpstr>
      <vt:lpstr>Memorial de Cálculo</vt:lpstr>
      <vt:lpstr>Cronograma</vt:lpstr>
      <vt:lpstr>Para word 1</vt:lpstr>
      <vt:lpstr>Para word 2</vt:lpstr>
      <vt:lpstr>Cron barras</vt:lpstr>
      <vt:lpstr>Resumo interceptor</vt:lpstr>
      <vt:lpstr>Interceptor(mão-de-obra)</vt:lpstr>
      <vt:lpstr>Interceptor (materiais)</vt:lpstr>
      <vt:lpstr>CPU</vt:lpstr>
      <vt:lpstr>BDI-SERVIÇOS</vt:lpstr>
      <vt:lpstr>ENCARGOS SOCIAIS</vt:lpstr>
      <vt:lpstr>'BDI-SERVIÇOS'!Area_de_impressao</vt:lpstr>
      <vt:lpstr>CPU!Area_de_impressao</vt:lpstr>
      <vt:lpstr>'Cron barras'!Area_de_impressao</vt:lpstr>
      <vt:lpstr>Cronograma!Area_de_impressao</vt:lpstr>
      <vt:lpstr>'Memorial de Cálculo'!Area_de_impressao</vt:lpstr>
      <vt:lpstr>Planilha!Area_de_impressao</vt:lpstr>
      <vt:lpstr>'Resumo interceptor'!Area_de_impressao</vt:lpstr>
      <vt:lpstr>'Interceptor (materiais)'!Titulos_de_impressao</vt:lpstr>
      <vt:lpstr>'Interceptor(mão-de-obra)'!Titulos_de_impressao</vt:lpstr>
      <vt:lpstr>Planilha!Titulos_de_impressao</vt:lpstr>
      <vt:lpstr>'Resumo interceptor'!Titulos_de_impressao</vt:lpstr>
    </vt:vector>
  </TitlesOfParts>
  <Company>ESSE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Carvalho Araújo</dc:creator>
  <cp:lastModifiedBy>Alysson Bastos Cerqueira</cp:lastModifiedBy>
  <cp:lastPrinted>2019-06-28T18:15:19Z</cp:lastPrinted>
  <dcterms:created xsi:type="dcterms:W3CDTF">2006-01-20T12:49:43Z</dcterms:created>
  <dcterms:modified xsi:type="dcterms:W3CDTF">2019-10-07T18:04:29Z</dcterms:modified>
</cp:coreProperties>
</file>